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rantcates/Downloads/"/>
    </mc:Choice>
  </mc:AlternateContent>
  <xr:revisionPtr revIDLastSave="0" documentId="13_ncr:1_{B94C0AD0-D5BF-6D4B-8CD4-6F240F3D4C27}" xr6:coauthVersionLast="47" xr6:coauthVersionMax="47" xr10:uidLastSave="{00000000-0000-0000-0000-000000000000}"/>
  <bookViews>
    <workbookView xWindow="0" yWindow="500" windowWidth="33600" windowHeight="19480" activeTab="2" xr2:uid="{559F7B63-180C-4F89-9BEC-111CFC07F3EA}"/>
  </bookViews>
  <sheets>
    <sheet name="Instructions" sheetId="13" r:id="rId1"/>
    <sheet name="Intel (INTC)" sheetId="6" r:id="rId2"/>
    <sheet name="Micron (MU)" sheetId="1" r:id="rId3"/>
    <sheet name="Microchip (MCHP)" sheetId="7" r:id="rId4"/>
    <sheet name="NVIDIA (NVDA)" sheetId="8" r:id="rId5"/>
    <sheet name="CAPM Models" sheetId="11" r:id="rId6"/>
    <sheet name="Stock Price Charts" sheetId="1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4" i="6" l="1"/>
  <c r="D34" i="8"/>
  <c r="E41" i="8"/>
  <c r="D44" i="1"/>
  <c r="E42" i="1"/>
  <c r="E41" i="1"/>
  <c r="E41" i="7"/>
  <c r="D56" i="1"/>
  <c r="X11" i="11"/>
  <c r="O4" i="11"/>
  <c r="H4" i="11"/>
  <c r="E42" i="6" l="1"/>
  <c r="E41" i="6"/>
  <c r="E89" i="8"/>
  <c r="D84" i="8"/>
  <c r="D76" i="8"/>
  <c r="D75" i="8"/>
  <c r="D74" i="8"/>
  <c r="G71" i="8"/>
  <c r="G71" i="1"/>
  <c r="H71" i="8"/>
  <c r="K69" i="6"/>
  <c r="L69" i="6"/>
  <c r="J69" i="6"/>
  <c r="K69" i="1"/>
  <c r="L69" i="1"/>
  <c r="J69" i="1"/>
  <c r="K69" i="8"/>
  <c r="L69" i="8"/>
  <c r="J69" i="8"/>
  <c r="J63" i="8"/>
  <c r="K63" i="8"/>
  <c r="D58" i="8"/>
  <c r="D56" i="8"/>
  <c r="D54" i="8"/>
  <c r="D52" i="8"/>
  <c r="N50" i="8"/>
  <c r="J47" i="8"/>
  <c r="D44" i="8"/>
  <c r="O41" i="6"/>
  <c r="O41" i="1"/>
  <c r="O41" i="7"/>
  <c r="O41" i="8"/>
  <c r="O40" i="8"/>
  <c r="O39" i="8"/>
  <c r="J37" i="8"/>
  <c r="E42" i="8"/>
  <c r="E38" i="1"/>
  <c r="E38" i="7"/>
  <c r="E39" i="8"/>
  <c r="E38" i="8"/>
  <c r="E37" i="7"/>
  <c r="E37" i="6"/>
  <c r="E37" i="1"/>
  <c r="E37" i="8"/>
  <c r="N32" i="8"/>
  <c r="K29" i="8"/>
  <c r="L29" i="8"/>
  <c r="M29" i="8"/>
  <c r="N29" i="8"/>
  <c r="J29" i="8"/>
  <c r="X21" i="11"/>
  <c r="S5" i="11"/>
  <c r="Q4" i="11"/>
  <c r="X25" i="11"/>
  <c r="X4" i="11"/>
  <c r="X18" i="11"/>
  <c r="J4" i="11"/>
  <c r="F98" i="6"/>
  <c r="G98" i="6"/>
  <c r="H98" i="6"/>
  <c r="I98" i="6"/>
  <c r="J98" i="6"/>
  <c r="K98" i="6"/>
  <c r="L98" i="6"/>
  <c r="M98" i="6"/>
  <c r="N98" i="6"/>
  <c r="E98" i="6"/>
  <c r="F98" i="1"/>
  <c r="G98" i="1"/>
  <c r="H98" i="1"/>
  <c r="I98" i="1"/>
  <c r="J98" i="1"/>
  <c r="K98" i="1"/>
  <c r="L98" i="1"/>
  <c r="M98" i="1"/>
  <c r="N98" i="1"/>
  <c r="E98" i="1"/>
  <c r="F98" i="7"/>
  <c r="G98" i="7"/>
  <c r="H98" i="7"/>
  <c r="I98" i="7"/>
  <c r="J98" i="7"/>
  <c r="K98" i="7"/>
  <c r="L98" i="7"/>
  <c r="M98" i="7"/>
  <c r="N98" i="7"/>
  <c r="E98" i="7"/>
  <c r="F98" i="8"/>
  <c r="G98" i="8"/>
  <c r="H98" i="8"/>
  <c r="I98" i="8"/>
  <c r="J98" i="8"/>
  <c r="K98" i="8"/>
  <c r="L98" i="8"/>
  <c r="M98" i="8"/>
  <c r="N98" i="8"/>
  <c r="E98" i="8"/>
  <c r="F97" i="8"/>
  <c r="G97" i="8"/>
  <c r="H97" i="8"/>
  <c r="I97" i="8"/>
  <c r="J97" i="8"/>
  <c r="K97" i="8"/>
  <c r="L97" i="8"/>
  <c r="M97" i="8"/>
  <c r="N97" i="8"/>
  <c r="E97" i="8"/>
  <c r="F90" i="8"/>
  <c r="G90" i="8"/>
  <c r="H90" i="8"/>
  <c r="I90" i="8"/>
  <c r="J90" i="8"/>
  <c r="K90" i="8"/>
  <c r="L90" i="8"/>
  <c r="M90" i="8"/>
  <c r="N90" i="8"/>
  <c r="E90" i="8"/>
  <c r="F90" i="7"/>
  <c r="G90" i="7"/>
  <c r="H90" i="7"/>
  <c r="I90" i="7"/>
  <c r="J90" i="7"/>
  <c r="K90" i="7"/>
  <c r="L90" i="7"/>
  <c r="M90" i="7"/>
  <c r="N90" i="7"/>
  <c r="E90" i="7"/>
  <c r="F90" i="1"/>
  <c r="G90" i="1"/>
  <c r="H90" i="1"/>
  <c r="I90" i="1"/>
  <c r="E90" i="1"/>
  <c r="F90" i="6"/>
  <c r="G90" i="6"/>
  <c r="H90" i="6"/>
  <c r="I90" i="6"/>
  <c r="E90" i="6"/>
  <c r="L63" i="8" l="1"/>
  <c r="L63" i="7"/>
  <c r="K63" i="7"/>
  <c r="J63" i="7"/>
  <c r="L63" i="1"/>
  <c r="K63" i="1"/>
  <c r="J63" i="1"/>
  <c r="F89" i="8"/>
  <c r="G89" i="8"/>
  <c r="H89" i="8"/>
  <c r="I89" i="8"/>
  <c r="J89" i="8"/>
  <c r="K89" i="8"/>
  <c r="L89" i="8"/>
  <c r="M89" i="8"/>
  <c r="N89" i="8"/>
  <c r="F91" i="8"/>
  <c r="G91" i="8"/>
  <c r="H91" i="8"/>
  <c r="I91" i="8"/>
  <c r="J91" i="8"/>
  <c r="K91" i="8"/>
  <c r="L91" i="8"/>
  <c r="M91" i="8"/>
  <c r="N91" i="8"/>
  <c r="F92" i="8"/>
  <c r="G92" i="8"/>
  <c r="H92" i="8"/>
  <c r="I92" i="8"/>
  <c r="J92" i="8"/>
  <c r="K92" i="8"/>
  <c r="L92" i="8"/>
  <c r="M92" i="8"/>
  <c r="N92" i="8"/>
  <c r="F93" i="8"/>
  <c r="G93" i="8"/>
  <c r="H93" i="8"/>
  <c r="I93" i="8"/>
  <c r="J93" i="8"/>
  <c r="K93" i="8"/>
  <c r="L93" i="8"/>
  <c r="M93" i="8"/>
  <c r="N93" i="8"/>
  <c r="F94" i="8"/>
  <c r="G94" i="8"/>
  <c r="H94" i="8"/>
  <c r="I94" i="8"/>
  <c r="J94" i="8"/>
  <c r="K94" i="8"/>
  <c r="L94" i="8"/>
  <c r="M94" i="8"/>
  <c r="N94" i="8"/>
  <c r="F95" i="8"/>
  <c r="G95" i="8"/>
  <c r="H95" i="8"/>
  <c r="I95" i="8"/>
  <c r="J95" i="8"/>
  <c r="K95" i="8"/>
  <c r="L95" i="8"/>
  <c r="M95" i="8"/>
  <c r="N95" i="8"/>
  <c r="F96" i="8"/>
  <c r="G96" i="8"/>
  <c r="H96" i="8"/>
  <c r="I96" i="8"/>
  <c r="J96" i="8"/>
  <c r="K96" i="8"/>
  <c r="L96" i="8"/>
  <c r="M96" i="8"/>
  <c r="N96" i="8"/>
  <c r="D84" i="6"/>
  <c r="D85" i="6" s="1"/>
  <c r="D79" i="6"/>
  <c r="D80" i="6" s="1"/>
  <c r="D81" i="6" s="1"/>
  <c r="D74" i="6"/>
  <c r="D75" i="6" s="1"/>
  <c r="D76" i="6" s="1"/>
  <c r="I71" i="6"/>
  <c r="H71" i="6"/>
  <c r="G71" i="6"/>
  <c r="D71" i="6"/>
  <c r="D85" i="8"/>
  <c r="D79" i="8"/>
  <c r="D80" i="8" s="1"/>
  <c r="D81" i="8" s="1"/>
  <c r="I71" i="8"/>
  <c r="D71" i="8"/>
  <c r="D85" i="7"/>
  <c r="D84" i="7"/>
  <c r="D79" i="7"/>
  <c r="D74" i="7"/>
  <c r="I71" i="7"/>
  <c r="H71" i="7"/>
  <c r="G71" i="7"/>
  <c r="D71" i="7"/>
  <c r="L64" i="7"/>
  <c r="L65" i="7"/>
  <c r="L66" i="7"/>
  <c r="L67" i="7"/>
  <c r="L69" i="7" s="1"/>
  <c r="L68" i="7"/>
  <c r="K69" i="7"/>
  <c r="J69" i="7"/>
  <c r="D74" i="1"/>
  <c r="D75" i="1" s="1"/>
  <c r="D76" i="1" s="1"/>
  <c r="D84" i="1"/>
  <c r="D85" i="1" s="1"/>
  <c r="D79" i="1"/>
  <c r="D80" i="1" s="1"/>
  <c r="D81" i="1" s="1"/>
  <c r="I71" i="1"/>
  <c r="H71" i="1"/>
  <c r="D71" i="1"/>
  <c r="K51" i="8"/>
  <c r="L51" i="8"/>
  <c r="M51" i="8"/>
  <c r="J51" i="8"/>
  <c r="K47" i="8"/>
  <c r="L47" i="8"/>
  <c r="M47" i="8"/>
  <c r="N47" i="8"/>
  <c r="D54" i="7"/>
  <c r="K47" i="7"/>
  <c r="L47" i="7"/>
  <c r="M47" i="7"/>
  <c r="N47" i="7"/>
  <c r="J47" i="7"/>
  <c r="J51" i="7"/>
  <c r="D56" i="7"/>
  <c r="D80" i="7" s="1"/>
  <c r="D81" i="7" s="1"/>
  <c r="K51" i="7"/>
  <c r="L51" i="7"/>
  <c r="M51" i="7"/>
  <c r="D54" i="1"/>
  <c r="D54" i="6"/>
  <c r="D56" i="6"/>
  <c r="D75" i="7" l="1"/>
  <c r="D76" i="7" s="1"/>
  <c r="O42" i="8"/>
  <c r="O38" i="8"/>
  <c r="E43" i="8"/>
  <c r="E40" i="8"/>
  <c r="O42" i="7"/>
  <c r="O40" i="7"/>
  <c r="O39" i="7"/>
  <c r="O38" i="7"/>
  <c r="E43" i="7"/>
  <c r="E42" i="7"/>
  <c r="E40" i="7"/>
  <c r="O42" i="1"/>
  <c r="O40" i="1"/>
  <c r="O39" i="1"/>
  <c r="E43" i="1"/>
  <c r="E40" i="1"/>
  <c r="J40" i="6"/>
  <c r="O42" i="6"/>
  <c r="O40" i="6"/>
  <c r="O39" i="6"/>
  <c r="J38" i="6"/>
  <c r="J39" i="6"/>
  <c r="J37" i="6"/>
  <c r="E43" i="6"/>
  <c r="E39" i="6"/>
  <c r="E38" i="6"/>
  <c r="K33" i="8"/>
  <c r="L33" i="8"/>
  <c r="M33" i="8"/>
  <c r="J33" i="8"/>
  <c r="K33" i="7"/>
  <c r="L33" i="7"/>
  <c r="M33" i="7"/>
  <c r="J33" i="7"/>
  <c r="K29" i="7"/>
  <c r="L29" i="7"/>
  <c r="M29" i="7"/>
  <c r="N29" i="7"/>
  <c r="J29" i="7"/>
  <c r="X28" i="11"/>
  <c r="D31" i="1" s="1"/>
  <c r="O37" i="1" s="1"/>
  <c r="D31" i="8"/>
  <c r="N33" i="8" s="1"/>
  <c r="X14" i="11"/>
  <c r="D31" i="6" s="1"/>
  <c r="O37" i="6" s="1"/>
  <c r="D49" i="6" s="1"/>
  <c r="X7" i="11"/>
  <c r="D31" i="7" s="1"/>
  <c r="O5" i="11"/>
  <c r="P5" i="11"/>
  <c r="Q5" i="11"/>
  <c r="R5" i="11"/>
  <c r="O6" i="11"/>
  <c r="P6" i="11"/>
  <c r="Q6" i="11"/>
  <c r="R6" i="11"/>
  <c r="S6" i="11"/>
  <c r="O7" i="11"/>
  <c r="P7" i="11"/>
  <c r="Q7" i="11"/>
  <c r="R7" i="11"/>
  <c r="S7" i="11"/>
  <c r="O8" i="11"/>
  <c r="P8" i="11"/>
  <c r="Q8" i="11"/>
  <c r="R8" i="11"/>
  <c r="S8" i="11"/>
  <c r="O9" i="11"/>
  <c r="P9" i="11"/>
  <c r="Q9" i="11"/>
  <c r="R9" i="11"/>
  <c r="S9" i="11"/>
  <c r="O10" i="11"/>
  <c r="P10" i="11"/>
  <c r="Q10" i="11"/>
  <c r="R10" i="11"/>
  <c r="S10" i="11"/>
  <c r="O11" i="11"/>
  <c r="P11" i="11"/>
  <c r="Q11" i="11"/>
  <c r="R11" i="11"/>
  <c r="S11" i="11"/>
  <c r="O12" i="11"/>
  <c r="P12" i="11"/>
  <c r="Q12" i="11"/>
  <c r="R12" i="11"/>
  <c r="S12" i="11"/>
  <c r="O13" i="11"/>
  <c r="P13" i="11"/>
  <c r="Q13" i="11"/>
  <c r="R13" i="11"/>
  <c r="S13" i="11"/>
  <c r="O14" i="11"/>
  <c r="P14" i="11"/>
  <c r="Q14" i="11"/>
  <c r="R14" i="11"/>
  <c r="S14" i="11"/>
  <c r="O15" i="11"/>
  <c r="P15" i="11"/>
  <c r="Q15" i="11"/>
  <c r="R15" i="11"/>
  <c r="S15" i="11"/>
  <c r="O16" i="11"/>
  <c r="P16" i="11"/>
  <c r="Q16" i="11"/>
  <c r="R16" i="11"/>
  <c r="S16" i="11"/>
  <c r="O17" i="11"/>
  <c r="P17" i="11"/>
  <c r="Q17" i="11"/>
  <c r="R17" i="11"/>
  <c r="S17" i="11"/>
  <c r="O18" i="11"/>
  <c r="P18" i="11"/>
  <c r="Q18" i="11"/>
  <c r="R18" i="11"/>
  <c r="S18" i="11"/>
  <c r="O19" i="11"/>
  <c r="P19" i="11"/>
  <c r="Q19" i="11"/>
  <c r="R19" i="11"/>
  <c r="S19" i="11"/>
  <c r="O20" i="11"/>
  <c r="P20" i="11"/>
  <c r="Q20" i="11"/>
  <c r="R20" i="11"/>
  <c r="S20" i="11"/>
  <c r="O21" i="11"/>
  <c r="P21" i="11"/>
  <c r="Q21" i="11"/>
  <c r="R21" i="11"/>
  <c r="S21" i="11"/>
  <c r="O22" i="11"/>
  <c r="P22" i="11"/>
  <c r="Q22" i="11"/>
  <c r="R22" i="11"/>
  <c r="S22" i="11"/>
  <c r="O23" i="11"/>
  <c r="P23" i="11"/>
  <c r="Q23" i="11"/>
  <c r="R23" i="11"/>
  <c r="S23" i="11"/>
  <c r="O24" i="11"/>
  <c r="P24" i="11"/>
  <c r="Q24" i="11"/>
  <c r="R24" i="11"/>
  <c r="S24" i="11"/>
  <c r="O25" i="11"/>
  <c r="P25" i="11"/>
  <c r="Q25" i="11"/>
  <c r="R25" i="11"/>
  <c r="S25" i="11"/>
  <c r="O26" i="11"/>
  <c r="P26" i="11"/>
  <c r="Q26" i="11"/>
  <c r="R26" i="11"/>
  <c r="S26" i="11"/>
  <c r="O27" i="11"/>
  <c r="P27" i="11"/>
  <c r="Q27" i="11"/>
  <c r="R27" i="11"/>
  <c r="S27" i="11"/>
  <c r="O28" i="11"/>
  <c r="P28" i="11"/>
  <c r="Q28" i="11"/>
  <c r="R28" i="11"/>
  <c r="S28" i="11"/>
  <c r="O29" i="11"/>
  <c r="P29" i="11"/>
  <c r="Q29" i="11"/>
  <c r="R29" i="11"/>
  <c r="S29" i="11"/>
  <c r="O30" i="11"/>
  <c r="P30" i="11"/>
  <c r="Q30" i="11"/>
  <c r="R30" i="11"/>
  <c r="S30" i="11"/>
  <c r="O31" i="11"/>
  <c r="P31" i="11"/>
  <c r="Q31" i="11"/>
  <c r="R31" i="11"/>
  <c r="S31" i="11"/>
  <c r="O32" i="11"/>
  <c r="P32" i="11"/>
  <c r="Q32" i="11"/>
  <c r="R32" i="11"/>
  <c r="S32" i="11"/>
  <c r="O33" i="11"/>
  <c r="P33" i="11"/>
  <c r="Q33" i="11"/>
  <c r="R33" i="11"/>
  <c r="S33" i="11"/>
  <c r="O34" i="11"/>
  <c r="P34" i="11"/>
  <c r="Q34" i="11"/>
  <c r="R34" i="11"/>
  <c r="S34" i="11"/>
  <c r="O35" i="11"/>
  <c r="P35" i="11"/>
  <c r="Q35" i="11"/>
  <c r="R35" i="11"/>
  <c r="S35" i="11"/>
  <c r="O36" i="11"/>
  <c r="P36" i="11"/>
  <c r="Q36" i="11"/>
  <c r="R36" i="11"/>
  <c r="S36" i="11"/>
  <c r="O37" i="11"/>
  <c r="P37" i="11"/>
  <c r="Q37" i="11"/>
  <c r="R37" i="11"/>
  <c r="S37" i="11"/>
  <c r="O38" i="11"/>
  <c r="P38" i="11"/>
  <c r="Q38" i="11"/>
  <c r="R38" i="11"/>
  <c r="S38" i="11"/>
  <c r="O39" i="11"/>
  <c r="P39" i="11"/>
  <c r="Q39" i="11"/>
  <c r="R39" i="11"/>
  <c r="S39" i="11"/>
  <c r="O40" i="11"/>
  <c r="P40" i="11"/>
  <c r="Q40" i="11"/>
  <c r="R40" i="11"/>
  <c r="S40" i="11"/>
  <c r="O41" i="11"/>
  <c r="P41" i="11"/>
  <c r="Q41" i="11"/>
  <c r="R41" i="11"/>
  <c r="S41" i="11"/>
  <c r="O42" i="11"/>
  <c r="P42" i="11"/>
  <c r="Q42" i="11"/>
  <c r="R42" i="11"/>
  <c r="S42" i="11"/>
  <c r="O43" i="11"/>
  <c r="P43" i="11"/>
  <c r="Q43" i="11"/>
  <c r="R43" i="11"/>
  <c r="S43" i="11"/>
  <c r="O44" i="11"/>
  <c r="P44" i="11"/>
  <c r="Q44" i="11"/>
  <c r="R44" i="11"/>
  <c r="S44" i="11"/>
  <c r="O45" i="11"/>
  <c r="P45" i="11"/>
  <c r="Q45" i="11"/>
  <c r="R45" i="11"/>
  <c r="S45" i="11"/>
  <c r="O46" i="11"/>
  <c r="P46" i="11"/>
  <c r="Q46" i="11"/>
  <c r="R46" i="11"/>
  <c r="S46" i="11"/>
  <c r="O47" i="11"/>
  <c r="P47" i="11"/>
  <c r="Q47" i="11"/>
  <c r="R47" i="11"/>
  <c r="S47" i="11"/>
  <c r="O48" i="11"/>
  <c r="P48" i="11"/>
  <c r="Q48" i="11"/>
  <c r="R48" i="11"/>
  <c r="S48" i="11"/>
  <c r="O49" i="11"/>
  <c r="P49" i="11"/>
  <c r="Q49" i="11"/>
  <c r="R49" i="11"/>
  <c r="S49" i="11"/>
  <c r="O50" i="11"/>
  <c r="P50" i="11"/>
  <c r="Q50" i="11"/>
  <c r="R50" i="11"/>
  <c r="S50" i="11"/>
  <c r="O51" i="11"/>
  <c r="P51" i="11"/>
  <c r="Q51" i="11"/>
  <c r="R51" i="11"/>
  <c r="S51" i="11"/>
  <c r="O52" i="11"/>
  <c r="P52" i="11"/>
  <c r="Q52" i="11"/>
  <c r="R52" i="11"/>
  <c r="S52" i="11"/>
  <c r="O53" i="11"/>
  <c r="P53" i="11"/>
  <c r="Q53" i="11"/>
  <c r="R53" i="11"/>
  <c r="S53" i="11"/>
  <c r="O54" i="11"/>
  <c r="P54" i="11"/>
  <c r="Q54" i="11"/>
  <c r="R54" i="11"/>
  <c r="S54" i="11"/>
  <c r="O55" i="11"/>
  <c r="P55" i="11"/>
  <c r="Q55" i="11"/>
  <c r="R55" i="11"/>
  <c r="S55" i="11"/>
  <c r="O56" i="11"/>
  <c r="P56" i="11"/>
  <c r="Q56" i="11"/>
  <c r="R56" i="11"/>
  <c r="S56" i="11"/>
  <c r="O57" i="11"/>
  <c r="P57" i="11"/>
  <c r="Q57" i="11"/>
  <c r="R57" i="11"/>
  <c r="S57" i="11"/>
  <c r="O58" i="11"/>
  <c r="P58" i="11"/>
  <c r="Q58" i="11"/>
  <c r="R58" i="11"/>
  <c r="S58" i="11"/>
  <c r="O59" i="11"/>
  <c r="P59" i="11"/>
  <c r="Q59" i="11"/>
  <c r="R59" i="11"/>
  <c r="S59" i="11"/>
  <c r="O60" i="11"/>
  <c r="P60" i="11"/>
  <c r="Q60" i="11"/>
  <c r="R60" i="11"/>
  <c r="S60" i="11"/>
  <c r="O61" i="11"/>
  <c r="P61" i="11"/>
  <c r="Q61" i="11"/>
  <c r="R61" i="11"/>
  <c r="S61" i="11"/>
  <c r="O62" i="11"/>
  <c r="P62" i="11"/>
  <c r="Q62" i="11"/>
  <c r="R62" i="11"/>
  <c r="S62" i="11"/>
  <c r="P4" i="11"/>
  <c r="R4" i="11"/>
  <c r="S4" i="11"/>
  <c r="H5" i="11"/>
  <c r="I5" i="11"/>
  <c r="J5" i="11"/>
  <c r="K5" i="11"/>
  <c r="L5" i="11"/>
  <c r="H6" i="11"/>
  <c r="I6" i="11"/>
  <c r="J6" i="11"/>
  <c r="K6" i="11"/>
  <c r="L6" i="11"/>
  <c r="H7" i="11"/>
  <c r="I7" i="11"/>
  <c r="J7" i="11"/>
  <c r="K7" i="11"/>
  <c r="L7" i="11"/>
  <c r="H8" i="11"/>
  <c r="I8" i="11"/>
  <c r="J8" i="11"/>
  <c r="K8" i="11"/>
  <c r="L8" i="11"/>
  <c r="H9" i="11"/>
  <c r="I9" i="11"/>
  <c r="J9" i="11"/>
  <c r="K9" i="11"/>
  <c r="L9" i="11"/>
  <c r="H10" i="11"/>
  <c r="I10" i="11"/>
  <c r="J10" i="11"/>
  <c r="K10" i="11"/>
  <c r="L10" i="11"/>
  <c r="H11" i="11"/>
  <c r="I11" i="11"/>
  <c r="J11" i="11"/>
  <c r="K11" i="11"/>
  <c r="L11" i="11"/>
  <c r="H12" i="11"/>
  <c r="I12" i="11"/>
  <c r="J12" i="11"/>
  <c r="K12" i="11"/>
  <c r="L12" i="11"/>
  <c r="H13" i="11"/>
  <c r="I13" i="11"/>
  <c r="J13" i="11"/>
  <c r="K13" i="11"/>
  <c r="L13" i="11"/>
  <c r="H14" i="11"/>
  <c r="I14" i="11"/>
  <c r="J14" i="11"/>
  <c r="K14" i="11"/>
  <c r="L14" i="11"/>
  <c r="H15" i="11"/>
  <c r="I15" i="11"/>
  <c r="J15" i="11"/>
  <c r="K15" i="11"/>
  <c r="L15" i="11"/>
  <c r="H16" i="11"/>
  <c r="I16" i="11"/>
  <c r="J16" i="11"/>
  <c r="K16" i="11"/>
  <c r="L16" i="11"/>
  <c r="H17" i="11"/>
  <c r="I17" i="11"/>
  <c r="J17" i="11"/>
  <c r="K17" i="11"/>
  <c r="L17" i="11"/>
  <c r="H18" i="11"/>
  <c r="I18" i="11"/>
  <c r="J18" i="11"/>
  <c r="K18" i="11"/>
  <c r="L18" i="11"/>
  <c r="H19" i="11"/>
  <c r="I19" i="11"/>
  <c r="J19" i="11"/>
  <c r="K19" i="11"/>
  <c r="L19" i="11"/>
  <c r="H20" i="11"/>
  <c r="I20" i="11"/>
  <c r="J20" i="11"/>
  <c r="K20" i="11"/>
  <c r="L20" i="11"/>
  <c r="H21" i="11"/>
  <c r="I21" i="11"/>
  <c r="J21" i="11"/>
  <c r="K21" i="11"/>
  <c r="L21" i="11"/>
  <c r="H22" i="11"/>
  <c r="I22" i="11"/>
  <c r="J22" i="11"/>
  <c r="K22" i="11"/>
  <c r="L22" i="11"/>
  <c r="H23" i="11"/>
  <c r="I23" i="11"/>
  <c r="J23" i="11"/>
  <c r="K23" i="11"/>
  <c r="L23" i="11"/>
  <c r="H24" i="11"/>
  <c r="I24" i="11"/>
  <c r="J24" i="11"/>
  <c r="K24" i="11"/>
  <c r="L24" i="11"/>
  <c r="H25" i="11"/>
  <c r="I25" i="11"/>
  <c r="J25" i="11"/>
  <c r="K25" i="11"/>
  <c r="L25" i="11"/>
  <c r="H26" i="11"/>
  <c r="I26" i="11"/>
  <c r="J26" i="11"/>
  <c r="K26" i="11"/>
  <c r="L26" i="11"/>
  <c r="H27" i="11"/>
  <c r="I27" i="11"/>
  <c r="J27" i="11"/>
  <c r="K27" i="11"/>
  <c r="L27" i="11"/>
  <c r="H28" i="11"/>
  <c r="I28" i="11"/>
  <c r="J28" i="11"/>
  <c r="K28" i="11"/>
  <c r="L28" i="11"/>
  <c r="H29" i="11"/>
  <c r="I29" i="11"/>
  <c r="J29" i="11"/>
  <c r="K29" i="11"/>
  <c r="L29" i="11"/>
  <c r="H30" i="11"/>
  <c r="I30" i="11"/>
  <c r="J30" i="11"/>
  <c r="K30" i="11"/>
  <c r="L30" i="11"/>
  <c r="H31" i="11"/>
  <c r="I31" i="11"/>
  <c r="J31" i="11"/>
  <c r="K31" i="11"/>
  <c r="L31" i="11"/>
  <c r="H32" i="11"/>
  <c r="I32" i="11"/>
  <c r="J32" i="11"/>
  <c r="K32" i="11"/>
  <c r="L32" i="11"/>
  <c r="H33" i="11"/>
  <c r="I33" i="11"/>
  <c r="J33" i="11"/>
  <c r="K33" i="11"/>
  <c r="L33" i="11"/>
  <c r="H34" i="11"/>
  <c r="I34" i="11"/>
  <c r="J34" i="11"/>
  <c r="K34" i="11"/>
  <c r="L34" i="11"/>
  <c r="H35" i="11"/>
  <c r="I35" i="11"/>
  <c r="J35" i="11"/>
  <c r="K35" i="11"/>
  <c r="L35" i="11"/>
  <c r="H36" i="11"/>
  <c r="I36" i="11"/>
  <c r="J36" i="11"/>
  <c r="K36" i="11"/>
  <c r="L36" i="11"/>
  <c r="H37" i="11"/>
  <c r="I37" i="11"/>
  <c r="J37" i="11"/>
  <c r="K37" i="11"/>
  <c r="L37" i="11"/>
  <c r="H38" i="11"/>
  <c r="I38" i="11"/>
  <c r="J38" i="11"/>
  <c r="K38" i="11"/>
  <c r="L38" i="11"/>
  <c r="H39" i="11"/>
  <c r="I39" i="11"/>
  <c r="J39" i="11"/>
  <c r="K39" i="11"/>
  <c r="L39" i="11"/>
  <c r="H40" i="11"/>
  <c r="I40" i="11"/>
  <c r="J40" i="11"/>
  <c r="K40" i="11"/>
  <c r="L40" i="11"/>
  <c r="H41" i="11"/>
  <c r="I41" i="11"/>
  <c r="J41" i="11"/>
  <c r="K41" i="11"/>
  <c r="L41" i="11"/>
  <c r="H42" i="11"/>
  <c r="I42" i="11"/>
  <c r="J42" i="11"/>
  <c r="K42" i="11"/>
  <c r="L42" i="11"/>
  <c r="H43" i="11"/>
  <c r="I43" i="11"/>
  <c r="J43" i="11"/>
  <c r="K43" i="11"/>
  <c r="L43" i="11"/>
  <c r="H44" i="11"/>
  <c r="I44" i="11"/>
  <c r="J44" i="11"/>
  <c r="K44" i="11"/>
  <c r="L44" i="11"/>
  <c r="H45" i="11"/>
  <c r="I45" i="11"/>
  <c r="J45" i="11"/>
  <c r="K45" i="11"/>
  <c r="L45" i="11"/>
  <c r="H46" i="11"/>
  <c r="I46" i="11"/>
  <c r="J46" i="11"/>
  <c r="K46" i="11"/>
  <c r="L46" i="11"/>
  <c r="H47" i="11"/>
  <c r="I47" i="11"/>
  <c r="J47" i="11"/>
  <c r="K47" i="11"/>
  <c r="L47" i="11"/>
  <c r="H48" i="11"/>
  <c r="I48" i="11"/>
  <c r="J48" i="11"/>
  <c r="K48" i="11"/>
  <c r="L48" i="11"/>
  <c r="H49" i="11"/>
  <c r="I49" i="11"/>
  <c r="J49" i="11"/>
  <c r="K49" i="11"/>
  <c r="L49" i="11"/>
  <c r="H50" i="11"/>
  <c r="I50" i="11"/>
  <c r="J50" i="11"/>
  <c r="K50" i="11"/>
  <c r="L50" i="11"/>
  <c r="H51" i="11"/>
  <c r="I51" i="11"/>
  <c r="J51" i="11"/>
  <c r="K51" i="11"/>
  <c r="L51" i="11"/>
  <c r="H52" i="11"/>
  <c r="I52" i="11"/>
  <c r="J52" i="11"/>
  <c r="K52" i="11"/>
  <c r="L52" i="11"/>
  <c r="H53" i="11"/>
  <c r="I53" i="11"/>
  <c r="J53" i="11"/>
  <c r="K53" i="11"/>
  <c r="L53" i="11"/>
  <c r="H54" i="11"/>
  <c r="I54" i="11"/>
  <c r="J54" i="11"/>
  <c r="K54" i="11"/>
  <c r="L54" i="11"/>
  <c r="H55" i="11"/>
  <c r="I55" i="11"/>
  <c r="J55" i="11"/>
  <c r="K55" i="11"/>
  <c r="L55" i="11"/>
  <c r="H56" i="11"/>
  <c r="I56" i="11"/>
  <c r="J56" i="11"/>
  <c r="K56" i="11"/>
  <c r="L56" i="11"/>
  <c r="H57" i="11"/>
  <c r="I57" i="11"/>
  <c r="J57" i="11"/>
  <c r="K57" i="11"/>
  <c r="L57" i="11"/>
  <c r="H58" i="11"/>
  <c r="I58" i="11"/>
  <c r="J58" i="11"/>
  <c r="K58" i="11"/>
  <c r="L58" i="11"/>
  <c r="H59" i="11"/>
  <c r="I59" i="11"/>
  <c r="J59" i="11"/>
  <c r="K59" i="11"/>
  <c r="L59" i="11"/>
  <c r="H60" i="11"/>
  <c r="I60" i="11"/>
  <c r="J60" i="11"/>
  <c r="K60" i="11"/>
  <c r="L60" i="11"/>
  <c r="H61" i="11"/>
  <c r="I61" i="11"/>
  <c r="J61" i="11"/>
  <c r="K61" i="11"/>
  <c r="L61" i="11"/>
  <c r="H62" i="11"/>
  <c r="I62" i="11"/>
  <c r="J62" i="11"/>
  <c r="K62" i="11"/>
  <c r="L62" i="11"/>
  <c r="I4" i="11"/>
  <c r="K4" i="11"/>
  <c r="L4" i="11"/>
  <c r="E96" i="8"/>
  <c r="E95" i="8"/>
  <c r="E94" i="8"/>
  <c r="E93" i="8"/>
  <c r="E92" i="8"/>
  <c r="E91" i="8"/>
  <c r="F89" i="7"/>
  <c r="G89" i="7"/>
  <c r="H89" i="7"/>
  <c r="I89" i="7"/>
  <c r="J89" i="7"/>
  <c r="K89" i="7"/>
  <c r="L89" i="7"/>
  <c r="M89" i="7"/>
  <c r="N89" i="7"/>
  <c r="F91" i="7"/>
  <c r="G91" i="7"/>
  <c r="H91" i="7"/>
  <c r="I91" i="7"/>
  <c r="J91" i="7"/>
  <c r="K91" i="7"/>
  <c r="L91" i="7"/>
  <c r="M91" i="7"/>
  <c r="N91" i="7"/>
  <c r="F92" i="7"/>
  <c r="G92" i="7"/>
  <c r="H92" i="7"/>
  <c r="I92" i="7"/>
  <c r="J92" i="7"/>
  <c r="K92" i="7"/>
  <c r="L92" i="7"/>
  <c r="M92" i="7"/>
  <c r="N92" i="7"/>
  <c r="F93" i="7"/>
  <c r="G93" i="7"/>
  <c r="H93" i="7"/>
  <c r="I93" i="7"/>
  <c r="J93" i="7"/>
  <c r="K93" i="7"/>
  <c r="L93" i="7"/>
  <c r="M93" i="7"/>
  <c r="N93" i="7"/>
  <c r="F94" i="7"/>
  <c r="G94" i="7"/>
  <c r="H94" i="7"/>
  <c r="I94" i="7"/>
  <c r="J94" i="7"/>
  <c r="K94" i="7"/>
  <c r="L94" i="7"/>
  <c r="M94" i="7"/>
  <c r="N94" i="7"/>
  <c r="F95" i="7"/>
  <c r="G95" i="7"/>
  <c r="H95" i="7"/>
  <c r="I95" i="7"/>
  <c r="J95" i="7"/>
  <c r="K95" i="7"/>
  <c r="L95" i="7"/>
  <c r="M95" i="7"/>
  <c r="N95" i="7"/>
  <c r="F96" i="7"/>
  <c r="G96" i="7"/>
  <c r="H96" i="7"/>
  <c r="I96" i="7"/>
  <c r="J96" i="7"/>
  <c r="K96" i="7"/>
  <c r="L96" i="7"/>
  <c r="M96" i="7"/>
  <c r="N96" i="7"/>
  <c r="F97" i="7"/>
  <c r="G97" i="7"/>
  <c r="H97" i="7"/>
  <c r="I97" i="7"/>
  <c r="J97" i="7"/>
  <c r="K97" i="7"/>
  <c r="L97" i="7"/>
  <c r="M97" i="7"/>
  <c r="N97" i="7"/>
  <c r="E97" i="7"/>
  <c r="E96" i="7"/>
  <c r="E95" i="7"/>
  <c r="E94" i="7"/>
  <c r="E93" i="7"/>
  <c r="E92" i="7"/>
  <c r="E91" i="7"/>
  <c r="E89" i="7"/>
  <c r="F92" i="1"/>
  <c r="G92" i="1"/>
  <c r="H92" i="1"/>
  <c r="I92" i="1"/>
  <c r="J92" i="1"/>
  <c r="K92" i="1"/>
  <c r="L92" i="1"/>
  <c r="M92" i="1"/>
  <c r="N92" i="1"/>
  <c r="F93" i="1"/>
  <c r="G93" i="1"/>
  <c r="H93" i="1"/>
  <c r="I93" i="1"/>
  <c r="J93" i="1"/>
  <c r="K93" i="1"/>
  <c r="L93" i="1"/>
  <c r="M93" i="1"/>
  <c r="N93" i="1"/>
  <c r="F94" i="1"/>
  <c r="G94" i="1"/>
  <c r="H94" i="1"/>
  <c r="I94" i="1"/>
  <c r="F95" i="1"/>
  <c r="G95" i="1"/>
  <c r="H95" i="1"/>
  <c r="I95" i="1"/>
  <c r="J95" i="1"/>
  <c r="K95" i="1"/>
  <c r="L95" i="1"/>
  <c r="M95" i="1"/>
  <c r="N95" i="1"/>
  <c r="F96" i="1"/>
  <c r="G96" i="1"/>
  <c r="H96" i="1"/>
  <c r="I96" i="1"/>
  <c r="F97" i="1"/>
  <c r="G97" i="1"/>
  <c r="H97" i="1"/>
  <c r="I97" i="1"/>
  <c r="E97" i="1"/>
  <c r="E96" i="1"/>
  <c r="E95" i="1"/>
  <c r="E94" i="1"/>
  <c r="E93" i="1"/>
  <c r="E92" i="1"/>
  <c r="F91" i="1"/>
  <c r="G91" i="1"/>
  <c r="H91" i="1"/>
  <c r="I91" i="1"/>
  <c r="E91" i="1"/>
  <c r="F89" i="1"/>
  <c r="G89" i="1"/>
  <c r="H89" i="1"/>
  <c r="I89" i="1"/>
  <c r="E89" i="1"/>
  <c r="F93" i="6"/>
  <c r="G93" i="6"/>
  <c r="H93" i="6"/>
  <c r="I93" i="6"/>
  <c r="J93" i="6"/>
  <c r="K93" i="6"/>
  <c r="L93" i="6"/>
  <c r="M93" i="6"/>
  <c r="N93" i="6"/>
  <c r="F94" i="6"/>
  <c r="G94" i="6"/>
  <c r="H94" i="6"/>
  <c r="I94" i="6"/>
  <c r="F95" i="6"/>
  <c r="G95" i="6"/>
  <c r="H95" i="6"/>
  <c r="I95" i="6"/>
  <c r="J95" i="6"/>
  <c r="K95" i="6"/>
  <c r="L95" i="6"/>
  <c r="M95" i="6"/>
  <c r="N95" i="6"/>
  <c r="F96" i="6"/>
  <c r="G96" i="6"/>
  <c r="H96" i="6"/>
  <c r="I96" i="6"/>
  <c r="F97" i="6"/>
  <c r="G97" i="6"/>
  <c r="H97" i="6"/>
  <c r="I97" i="6"/>
  <c r="E97" i="6"/>
  <c r="E96" i="6"/>
  <c r="E95" i="6"/>
  <c r="E94" i="6"/>
  <c r="E93" i="6"/>
  <c r="F92" i="6"/>
  <c r="G92" i="6"/>
  <c r="H92" i="6"/>
  <c r="I92" i="6"/>
  <c r="J92" i="6"/>
  <c r="K92" i="6"/>
  <c r="L92" i="6"/>
  <c r="M92" i="6"/>
  <c r="N92" i="6"/>
  <c r="E92" i="6"/>
  <c r="F91" i="6"/>
  <c r="G91" i="6"/>
  <c r="H91" i="6"/>
  <c r="I91" i="6"/>
  <c r="E91" i="6"/>
  <c r="F89" i="6"/>
  <c r="G89" i="6"/>
  <c r="H89" i="6"/>
  <c r="I89" i="6"/>
  <c r="E89" i="6"/>
  <c r="N32" i="7" l="1"/>
  <c r="N33" i="7" s="1"/>
  <c r="D34" i="7"/>
  <c r="O37" i="7"/>
  <c r="O37" i="8"/>
  <c r="K254" i="1"/>
  <c r="J254" i="1"/>
  <c r="K247" i="1"/>
  <c r="J247" i="1"/>
  <c r="J246" i="1"/>
  <c r="K240" i="1"/>
  <c r="K216" i="1" s="1"/>
  <c r="L240" i="1"/>
  <c r="M240" i="1"/>
  <c r="N240" i="1"/>
  <c r="N216" i="1" s="1"/>
  <c r="J240" i="1"/>
  <c r="K234" i="1"/>
  <c r="L234" i="1"/>
  <c r="M234" i="1"/>
  <c r="N234" i="1"/>
  <c r="J234" i="1"/>
  <c r="K181" i="1"/>
  <c r="L181" i="1"/>
  <c r="M181" i="1" s="1"/>
  <c r="N181" i="1" s="1"/>
  <c r="J181" i="1"/>
  <c r="K172" i="1"/>
  <c r="L172" i="1" s="1"/>
  <c r="J172" i="1"/>
  <c r="K161" i="1"/>
  <c r="L161" i="1" s="1"/>
  <c r="M161" i="1" s="1"/>
  <c r="N161" i="1" s="1"/>
  <c r="J161" i="1"/>
  <c r="J138" i="1"/>
  <c r="J125" i="1"/>
  <c r="J124" i="1"/>
  <c r="J123" i="1"/>
  <c r="J122" i="1"/>
  <c r="J121" i="1"/>
  <c r="F121" i="1"/>
  <c r="G121" i="1"/>
  <c r="H121" i="1"/>
  <c r="I121" i="1"/>
  <c r="F122" i="1"/>
  <c r="G122" i="1"/>
  <c r="H122" i="1"/>
  <c r="I122" i="1"/>
  <c r="F123" i="1"/>
  <c r="G123" i="1"/>
  <c r="H123" i="1"/>
  <c r="I123" i="1"/>
  <c r="F124" i="1"/>
  <c r="G124" i="1"/>
  <c r="H124" i="1"/>
  <c r="I124" i="1"/>
  <c r="F125" i="1"/>
  <c r="G125" i="1"/>
  <c r="H125" i="1"/>
  <c r="I125" i="1"/>
  <c r="E125" i="1"/>
  <c r="E124" i="1"/>
  <c r="E123" i="1"/>
  <c r="E122" i="1"/>
  <c r="E121" i="1"/>
  <c r="J116" i="1"/>
  <c r="F116" i="1"/>
  <c r="G116" i="1"/>
  <c r="H116" i="1"/>
  <c r="I116" i="1"/>
  <c r="E116" i="1"/>
  <c r="J113" i="1"/>
  <c r="F113" i="1"/>
  <c r="G113" i="1"/>
  <c r="H113" i="1"/>
  <c r="I113" i="1"/>
  <c r="E113" i="1"/>
  <c r="J112" i="1"/>
  <c r="E112" i="1"/>
  <c r="F112" i="1"/>
  <c r="G112" i="1"/>
  <c r="H112" i="1"/>
  <c r="I112" i="1"/>
  <c r="K167" i="1"/>
  <c r="K201" i="1" s="1"/>
  <c r="J167" i="1"/>
  <c r="K155" i="1"/>
  <c r="L155" i="1" s="1"/>
  <c r="J155" i="1"/>
  <c r="J197" i="1" s="1"/>
  <c r="J174" i="1"/>
  <c r="K174" i="1" s="1"/>
  <c r="K173" i="1"/>
  <c r="L173" i="1" s="1"/>
  <c r="J173" i="1"/>
  <c r="J170" i="1"/>
  <c r="K170" i="1" s="1"/>
  <c r="J163" i="1"/>
  <c r="K163" i="1" s="1"/>
  <c r="L163" i="1" s="1"/>
  <c r="M163" i="1" s="1"/>
  <c r="N163" i="1" s="1"/>
  <c r="J160" i="1"/>
  <c r="K160" i="1" s="1"/>
  <c r="J157" i="1"/>
  <c r="K157" i="1" s="1"/>
  <c r="J156" i="1"/>
  <c r="K156" i="1" s="1"/>
  <c r="K154" i="1"/>
  <c r="L154" i="1" s="1"/>
  <c r="J154" i="1"/>
  <c r="J196" i="1" s="1"/>
  <c r="K140" i="1"/>
  <c r="L140" i="1"/>
  <c r="M140" i="1"/>
  <c r="N140" i="1"/>
  <c r="J140" i="1"/>
  <c r="J107" i="1"/>
  <c r="F107" i="1"/>
  <c r="G107" i="1"/>
  <c r="H107" i="1"/>
  <c r="I107" i="1"/>
  <c r="E107" i="1"/>
  <c r="K135" i="1"/>
  <c r="L135" i="1"/>
  <c r="M135" i="1"/>
  <c r="N135" i="1"/>
  <c r="K136" i="1"/>
  <c r="L136" i="1"/>
  <c r="M136" i="1"/>
  <c r="N136" i="1"/>
  <c r="J136" i="1"/>
  <c r="J135" i="1"/>
  <c r="K132" i="1"/>
  <c r="L132" i="1"/>
  <c r="M132" i="1"/>
  <c r="N132" i="1"/>
  <c r="J132" i="1"/>
  <c r="K129" i="1"/>
  <c r="L129" i="1" s="1"/>
  <c r="J129" i="1"/>
  <c r="E104" i="1"/>
  <c r="J104" i="1"/>
  <c r="J103" i="1"/>
  <c r="F103" i="1"/>
  <c r="G103" i="1"/>
  <c r="H103" i="1"/>
  <c r="I103" i="1"/>
  <c r="F104" i="1"/>
  <c r="G104" i="1"/>
  <c r="H104" i="1"/>
  <c r="I104" i="1"/>
  <c r="E103" i="1"/>
  <c r="J102" i="1"/>
  <c r="F102" i="1"/>
  <c r="G102" i="1"/>
  <c r="H102" i="1"/>
  <c r="I102" i="1"/>
  <c r="E102" i="1"/>
  <c r="J101" i="1"/>
  <c r="F101" i="1"/>
  <c r="G101" i="1"/>
  <c r="H101" i="1"/>
  <c r="I101" i="1"/>
  <c r="E101" i="1"/>
  <c r="F162" i="1"/>
  <c r="G162" i="1"/>
  <c r="H162" i="1"/>
  <c r="I162" i="1"/>
  <c r="F159" i="1"/>
  <c r="G159" i="1"/>
  <c r="H159" i="1"/>
  <c r="I159" i="1"/>
  <c r="F153" i="1"/>
  <c r="G153" i="1"/>
  <c r="H153" i="1"/>
  <c r="I153" i="1"/>
  <c r="G252" i="1"/>
  <c r="G255" i="1" s="1"/>
  <c r="H252" i="1" s="1"/>
  <c r="H255" i="1" s="1"/>
  <c r="I252" i="1" s="1"/>
  <c r="I255" i="1" s="1"/>
  <c r="J252" i="1" s="1"/>
  <c r="J255" i="1" s="1"/>
  <c r="K252" i="1" s="1"/>
  <c r="K255" i="1" s="1"/>
  <c r="L252" i="1" s="1"/>
  <c r="F252" i="1"/>
  <c r="F255" i="1"/>
  <c r="E255" i="1"/>
  <c r="E162" i="1" s="1"/>
  <c r="G245" i="1"/>
  <c r="F245" i="1"/>
  <c r="F248" i="1" s="1"/>
  <c r="G248" i="1"/>
  <c r="H245" i="1" s="1"/>
  <c r="H248" i="1" s="1"/>
  <c r="I245" i="1" s="1"/>
  <c r="I248" i="1" s="1"/>
  <c r="J245" i="1" s="1"/>
  <c r="J248" i="1" s="1"/>
  <c r="K245" i="1" s="1"/>
  <c r="K246" i="1" s="1"/>
  <c r="K207" i="1" s="1"/>
  <c r="E248" i="1"/>
  <c r="G239" i="1"/>
  <c r="H239" i="1"/>
  <c r="H241" i="1" s="1"/>
  <c r="F239" i="1"/>
  <c r="F241" i="1"/>
  <c r="F178" i="1" s="1"/>
  <c r="G241" i="1"/>
  <c r="G178" i="1" s="1"/>
  <c r="E241" i="1"/>
  <c r="G232" i="1"/>
  <c r="G235" i="1" s="1"/>
  <c r="F232" i="1"/>
  <c r="F235" i="1" s="1"/>
  <c r="F179" i="1" s="1"/>
  <c r="E235" i="1"/>
  <c r="G225" i="1"/>
  <c r="G228" i="1" s="1"/>
  <c r="F225" i="1"/>
  <c r="F228" i="1"/>
  <c r="F180" i="1" s="1"/>
  <c r="E228" i="1"/>
  <c r="F226" i="1"/>
  <c r="G226" i="1"/>
  <c r="H226" i="1"/>
  <c r="I226" i="1"/>
  <c r="E226" i="1"/>
  <c r="F221" i="1"/>
  <c r="E221" i="1"/>
  <c r="E153" i="1" s="1"/>
  <c r="E158" i="1" s="1"/>
  <c r="F220" i="1"/>
  <c r="G220" i="1"/>
  <c r="H220" i="1"/>
  <c r="I220" i="1"/>
  <c r="E220" i="1"/>
  <c r="F218" i="1"/>
  <c r="G218" i="1"/>
  <c r="H218" i="1"/>
  <c r="I218" i="1"/>
  <c r="E218" i="1"/>
  <c r="F215" i="1"/>
  <c r="G215" i="1"/>
  <c r="H215" i="1"/>
  <c r="I215" i="1"/>
  <c r="F216" i="1"/>
  <c r="G216" i="1"/>
  <c r="H216" i="1"/>
  <c r="I216" i="1"/>
  <c r="J216" i="1"/>
  <c r="L216" i="1"/>
  <c r="M216" i="1"/>
  <c r="F217" i="1"/>
  <c r="G217" i="1"/>
  <c r="H217" i="1"/>
  <c r="I217" i="1"/>
  <c r="G212" i="1"/>
  <c r="H212" i="1"/>
  <c r="I212" i="1"/>
  <c r="G213" i="1"/>
  <c r="H213" i="1"/>
  <c r="I213" i="1"/>
  <c r="J213" i="1"/>
  <c r="K213" i="1"/>
  <c r="G214" i="1"/>
  <c r="H214" i="1"/>
  <c r="I214" i="1"/>
  <c r="J214" i="1"/>
  <c r="E217" i="1"/>
  <c r="E216" i="1"/>
  <c r="E215" i="1"/>
  <c r="F214" i="1"/>
  <c r="F213" i="1"/>
  <c r="F212" i="1"/>
  <c r="F209" i="1"/>
  <c r="G209" i="1"/>
  <c r="H209" i="1"/>
  <c r="I209" i="1"/>
  <c r="E209" i="1"/>
  <c r="F207" i="1"/>
  <c r="G207" i="1"/>
  <c r="H207" i="1"/>
  <c r="I207" i="1"/>
  <c r="J207" i="1"/>
  <c r="E207" i="1"/>
  <c r="F204" i="1"/>
  <c r="G204" i="1"/>
  <c r="H204" i="1"/>
  <c r="I204" i="1"/>
  <c r="E204" i="1"/>
  <c r="G196" i="1"/>
  <c r="H196" i="1"/>
  <c r="I196" i="1"/>
  <c r="K196" i="1"/>
  <c r="G197" i="1"/>
  <c r="H197" i="1"/>
  <c r="I197" i="1"/>
  <c r="G198" i="1"/>
  <c r="H198" i="1"/>
  <c r="I198" i="1"/>
  <c r="J198" i="1"/>
  <c r="G199" i="1"/>
  <c r="H199" i="1"/>
  <c r="I199" i="1"/>
  <c r="J199" i="1"/>
  <c r="G200" i="1"/>
  <c r="H200" i="1"/>
  <c r="I200" i="1"/>
  <c r="J200" i="1"/>
  <c r="G201" i="1"/>
  <c r="H201" i="1"/>
  <c r="I201" i="1"/>
  <c r="J201" i="1"/>
  <c r="G202" i="1"/>
  <c r="H202" i="1"/>
  <c r="I202" i="1"/>
  <c r="J202" i="1"/>
  <c r="G203" i="1"/>
  <c r="H203" i="1"/>
  <c r="I203" i="1"/>
  <c r="J203" i="1"/>
  <c r="F203" i="1"/>
  <c r="F202" i="1"/>
  <c r="F201" i="1"/>
  <c r="F200" i="1"/>
  <c r="F199" i="1"/>
  <c r="F198" i="1"/>
  <c r="F197" i="1"/>
  <c r="F196" i="1"/>
  <c r="F191" i="1"/>
  <c r="G191" i="1"/>
  <c r="H191" i="1"/>
  <c r="I191" i="1"/>
  <c r="F192" i="1"/>
  <c r="G192" i="1"/>
  <c r="H192" i="1"/>
  <c r="I192" i="1"/>
  <c r="J192" i="1"/>
  <c r="K192" i="1"/>
  <c r="F193" i="1"/>
  <c r="G193" i="1"/>
  <c r="H193" i="1"/>
  <c r="I193" i="1"/>
  <c r="J193" i="1"/>
  <c r="K193" i="1"/>
  <c r="F194" i="1"/>
  <c r="G194" i="1"/>
  <c r="H194" i="1"/>
  <c r="I194" i="1"/>
  <c r="J194" i="1"/>
  <c r="K194" i="1"/>
  <c r="L194" i="1"/>
  <c r="M194" i="1"/>
  <c r="N194" i="1"/>
  <c r="E194" i="1"/>
  <c r="E193" i="1"/>
  <c r="E192" i="1"/>
  <c r="E191" i="1"/>
  <c r="G188" i="1"/>
  <c r="G221" i="1" s="1"/>
  <c r="H188" i="1" s="1"/>
  <c r="H221" i="1" s="1"/>
  <c r="I188" i="1" s="1"/>
  <c r="I221" i="1" s="1"/>
  <c r="J188" i="1" s="1"/>
  <c r="F188" i="1"/>
  <c r="E180" i="1"/>
  <c r="E179" i="1"/>
  <c r="E178" i="1"/>
  <c r="F175" i="1"/>
  <c r="G175" i="1"/>
  <c r="H175" i="1"/>
  <c r="I175" i="1"/>
  <c r="E175" i="1"/>
  <c r="F171" i="1"/>
  <c r="G171" i="1"/>
  <c r="H171" i="1"/>
  <c r="I171" i="1"/>
  <c r="E171" i="1"/>
  <c r="F164" i="1"/>
  <c r="G164" i="1"/>
  <c r="E159" i="1"/>
  <c r="F158" i="1"/>
  <c r="G158" i="1"/>
  <c r="H158" i="1"/>
  <c r="H164" i="1" s="1"/>
  <c r="I158" i="1"/>
  <c r="I164" i="1" s="1"/>
  <c r="F145" i="1"/>
  <c r="G145" i="1"/>
  <c r="H145" i="1"/>
  <c r="I145" i="1"/>
  <c r="F146" i="1"/>
  <c r="G146" i="1"/>
  <c r="H146" i="1"/>
  <c r="I146" i="1"/>
  <c r="E146" i="1"/>
  <c r="E145" i="1"/>
  <c r="F143" i="1"/>
  <c r="G143" i="1"/>
  <c r="H143" i="1"/>
  <c r="I143" i="1"/>
  <c r="E143" i="1"/>
  <c r="F141" i="1"/>
  <c r="G141" i="1"/>
  <c r="H141" i="1"/>
  <c r="I141" i="1"/>
  <c r="E141" i="1"/>
  <c r="F137" i="1"/>
  <c r="G137" i="1"/>
  <c r="H137" i="1"/>
  <c r="I137" i="1"/>
  <c r="E137" i="1"/>
  <c r="F134" i="1"/>
  <c r="G134" i="1"/>
  <c r="H134" i="1"/>
  <c r="I134" i="1"/>
  <c r="E134" i="1"/>
  <c r="F131" i="1"/>
  <c r="G131" i="1"/>
  <c r="H131" i="1"/>
  <c r="I131" i="1"/>
  <c r="J131" i="1"/>
  <c r="J134" i="1" s="1"/>
  <c r="J137" i="1" s="1"/>
  <c r="K131" i="1"/>
  <c r="K134" i="1" s="1"/>
  <c r="K137" i="1" s="1"/>
  <c r="E131" i="1"/>
  <c r="G133" i="1"/>
  <c r="H133" i="1"/>
  <c r="I133" i="1"/>
  <c r="J133" i="1"/>
  <c r="K133" i="1"/>
  <c r="L133" i="1"/>
  <c r="M133" i="1"/>
  <c r="N133" i="1"/>
  <c r="F133" i="1"/>
  <c r="G130" i="1"/>
  <c r="H130" i="1"/>
  <c r="I130" i="1"/>
  <c r="J130" i="1"/>
  <c r="K130" i="1"/>
  <c r="F130" i="1"/>
  <c r="I290" i="6"/>
  <c r="H290" i="6"/>
  <c r="G290" i="6"/>
  <c r="F290" i="6"/>
  <c r="F289" i="6" s="1"/>
  <c r="E290" i="6"/>
  <c r="H289" i="6"/>
  <c r="I288" i="6"/>
  <c r="I289" i="6" s="1"/>
  <c r="J289" i="6" s="1"/>
  <c r="K289" i="6" s="1"/>
  <c r="L289" i="6" s="1"/>
  <c r="M289" i="6" s="1"/>
  <c r="N289" i="6" s="1"/>
  <c r="H288" i="6"/>
  <c r="G288" i="6"/>
  <c r="G289" i="6" s="1"/>
  <c r="F288" i="6"/>
  <c r="E288" i="6"/>
  <c r="E289" i="6" s="1"/>
  <c r="I284" i="6"/>
  <c r="J284" i="6" s="1"/>
  <c r="K284" i="6" s="1"/>
  <c r="L284" i="6" s="1"/>
  <c r="M284" i="6" s="1"/>
  <c r="N284" i="6" s="1"/>
  <c r="J283" i="6"/>
  <c r="I279" i="6"/>
  <c r="H279" i="6"/>
  <c r="G279" i="6"/>
  <c r="F279" i="6"/>
  <c r="E279" i="6"/>
  <c r="E277" i="6"/>
  <c r="E278" i="6" s="1"/>
  <c r="I273" i="6"/>
  <c r="H273" i="6"/>
  <c r="G273" i="6"/>
  <c r="F273" i="6"/>
  <c r="E273" i="6"/>
  <c r="N265" i="6"/>
  <c r="M265" i="6"/>
  <c r="L265" i="6"/>
  <c r="K265" i="6"/>
  <c r="J265" i="6"/>
  <c r="E255" i="6"/>
  <c r="F252" i="6"/>
  <c r="F255" i="6" s="1"/>
  <c r="E248" i="6"/>
  <c r="F245" i="6" s="1"/>
  <c r="F248" i="6" s="1"/>
  <c r="G245" i="6" s="1"/>
  <c r="G248" i="6" s="1"/>
  <c r="H245" i="6"/>
  <c r="H248" i="6" s="1"/>
  <c r="I245" i="6" s="1"/>
  <c r="I248" i="6" s="1"/>
  <c r="I241" i="6"/>
  <c r="E241" i="6"/>
  <c r="F238" i="6" s="1"/>
  <c r="F241" i="6" s="1"/>
  <c r="G238" i="6" s="1"/>
  <c r="G241" i="6" s="1"/>
  <c r="H238" i="6" s="1"/>
  <c r="H241" i="6" s="1"/>
  <c r="I238" i="6"/>
  <c r="F234" i="6"/>
  <c r="E234" i="6"/>
  <c r="F231" i="6"/>
  <c r="I215" i="6"/>
  <c r="H215" i="6"/>
  <c r="G215" i="6"/>
  <c r="F215" i="6"/>
  <c r="E215" i="6"/>
  <c r="I214" i="6"/>
  <c r="H214" i="6"/>
  <c r="G214" i="6"/>
  <c r="F214" i="6"/>
  <c r="E214" i="6"/>
  <c r="I213" i="6"/>
  <c r="H213" i="6"/>
  <c r="G213" i="6"/>
  <c r="F213" i="6"/>
  <c r="E213" i="6"/>
  <c r="E216" i="6" s="1"/>
  <c r="I212" i="6"/>
  <c r="H212" i="6"/>
  <c r="G212" i="6"/>
  <c r="F212" i="6"/>
  <c r="F216" i="6" s="1"/>
  <c r="I211" i="6"/>
  <c r="H211" i="6"/>
  <c r="G211" i="6"/>
  <c r="F211" i="6"/>
  <c r="N210" i="6"/>
  <c r="M210" i="6"/>
  <c r="L210" i="6"/>
  <c r="K210" i="6"/>
  <c r="J210" i="6"/>
  <c r="I210" i="6"/>
  <c r="I216" i="6" s="1"/>
  <c r="H210" i="6"/>
  <c r="H216" i="6" s="1"/>
  <c r="G210" i="6"/>
  <c r="F210" i="6"/>
  <c r="I206" i="6"/>
  <c r="H206" i="6"/>
  <c r="G206" i="6"/>
  <c r="F206" i="6"/>
  <c r="I205" i="6"/>
  <c r="I207" i="6" s="1"/>
  <c r="H205" i="6"/>
  <c r="H207" i="6" s="1"/>
  <c r="G205" i="6"/>
  <c r="G207" i="6" s="1"/>
  <c r="F205" i="6"/>
  <c r="F207" i="6" s="1"/>
  <c r="E205" i="6"/>
  <c r="E207" i="6" s="1"/>
  <c r="I201" i="6"/>
  <c r="H201" i="6"/>
  <c r="G201" i="6"/>
  <c r="F201" i="6"/>
  <c r="I200" i="6"/>
  <c r="H200" i="6"/>
  <c r="G200" i="6"/>
  <c r="F200" i="6"/>
  <c r="I199" i="6"/>
  <c r="H199" i="6"/>
  <c r="G199" i="6"/>
  <c r="F199" i="6"/>
  <c r="I198" i="6"/>
  <c r="H198" i="6"/>
  <c r="G198" i="6"/>
  <c r="F198" i="6"/>
  <c r="I197" i="6"/>
  <c r="H197" i="6"/>
  <c r="G197" i="6"/>
  <c r="F197" i="6"/>
  <c r="I196" i="6"/>
  <c r="H196" i="6"/>
  <c r="G196" i="6"/>
  <c r="F196" i="6"/>
  <c r="I194" i="6"/>
  <c r="H194" i="6"/>
  <c r="G194" i="6"/>
  <c r="F194" i="6"/>
  <c r="E194" i="6"/>
  <c r="I193" i="6"/>
  <c r="H193" i="6"/>
  <c r="G193" i="6"/>
  <c r="F193" i="6"/>
  <c r="E193" i="6"/>
  <c r="I192" i="6"/>
  <c r="H192" i="6"/>
  <c r="G192" i="6"/>
  <c r="F192" i="6"/>
  <c r="E192" i="6"/>
  <c r="I191" i="6"/>
  <c r="H191" i="6"/>
  <c r="G191" i="6"/>
  <c r="F191" i="6"/>
  <c r="E191" i="6"/>
  <c r="J180" i="6"/>
  <c r="K180" i="6" s="1"/>
  <c r="L180" i="6" s="1"/>
  <c r="M180" i="6" s="1"/>
  <c r="N180" i="6" s="1"/>
  <c r="E178" i="6"/>
  <c r="E175" i="6"/>
  <c r="E173" i="6"/>
  <c r="E272" i="6" s="1"/>
  <c r="J172" i="6"/>
  <c r="I171" i="6"/>
  <c r="H171" i="6"/>
  <c r="G171" i="6"/>
  <c r="F171" i="6"/>
  <c r="E171" i="6"/>
  <c r="H161" i="6"/>
  <c r="G161" i="6"/>
  <c r="F161" i="6"/>
  <c r="E161" i="6"/>
  <c r="J160" i="6"/>
  <c r="H159" i="6"/>
  <c r="G159" i="6"/>
  <c r="F159" i="6"/>
  <c r="E159" i="6"/>
  <c r="I135" i="6"/>
  <c r="I138" i="6" s="1"/>
  <c r="I142" i="6" s="1"/>
  <c r="I144" i="6" s="1"/>
  <c r="I134" i="6"/>
  <c r="H134" i="6"/>
  <c r="G134" i="6"/>
  <c r="F134" i="6"/>
  <c r="I132" i="6"/>
  <c r="H132" i="6"/>
  <c r="H135" i="6" s="1"/>
  <c r="H138" i="6" s="1"/>
  <c r="H142" i="6" s="1"/>
  <c r="H144" i="6" s="1"/>
  <c r="G132" i="6"/>
  <c r="G135" i="6" s="1"/>
  <c r="G138" i="6" s="1"/>
  <c r="G142" i="6" s="1"/>
  <c r="G144" i="6" s="1"/>
  <c r="F132" i="6"/>
  <c r="F135" i="6" s="1"/>
  <c r="F138" i="6" s="1"/>
  <c r="F142" i="6" s="1"/>
  <c r="F144" i="6" s="1"/>
  <c r="E132" i="6"/>
  <c r="I131" i="6"/>
  <c r="H131" i="6"/>
  <c r="G131" i="6"/>
  <c r="G101" i="6" s="1"/>
  <c r="F131" i="6"/>
  <c r="I125" i="6"/>
  <c r="H125" i="6"/>
  <c r="G125" i="6"/>
  <c r="F125" i="6"/>
  <c r="E125" i="6"/>
  <c r="I124" i="6"/>
  <c r="H124" i="6"/>
  <c r="G124" i="6"/>
  <c r="F124" i="6"/>
  <c r="E124" i="6"/>
  <c r="J124" i="6" s="1"/>
  <c r="I117" i="6"/>
  <c r="H117" i="6"/>
  <c r="G117" i="6"/>
  <c r="F117" i="6"/>
  <c r="J117" i="6" s="1"/>
  <c r="E117" i="6"/>
  <c r="I114" i="6"/>
  <c r="H114" i="6"/>
  <c r="G114" i="6"/>
  <c r="F114" i="6"/>
  <c r="E114" i="6"/>
  <c r="J114" i="6" s="1"/>
  <c r="H113" i="6"/>
  <c r="G113" i="6"/>
  <c r="F113" i="6"/>
  <c r="I107" i="6"/>
  <c r="H107" i="6"/>
  <c r="G107" i="6"/>
  <c r="F107" i="6"/>
  <c r="E107" i="6"/>
  <c r="J107" i="6" s="1"/>
  <c r="N141" i="6" s="1"/>
  <c r="H104" i="6"/>
  <c r="G104" i="6"/>
  <c r="F104" i="6"/>
  <c r="I103" i="6"/>
  <c r="H103" i="6"/>
  <c r="G103" i="6"/>
  <c r="F103" i="6"/>
  <c r="E103" i="6"/>
  <c r="J103" i="6" s="1"/>
  <c r="H102" i="6"/>
  <c r="G102" i="6"/>
  <c r="F102" i="6"/>
  <c r="I101" i="6"/>
  <c r="H101" i="6"/>
  <c r="F101" i="6"/>
  <c r="E101" i="6"/>
  <c r="L254" i="1" l="1"/>
  <c r="L193" i="1" s="1"/>
  <c r="K162" i="1"/>
  <c r="J162" i="1"/>
  <c r="J159" i="1"/>
  <c r="K248" i="1"/>
  <c r="L245" i="1" s="1"/>
  <c r="K159" i="1"/>
  <c r="M172" i="1"/>
  <c r="L213" i="1"/>
  <c r="L167" i="1"/>
  <c r="L197" i="1"/>
  <c r="M155" i="1"/>
  <c r="K197" i="1"/>
  <c r="L174" i="1"/>
  <c r="K214" i="1"/>
  <c r="L203" i="1"/>
  <c r="M173" i="1"/>
  <c r="K203" i="1"/>
  <c r="K202" i="1"/>
  <c r="L170" i="1"/>
  <c r="K200" i="1"/>
  <c r="L160" i="1"/>
  <c r="L200" i="1" s="1"/>
  <c r="L199" i="1"/>
  <c r="L157" i="1"/>
  <c r="K199" i="1"/>
  <c r="L156" i="1"/>
  <c r="K198" i="1"/>
  <c r="L198" i="1"/>
  <c r="L196" i="1"/>
  <c r="M154" i="1"/>
  <c r="L130" i="1"/>
  <c r="M129" i="1"/>
  <c r="L131" i="1"/>
  <c r="L134" i="1" s="1"/>
  <c r="L137" i="1" s="1"/>
  <c r="E164" i="1"/>
  <c r="I239" i="1"/>
  <c r="I241" i="1" s="1"/>
  <c r="H178" i="1"/>
  <c r="G179" i="1"/>
  <c r="H232" i="1"/>
  <c r="H235" i="1" s="1"/>
  <c r="F182" i="1"/>
  <c r="E182" i="1"/>
  <c r="G180" i="1"/>
  <c r="G182" i="1" s="1"/>
  <c r="H225" i="1"/>
  <c r="H228" i="1" s="1"/>
  <c r="I224" i="6"/>
  <c r="I190" i="6"/>
  <c r="I202" i="6" s="1"/>
  <c r="I218" i="6" s="1"/>
  <c r="I146" i="6"/>
  <c r="I147" i="6"/>
  <c r="H224" i="6"/>
  <c r="H190" i="6"/>
  <c r="H202" i="6" s="1"/>
  <c r="H218" i="6" s="1"/>
  <c r="H146" i="6"/>
  <c r="H147" i="6"/>
  <c r="J125" i="6"/>
  <c r="E113" i="6"/>
  <c r="J113" i="6" s="1"/>
  <c r="E104" i="6"/>
  <c r="J104" i="6" s="1"/>
  <c r="E102" i="6"/>
  <c r="J102" i="6" s="1"/>
  <c r="I113" i="6"/>
  <c r="I104" i="6"/>
  <c r="I102" i="6"/>
  <c r="E135" i="6"/>
  <c r="E138" i="6" s="1"/>
  <c r="E142" i="6" s="1"/>
  <c r="E144" i="6" s="1"/>
  <c r="K141" i="6"/>
  <c r="M141" i="6"/>
  <c r="L141" i="6"/>
  <c r="F224" i="6"/>
  <c r="F190" i="6"/>
  <c r="F202" i="6" s="1"/>
  <c r="F218" i="6" s="1"/>
  <c r="F147" i="6"/>
  <c r="F146" i="6"/>
  <c r="J101" i="6"/>
  <c r="J130" i="6" s="1"/>
  <c r="K233" i="6"/>
  <c r="N233" i="6"/>
  <c r="J233" i="6"/>
  <c r="M233" i="6"/>
  <c r="L233" i="6"/>
  <c r="G224" i="6"/>
  <c r="G146" i="6"/>
  <c r="G147" i="6"/>
  <c r="G190" i="6"/>
  <c r="G202" i="6" s="1"/>
  <c r="J141" i="6"/>
  <c r="J238" i="6"/>
  <c r="I159" i="6"/>
  <c r="G231" i="6"/>
  <c r="G234" i="6" s="1"/>
  <c r="F178" i="6"/>
  <c r="G252" i="6"/>
  <c r="G255" i="6" s="1"/>
  <c r="F173" i="6"/>
  <c r="F272" i="6" s="1"/>
  <c r="J211" i="6"/>
  <c r="K172" i="6"/>
  <c r="J245" i="6"/>
  <c r="I161" i="6"/>
  <c r="K160" i="6"/>
  <c r="G216" i="6"/>
  <c r="F271" i="6"/>
  <c r="L255" i="1" l="1"/>
  <c r="L246" i="1"/>
  <c r="L207" i="1" s="1"/>
  <c r="L247" i="1"/>
  <c r="L192" i="1" s="1"/>
  <c r="N172" i="1"/>
  <c r="N213" i="1" s="1"/>
  <c r="M213" i="1"/>
  <c r="M167" i="1"/>
  <c r="L201" i="1"/>
  <c r="N155" i="1"/>
  <c r="N197" i="1" s="1"/>
  <c r="M197" i="1"/>
  <c r="M174" i="1"/>
  <c r="L214" i="1"/>
  <c r="N173" i="1"/>
  <c r="N203" i="1" s="1"/>
  <c r="M203" i="1"/>
  <c r="M170" i="1"/>
  <c r="L202" i="1"/>
  <c r="M160" i="1"/>
  <c r="M200" i="1"/>
  <c r="M157" i="1"/>
  <c r="M199" i="1"/>
  <c r="M156" i="1"/>
  <c r="N154" i="1"/>
  <c r="N196" i="1" s="1"/>
  <c r="M196" i="1"/>
  <c r="M131" i="1"/>
  <c r="M134" i="1" s="1"/>
  <c r="M137" i="1" s="1"/>
  <c r="M130" i="1"/>
  <c r="N129" i="1"/>
  <c r="I178" i="1"/>
  <c r="J239" i="1"/>
  <c r="J241" i="1" s="1"/>
  <c r="H179" i="1"/>
  <c r="I232" i="1"/>
  <c r="I235" i="1" s="1"/>
  <c r="H180" i="1"/>
  <c r="I225" i="1"/>
  <c r="I228" i="1" s="1"/>
  <c r="J247" i="6"/>
  <c r="J192" i="6" s="1"/>
  <c r="J248" i="6"/>
  <c r="M287" i="6"/>
  <c r="M194" i="6"/>
  <c r="E224" i="6"/>
  <c r="E190" i="6"/>
  <c r="E202" i="6" s="1"/>
  <c r="E218" i="6" s="1"/>
  <c r="E219" i="6" s="1"/>
  <c r="E147" i="6"/>
  <c r="E146" i="6"/>
  <c r="G122" i="6"/>
  <c r="G123" i="6"/>
  <c r="N287" i="6"/>
  <c r="N194" i="6"/>
  <c r="J132" i="6"/>
  <c r="J131" i="6"/>
  <c r="K130" i="6"/>
  <c r="F122" i="6"/>
  <c r="F123" i="6"/>
  <c r="L160" i="6"/>
  <c r="H231" i="6"/>
  <c r="H234" i="6" s="1"/>
  <c r="G178" i="6"/>
  <c r="J287" i="6"/>
  <c r="J194" i="6"/>
  <c r="K211" i="6"/>
  <c r="L172" i="6"/>
  <c r="F175" i="6"/>
  <c r="H252" i="6"/>
  <c r="H255" i="6" s="1"/>
  <c r="G173" i="6"/>
  <c r="G218" i="6"/>
  <c r="L287" i="6"/>
  <c r="L194" i="6"/>
  <c r="K287" i="6"/>
  <c r="K194" i="6"/>
  <c r="L232" i="6"/>
  <c r="K232" i="6"/>
  <c r="N232" i="6"/>
  <c r="J232" i="6"/>
  <c r="M232" i="6"/>
  <c r="H123" i="6"/>
  <c r="H122" i="6"/>
  <c r="I123" i="6"/>
  <c r="I122" i="6"/>
  <c r="M252" i="1" l="1"/>
  <c r="L162" i="1"/>
  <c r="L248" i="1"/>
  <c r="M245" i="1"/>
  <c r="L159" i="1"/>
  <c r="N167" i="1"/>
  <c r="N201" i="1" s="1"/>
  <c r="M201" i="1"/>
  <c r="N174" i="1"/>
  <c r="N214" i="1" s="1"/>
  <c r="M214" i="1"/>
  <c r="N170" i="1"/>
  <c r="M202" i="1"/>
  <c r="N160" i="1"/>
  <c r="N200" i="1" s="1"/>
  <c r="N157" i="1"/>
  <c r="N199" i="1" s="1"/>
  <c r="N156" i="1"/>
  <c r="N198" i="1"/>
  <c r="M198" i="1"/>
  <c r="N131" i="1"/>
  <c r="N134" i="1" s="1"/>
  <c r="N137" i="1" s="1"/>
  <c r="N130" i="1"/>
  <c r="K239" i="1"/>
  <c r="K241" i="1" s="1"/>
  <c r="J178" i="1"/>
  <c r="H182" i="1"/>
  <c r="I179" i="1"/>
  <c r="J232" i="1"/>
  <c r="I180" i="1"/>
  <c r="I182" i="1" s="1"/>
  <c r="J225" i="1"/>
  <c r="L285" i="6"/>
  <c r="L214" i="6"/>
  <c r="J239" i="6"/>
  <c r="J135" i="6"/>
  <c r="J137" i="6"/>
  <c r="J136" i="6"/>
  <c r="J133" i="6"/>
  <c r="J134" i="6" s="1"/>
  <c r="J214" i="6"/>
  <c r="J285" i="6"/>
  <c r="I231" i="6"/>
  <c r="I234" i="6" s="1"/>
  <c r="H178" i="6"/>
  <c r="N285" i="6"/>
  <c r="N214" i="6"/>
  <c r="L211" i="6"/>
  <c r="M172" i="6"/>
  <c r="M160" i="6"/>
  <c r="K132" i="6"/>
  <c r="L130" i="6"/>
  <c r="K131" i="6"/>
  <c r="K245" i="6"/>
  <c r="J161" i="6"/>
  <c r="M285" i="6"/>
  <c r="M214" i="6"/>
  <c r="I252" i="6"/>
  <c r="I255" i="6" s="1"/>
  <c r="H173" i="6"/>
  <c r="E227" i="6"/>
  <c r="E123" i="6"/>
  <c r="E122" i="6"/>
  <c r="J122" i="6" s="1"/>
  <c r="J123" i="6" s="1"/>
  <c r="K285" i="6"/>
  <c r="K214" i="6"/>
  <c r="G272" i="6"/>
  <c r="G175" i="6"/>
  <c r="J170" i="6"/>
  <c r="J174" i="6"/>
  <c r="J162" i="6"/>
  <c r="J167" i="6"/>
  <c r="J157" i="6"/>
  <c r="J155" i="6"/>
  <c r="F187" i="6"/>
  <c r="E154" i="6"/>
  <c r="M254" i="1" l="1"/>
  <c r="M193" i="1" s="1"/>
  <c r="M246" i="1"/>
  <c r="M207" i="1" s="1"/>
  <c r="N202" i="1"/>
  <c r="K178" i="1"/>
  <c r="L239" i="1"/>
  <c r="L241" i="1" s="1"/>
  <c r="G271" i="6"/>
  <c r="J231" i="6"/>
  <c r="J234" i="6" s="1"/>
  <c r="I178" i="6"/>
  <c r="J205" i="6"/>
  <c r="J240" i="6"/>
  <c r="J191" i="6" s="1"/>
  <c r="K157" i="6"/>
  <c r="J198" i="6"/>
  <c r="F223" i="6"/>
  <c r="F227" i="6" s="1"/>
  <c r="E179" i="6"/>
  <c r="E181" i="6" s="1"/>
  <c r="L131" i="6"/>
  <c r="M130" i="6"/>
  <c r="L132" i="6"/>
  <c r="E158" i="6"/>
  <c r="E163" i="6" s="1"/>
  <c r="E126" i="6"/>
  <c r="K167" i="6"/>
  <c r="J200" i="6"/>
  <c r="H272" i="6"/>
  <c r="H175" i="6"/>
  <c r="K136" i="6"/>
  <c r="K133" i="6"/>
  <c r="K134" i="6" s="1"/>
  <c r="K135" i="6"/>
  <c r="K137" i="6"/>
  <c r="J138" i="6"/>
  <c r="K155" i="6"/>
  <c r="J196" i="6"/>
  <c r="J212" i="6"/>
  <c r="K174" i="6"/>
  <c r="J201" i="6"/>
  <c r="K170" i="6"/>
  <c r="M211" i="6"/>
  <c r="N172" i="6"/>
  <c r="F277" i="6"/>
  <c r="F278" i="6" s="1"/>
  <c r="F219" i="6"/>
  <c r="K162" i="6"/>
  <c r="J206" i="6"/>
  <c r="J252" i="6"/>
  <c r="I173" i="6"/>
  <c r="K248" i="6"/>
  <c r="K247" i="6"/>
  <c r="K192" i="6" s="1"/>
  <c r="N160" i="6"/>
  <c r="J166" i="6"/>
  <c r="J156" i="6"/>
  <c r="M255" i="1" l="1"/>
  <c r="M247" i="1"/>
  <c r="M192" i="1" s="1"/>
  <c r="M239" i="1"/>
  <c r="M241" i="1" s="1"/>
  <c r="L178" i="1"/>
  <c r="K138" i="6"/>
  <c r="K200" i="6"/>
  <c r="L167" i="6"/>
  <c r="L137" i="6"/>
  <c r="L135" i="6"/>
  <c r="L133" i="6"/>
  <c r="L134" i="6" s="1"/>
  <c r="L136" i="6"/>
  <c r="J197" i="6"/>
  <c r="K197" i="6"/>
  <c r="K156" i="6"/>
  <c r="G187" i="6"/>
  <c r="F154" i="6"/>
  <c r="M131" i="6"/>
  <c r="N130" i="6"/>
  <c r="M132" i="6"/>
  <c r="J241" i="6"/>
  <c r="L245" i="6"/>
  <c r="K161" i="6"/>
  <c r="N211" i="6"/>
  <c r="L196" i="6"/>
  <c r="L155" i="6"/>
  <c r="L157" i="6"/>
  <c r="L198" i="6"/>
  <c r="I272" i="6"/>
  <c r="I175" i="6"/>
  <c r="L162" i="6"/>
  <c r="L206" i="6"/>
  <c r="K212" i="6"/>
  <c r="L174" i="6"/>
  <c r="K196" i="6"/>
  <c r="G223" i="6"/>
  <c r="G227" i="6" s="1"/>
  <c r="F179" i="6"/>
  <c r="F181" i="6" s="1"/>
  <c r="K231" i="6"/>
  <c r="K234" i="6" s="1"/>
  <c r="J178" i="6"/>
  <c r="J199" i="6"/>
  <c r="J171" i="6"/>
  <c r="K166" i="6"/>
  <c r="K206" i="6"/>
  <c r="L170" i="6"/>
  <c r="K201" i="6"/>
  <c r="I271" i="6"/>
  <c r="E183" i="6"/>
  <c r="E184" i="6"/>
  <c r="K198" i="6"/>
  <c r="J207" i="6"/>
  <c r="H271" i="6"/>
  <c r="K271" i="6" s="1"/>
  <c r="N252" i="1" l="1"/>
  <c r="M162" i="1"/>
  <c r="M248" i="1"/>
  <c r="N239" i="1"/>
  <c r="N241" i="1" s="1"/>
  <c r="N178" i="1" s="1"/>
  <c r="M178" i="1"/>
  <c r="J271" i="6"/>
  <c r="G277" i="6"/>
  <c r="G278" i="6" s="1"/>
  <c r="G219" i="6"/>
  <c r="K238" i="6"/>
  <c r="J159" i="6"/>
  <c r="L166" i="6"/>
  <c r="K199" i="6"/>
  <c r="K171" i="6"/>
  <c r="L231" i="6"/>
  <c r="L234" i="6" s="1"/>
  <c r="K178" i="6"/>
  <c r="L212" i="6"/>
  <c r="M174" i="6"/>
  <c r="M155" i="6"/>
  <c r="N271" i="6"/>
  <c r="M136" i="6"/>
  <c r="M133" i="6"/>
  <c r="M134" i="6" s="1"/>
  <c r="M137" i="6"/>
  <c r="L197" i="6"/>
  <c r="L156" i="6"/>
  <c r="H223" i="6"/>
  <c r="H227" i="6" s="1"/>
  <c r="G179" i="6"/>
  <c r="G181" i="6" s="1"/>
  <c r="L271" i="6"/>
  <c r="M162" i="6"/>
  <c r="M206" i="6"/>
  <c r="M157" i="6"/>
  <c r="M271" i="6"/>
  <c r="L201" i="6"/>
  <c r="M170" i="6"/>
  <c r="L248" i="6"/>
  <c r="L247" i="6"/>
  <c r="L192" i="6" s="1"/>
  <c r="N132" i="6"/>
  <c r="N131" i="6"/>
  <c r="F158" i="6"/>
  <c r="F163" i="6" s="1"/>
  <c r="F126" i="6"/>
  <c r="L138" i="6"/>
  <c r="M167" i="6"/>
  <c r="L200" i="6"/>
  <c r="N254" i="1" l="1"/>
  <c r="N193" i="1" s="1"/>
  <c r="M159" i="1"/>
  <c r="N245" i="1"/>
  <c r="F183" i="6"/>
  <c r="F184" i="6"/>
  <c r="M245" i="6"/>
  <c r="L161" i="6"/>
  <c r="I223" i="6"/>
  <c r="I227" i="6" s="1"/>
  <c r="H179" i="6"/>
  <c r="H181" i="6" s="1"/>
  <c r="M212" i="6"/>
  <c r="N174" i="6"/>
  <c r="N212" i="6" s="1"/>
  <c r="H187" i="6"/>
  <c r="G154" i="6"/>
  <c r="M200" i="6"/>
  <c r="N167" i="6"/>
  <c r="N200" i="6" s="1"/>
  <c r="N162" i="6"/>
  <c r="N206" i="6"/>
  <c r="M156" i="6"/>
  <c r="M197" i="6"/>
  <c r="K240" i="6"/>
  <c r="K191" i="6" s="1"/>
  <c r="K239" i="6"/>
  <c r="K205" i="6" s="1"/>
  <c r="K207" i="6" s="1"/>
  <c r="N135" i="6"/>
  <c r="N137" i="6"/>
  <c r="N136" i="6"/>
  <c r="N133" i="6"/>
  <c r="N134" i="6" s="1"/>
  <c r="N198" i="6"/>
  <c r="N157" i="6"/>
  <c r="N155" i="6"/>
  <c r="N196" i="6" s="1"/>
  <c r="L199" i="6"/>
  <c r="L171" i="6"/>
  <c r="M166" i="6"/>
  <c r="N170" i="6"/>
  <c r="N201" i="6" s="1"/>
  <c r="M201" i="6"/>
  <c r="M198" i="6"/>
  <c r="M135" i="6"/>
  <c r="M138" i="6" s="1"/>
  <c r="M196" i="6"/>
  <c r="M231" i="6"/>
  <c r="M234" i="6" s="1"/>
  <c r="L178" i="6"/>
  <c r="N255" i="1" l="1"/>
  <c r="N162" i="1" s="1"/>
  <c r="N246" i="1"/>
  <c r="N207" i="1" s="1"/>
  <c r="N166" i="6"/>
  <c r="M199" i="6"/>
  <c r="M171" i="6"/>
  <c r="N138" i="6"/>
  <c r="M178" i="6"/>
  <c r="N231" i="6"/>
  <c r="N234" i="6" s="1"/>
  <c r="N178" i="6" s="1"/>
  <c r="G158" i="6"/>
  <c r="G163" i="6" s="1"/>
  <c r="G126" i="6"/>
  <c r="M247" i="6"/>
  <c r="M192" i="6" s="1"/>
  <c r="M248" i="6"/>
  <c r="H277" i="6"/>
  <c r="H278" i="6" s="1"/>
  <c r="H219" i="6"/>
  <c r="K241" i="6"/>
  <c r="N197" i="6"/>
  <c r="N156" i="6"/>
  <c r="J223" i="6"/>
  <c r="I179" i="6"/>
  <c r="I181" i="6" s="1"/>
  <c r="N247" i="1" l="1"/>
  <c r="N192" i="1" s="1"/>
  <c r="N248" i="1"/>
  <c r="N159" i="1" s="1"/>
  <c r="L238" i="6"/>
  <c r="K159" i="6"/>
  <c r="N245" i="6"/>
  <c r="M161" i="6"/>
  <c r="H154" i="6"/>
  <c r="I187" i="6"/>
  <c r="G184" i="6"/>
  <c r="G183" i="6"/>
  <c r="N199" i="6"/>
  <c r="N171" i="6"/>
  <c r="I277" i="6" l="1"/>
  <c r="I278" i="6" s="1"/>
  <c r="I219" i="6"/>
  <c r="H158" i="6"/>
  <c r="H163" i="6" s="1"/>
  <c r="H126" i="6"/>
  <c r="L240" i="6"/>
  <c r="L191" i="6" s="1"/>
  <c r="L239" i="6"/>
  <c r="L205" i="6" s="1"/>
  <c r="L207" i="6" s="1"/>
  <c r="N247" i="6"/>
  <c r="N192" i="6" s="1"/>
  <c r="N248" i="6"/>
  <c r="N161" i="6" s="1"/>
  <c r="J187" i="6" l="1"/>
  <c r="I154" i="6"/>
  <c r="H184" i="6"/>
  <c r="H183" i="6"/>
  <c r="L241" i="6"/>
  <c r="M278" i="6"/>
  <c r="N278" i="6"/>
  <c r="L278" i="6"/>
  <c r="K278" i="6"/>
  <c r="J278" i="6"/>
  <c r="I158" i="6" l="1"/>
  <c r="I163" i="6" s="1"/>
  <c r="I126" i="6"/>
  <c r="J126" i="6" s="1"/>
  <c r="L159" i="6"/>
  <c r="M238" i="6"/>
  <c r="J259" i="6"/>
  <c r="J277" i="6"/>
  <c r="J279" i="6" s="1"/>
  <c r="J139" i="6" s="1"/>
  <c r="J261" i="6" l="1"/>
  <c r="K261" i="6"/>
  <c r="L261" i="6"/>
  <c r="M261" i="6"/>
  <c r="N261" i="6"/>
  <c r="M239" i="6"/>
  <c r="M205" i="6" s="1"/>
  <c r="M207" i="6" s="1"/>
  <c r="I183" i="6"/>
  <c r="I184" i="6"/>
  <c r="M240" i="6" l="1"/>
  <c r="M191" i="6" s="1"/>
  <c r="M241" i="6" l="1"/>
  <c r="N238" i="6" l="1"/>
  <c r="M159" i="6"/>
  <c r="N239" i="6" l="1"/>
  <c r="N205" i="6" s="1"/>
  <c r="N207" i="6" s="1"/>
  <c r="N240" i="6" l="1"/>
  <c r="N191" i="6" s="1"/>
  <c r="N241" i="6" l="1"/>
  <c r="N159" i="6" s="1"/>
  <c r="J67" i="6" l="1"/>
  <c r="K67" i="6"/>
  <c r="L67" i="6"/>
  <c r="J67" i="1"/>
  <c r="K67" i="1"/>
  <c r="L67" i="1"/>
  <c r="J67" i="7"/>
  <c r="K67" i="7"/>
  <c r="T4" i="12"/>
  <c r="U4" i="12"/>
  <c r="V4" i="12"/>
  <c r="W4" i="12"/>
  <c r="T5" i="12"/>
  <c r="U5" i="12"/>
  <c r="V5" i="12"/>
  <c r="W5" i="12"/>
  <c r="T6" i="12"/>
  <c r="U6" i="12"/>
  <c r="V6" i="12"/>
  <c r="W6" i="12"/>
  <c r="T7" i="12"/>
  <c r="U7" i="12"/>
  <c r="V7" i="12"/>
  <c r="W7" i="12"/>
  <c r="T8" i="12"/>
  <c r="U8" i="12"/>
  <c r="V8" i="12"/>
  <c r="W8" i="12"/>
  <c r="T9" i="12"/>
  <c r="U9" i="12"/>
  <c r="V9" i="12"/>
  <c r="W9" i="12"/>
  <c r="T10" i="12"/>
  <c r="U10" i="12"/>
  <c r="V10" i="12"/>
  <c r="W10" i="12"/>
  <c r="T11" i="12"/>
  <c r="U11" i="12"/>
  <c r="V11" i="12"/>
  <c r="W11" i="12"/>
  <c r="T12" i="12"/>
  <c r="U12" i="12"/>
  <c r="V12" i="12"/>
  <c r="W12" i="12"/>
  <c r="T13" i="12"/>
  <c r="U13" i="12"/>
  <c r="V13" i="12"/>
  <c r="W13" i="12"/>
  <c r="T14" i="12"/>
  <c r="U14" i="12"/>
  <c r="V14" i="12"/>
  <c r="W14" i="12"/>
  <c r="T15" i="12"/>
  <c r="U15" i="12"/>
  <c r="V15" i="12"/>
  <c r="W15" i="12"/>
  <c r="T16" i="12"/>
  <c r="U16" i="12"/>
  <c r="V16" i="12"/>
  <c r="W16" i="12"/>
  <c r="T17" i="12"/>
  <c r="U17" i="12"/>
  <c r="V17" i="12"/>
  <c r="W17" i="12"/>
  <c r="T18" i="12"/>
  <c r="U18" i="12"/>
  <c r="V18" i="12"/>
  <c r="W18" i="12"/>
  <c r="T19" i="12"/>
  <c r="U19" i="12"/>
  <c r="V19" i="12"/>
  <c r="W19" i="12"/>
  <c r="T20" i="12"/>
  <c r="U20" i="12"/>
  <c r="V20" i="12"/>
  <c r="W20" i="12"/>
  <c r="T21" i="12"/>
  <c r="U21" i="12"/>
  <c r="V21" i="12"/>
  <c r="W21" i="12"/>
  <c r="T22" i="12"/>
  <c r="U22" i="12"/>
  <c r="V22" i="12"/>
  <c r="W22" i="12"/>
  <c r="T23" i="12"/>
  <c r="U23" i="12"/>
  <c r="V23" i="12"/>
  <c r="W23" i="12"/>
  <c r="T24" i="12"/>
  <c r="U24" i="12"/>
  <c r="V24" i="12"/>
  <c r="W24" i="12"/>
  <c r="T25" i="12"/>
  <c r="U25" i="12"/>
  <c r="V25" i="12"/>
  <c r="W25" i="12"/>
  <c r="T26" i="12"/>
  <c r="U26" i="12"/>
  <c r="V26" i="12"/>
  <c r="W26" i="12"/>
  <c r="T27" i="12"/>
  <c r="U27" i="12"/>
  <c r="V27" i="12"/>
  <c r="W27" i="12"/>
  <c r="T28" i="12"/>
  <c r="U28" i="12"/>
  <c r="V28" i="12"/>
  <c r="W28" i="12"/>
  <c r="T29" i="12"/>
  <c r="U29" i="12"/>
  <c r="V29" i="12"/>
  <c r="W29" i="12"/>
  <c r="T30" i="12"/>
  <c r="U30" i="12"/>
  <c r="V30" i="12"/>
  <c r="W30" i="12"/>
  <c r="T31" i="12"/>
  <c r="U31" i="12"/>
  <c r="V31" i="12"/>
  <c r="W31" i="12"/>
  <c r="T32" i="12"/>
  <c r="U32" i="12"/>
  <c r="V32" i="12"/>
  <c r="W32" i="12"/>
  <c r="T33" i="12"/>
  <c r="U33" i="12"/>
  <c r="V33" i="12"/>
  <c r="W33" i="12"/>
  <c r="T34" i="12"/>
  <c r="U34" i="12"/>
  <c r="V34" i="12"/>
  <c r="W34" i="12"/>
  <c r="T35" i="12"/>
  <c r="U35" i="12"/>
  <c r="V35" i="12"/>
  <c r="W35" i="12"/>
  <c r="T36" i="12"/>
  <c r="U36" i="12"/>
  <c r="V36" i="12"/>
  <c r="W36" i="12"/>
  <c r="T37" i="12"/>
  <c r="U37" i="12"/>
  <c r="V37" i="12"/>
  <c r="W37" i="12"/>
  <c r="T38" i="12"/>
  <c r="U38" i="12"/>
  <c r="V38" i="12"/>
  <c r="W38" i="12"/>
  <c r="T39" i="12"/>
  <c r="U39" i="12"/>
  <c r="V39" i="12"/>
  <c r="W39" i="12"/>
  <c r="T40" i="12"/>
  <c r="U40" i="12"/>
  <c r="V40" i="12"/>
  <c r="W40" i="12"/>
  <c r="T41" i="12"/>
  <c r="U41" i="12"/>
  <c r="V41" i="12"/>
  <c r="W41" i="12"/>
  <c r="T42" i="12"/>
  <c r="U42" i="12"/>
  <c r="V42" i="12"/>
  <c r="W42" i="12"/>
  <c r="T43" i="12"/>
  <c r="U43" i="12"/>
  <c r="V43" i="12"/>
  <c r="W43" i="12"/>
  <c r="T44" i="12"/>
  <c r="U44" i="12"/>
  <c r="V44" i="12"/>
  <c r="W44" i="12"/>
  <c r="T45" i="12"/>
  <c r="U45" i="12"/>
  <c r="V45" i="12"/>
  <c r="W45" i="12"/>
  <c r="T46" i="12"/>
  <c r="U46" i="12"/>
  <c r="V46" i="12"/>
  <c r="W46" i="12"/>
  <c r="T47" i="12"/>
  <c r="U47" i="12"/>
  <c r="V47" i="12"/>
  <c r="W47" i="12"/>
  <c r="T48" i="12"/>
  <c r="U48" i="12"/>
  <c r="V48" i="12"/>
  <c r="W48" i="12"/>
  <c r="T49" i="12"/>
  <c r="U49" i="12"/>
  <c r="V49" i="12"/>
  <c r="W49" i="12"/>
  <c r="T50" i="12"/>
  <c r="U50" i="12"/>
  <c r="V50" i="12"/>
  <c r="W50" i="12"/>
  <c r="T51" i="12"/>
  <c r="U51" i="12"/>
  <c r="V51" i="12"/>
  <c r="W51" i="12"/>
  <c r="T52" i="12"/>
  <c r="U52" i="12"/>
  <c r="V52" i="12"/>
  <c r="W52" i="12"/>
  <c r="T53" i="12"/>
  <c r="U53" i="12"/>
  <c r="V53" i="12"/>
  <c r="W53" i="12"/>
  <c r="T54" i="12"/>
  <c r="U54" i="12"/>
  <c r="V54" i="12"/>
  <c r="W54" i="12"/>
  <c r="T55" i="12"/>
  <c r="U55" i="12"/>
  <c r="V55" i="12"/>
  <c r="W55" i="12"/>
  <c r="T56" i="12"/>
  <c r="U56" i="12"/>
  <c r="V56" i="12"/>
  <c r="W56" i="12"/>
  <c r="T57" i="12"/>
  <c r="U57" i="12"/>
  <c r="V57" i="12"/>
  <c r="W57" i="12"/>
  <c r="T58" i="12"/>
  <c r="U58" i="12"/>
  <c r="V58" i="12"/>
  <c r="W58" i="12"/>
  <c r="T59" i="12"/>
  <c r="U59" i="12"/>
  <c r="V59" i="12"/>
  <c r="W59" i="12"/>
  <c r="T60" i="12"/>
  <c r="U60" i="12"/>
  <c r="V60" i="12"/>
  <c r="W60" i="12"/>
  <c r="T61" i="12"/>
  <c r="U61" i="12"/>
  <c r="V61" i="12"/>
  <c r="W61" i="12"/>
  <c r="T62" i="12"/>
  <c r="U62" i="12"/>
  <c r="V62" i="12"/>
  <c r="W62" i="12"/>
  <c r="U3" i="12"/>
  <c r="V3" i="12"/>
  <c r="W3" i="12"/>
  <c r="N4" i="12"/>
  <c r="O4" i="12"/>
  <c r="P4" i="12"/>
  <c r="Q4" i="12"/>
  <c r="N5" i="12"/>
  <c r="O5" i="12"/>
  <c r="P5" i="12"/>
  <c r="Q5" i="12"/>
  <c r="N6" i="12"/>
  <c r="O6" i="12"/>
  <c r="P6" i="12"/>
  <c r="Q6" i="12"/>
  <c r="N7" i="12"/>
  <c r="O7" i="12"/>
  <c r="P7" i="12"/>
  <c r="Q7" i="12"/>
  <c r="N8" i="12"/>
  <c r="O8" i="12"/>
  <c r="P8" i="12"/>
  <c r="Q8" i="12"/>
  <c r="N9" i="12"/>
  <c r="O9" i="12"/>
  <c r="P9" i="12"/>
  <c r="Q9" i="12"/>
  <c r="N10" i="12"/>
  <c r="O10" i="12"/>
  <c r="P10" i="12"/>
  <c r="Q10" i="12"/>
  <c r="N11" i="12"/>
  <c r="O11" i="12"/>
  <c r="P11" i="12"/>
  <c r="Q11" i="12"/>
  <c r="N12" i="12"/>
  <c r="O12" i="12"/>
  <c r="P12" i="12"/>
  <c r="Q12" i="12"/>
  <c r="N13" i="12"/>
  <c r="O13" i="12"/>
  <c r="P13" i="12"/>
  <c r="Q13" i="12"/>
  <c r="N14" i="12"/>
  <c r="O14" i="12"/>
  <c r="P14" i="12"/>
  <c r="Q14" i="12"/>
  <c r="N15" i="12"/>
  <c r="O15" i="12"/>
  <c r="P15" i="12"/>
  <c r="Q15" i="12"/>
  <c r="N16" i="12"/>
  <c r="O16" i="12"/>
  <c r="P16" i="12"/>
  <c r="Q16" i="12"/>
  <c r="N17" i="12"/>
  <c r="O17" i="12"/>
  <c r="P17" i="12"/>
  <c r="Q17" i="12"/>
  <c r="N18" i="12"/>
  <c r="O18" i="12"/>
  <c r="P18" i="12"/>
  <c r="Q18" i="12"/>
  <c r="N19" i="12"/>
  <c r="O19" i="12"/>
  <c r="P19" i="12"/>
  <c r="Q19" i="12"/>
  <c r="N20" i="12"/>
  <c r="O20" i="12"/>
  <c r="P20" i="12"/>
  <c r="Q20" i="12"/>
  <c r="N21" i="12"/>
  <c r="O21" i="12"/>
  <c r="P21" i="12"/>
  <c r="Q21" i="12"/>
  <c r="N22" i="12"/>
  <c r="O22" i="12"/>
  <c r="P22" i="12"/>
  <c r="Q22" i="12"/>
  <c r="N23" i="12"/>
  <c r="O23" i="12"/>
  <c r="P23" i="12"/>
  <c r="Q23" i="12"/>
  <c r="N24" i="12"/>
  <c r="O24" i="12"/>
  <c r="P24" i="12"/>
  <c r="Q24" i="12"/>
  <c r="N25" i="12"/>
  <c r="O25" i="12"/>
  <c r="P25" i="12"/>
  <c r="Q25" i="12"/>
  <c r="N26" i="12"/>
  <c r="O26" i="12"/>
  <c r="P26" i="12"/>
  <c r="Q26" i="12"/>
  <c r="N27" i="12"/>
  <c r="O27" i="12"/>
  <c r="P27" i="12"/>
  <c r="Q27" i="12"/>
  <c r="N28" i="12"/>
  <c r="O28" i="12"/>
  <c r="P28" i="12"/>
  <c r="Q28" i="12"/>
  <c r="N29" i="12"/>
  <c r="O29" i="12"/>
  <c r="P29" i="12"/>
  <c r="Q29" i="12"/>
  <c r="N30" i="12"/>
  <c r="O30" i="12"/>
  <c r="P30" i="12"/>
  <c r="Q30" i="12"/>
  <c r="N31" i="12"/>
  <c r="O31" i="12"/>
  <c r="P31" i="12"/>
  <c r="Q31" i="12"/>
  <c r="N32" i="12"/>
  <c r="O32" i="12"/>
  <c r="P32" i="12"/>
  <c r="Q32" i="12"/>
  <c r="N33" i="12"/>
  <c r="O33" i="12"/>
  <c r="P33" i="12"/>
  <c r="Q33" i="12"/>
  <c r="N34" i="12"/>
  <c r="O34" i="12"/>
  <c r="P34" i="12"/>
  <c r="Q34" i="12"/>
  <c r="N35" i="12"/>
  <c r="O35" i="12"/>
  <c r="P35" i="12"/>
  <c r="Q35" i="12"/>
  <c r="N36" i="12"/>
  <c r="O36" i="12"/>
  <c r="P36" i="12"/>
  <c r="Q36" i="12"/>
  <c r="N37" i="12"/>
  <c r="O37" i="12"/>
  <c r="P37" i="12"/>
  <c r="Q37" i="12"/>
  <c r="N38" i="12"/>
  <c r="O38" i="12"/>
  <c r="P38" i="12"/>
  <c r="Q38" i="12"/>
  <c r="N39" i="12"/>
  <c r="O39" i="12"/>
  <c r="P39" i="12"/>
  <c r="Q39" i="12"/>
  <c r="N40" i="12"/>
  <c r="O40" i="12"/>
  <c r="P40" i="12"/>
  <c r="Q40" i="12"/>
  <c r="N41" i="12"/>
  <c r="O41" i="12"/>
  <c r="P41" i="12"/>
  <c r="Q41" i="12"/>
  <c r="N42" i="12"/>
  <c r="O42" i="12"/>
  <c r="P42" i="12"/>
  <c r="Q42" i="12"/>
  <c r="N43" i="12"/>
  <c r="O43" i="12"/>
  <c r="P43" i="12"/>
  <c r="Q43" i="12"/>
  <c r="N44" i="12"/>
  <c r="O44" i="12"/>
  <c r="P44" i="12"/>
  <c r="Q44" i="12"/>
  <c r="N45" i="12"/>
  <c r="O45" i="12"/>
  <c r="P45" i="12"/>
  <c r="Q45" i="12"/>
  <c r="N46" i="12"/>
  <c r="O46" i="12"/>
  <c r="P46" i="12"/>
  <c r="Q46" i="12"/>
  <c r="N47" i="12"/>
  <c r="O47" i="12"/>
  <c r="P47" i="12"/>
  <c r="Q47" i="12"/>
  <c r="N48" i="12"/>
  <c r="O48" i="12"/>
  <c r="P48" i="12"/>
  <c r="Q48" i="12"/>
  <c r="N49" i="12"/>
  <c r="O49" i="12"/>
  <c r="P49" i="12"/>
  <c r="Q49" i="12"/>
  <c r="N50" i="12"/>
  <c r="O50" i="12"/>
  <c r="P50" i="12"/>
  <c r="Q50" i="12"/>
  <c r="N51" i="12"/>
  <c r="O51" i="12"/>
  <c r="P51" i="12"/>
  <c r="Q51" i="12"/>
  <c r="N52" i="12"/>
  <c r="O52" i="12"/>
  <c r="P52" i="12"/>
  <c r="Q52" i="12"/>
  <c r="N53" i="12"/>
  <c r="O53" i="12"/>
  <c r="P53" i="12"/>
  <c r="Q53" i="12"/>
  <c r="N54" i="12"/>
  <c r="O54" i="12"/>
  <c r="P54" i="12"/>
  <c r="Q54" i="12"/>
  <c r="N55" i="12"/>
  <c r="O55" i="12"/>
  <c r="P55" i="12"/>
  <c r="Q55" i="12"/>
  <c r="N56" i="12"/>
  <c r="O56" i="12"/>
  <c r="P56" i="12"/>
  <c r="Q56" i="12"/>
  <c r="N57" i="12"/>
  <c r="O57" i="12"/>
  <c r="P57" i="12"/>
  <c r="Q57" i="12"/>
  <c r="N58" i="12"/>
  <c r="O58" i="12"/>
  <c r="P58" i="12"/>
  <c r="Q58" i="12"/>
  <c r="N59" i="12"/>
  <c r="O59" i="12"/>
  <c r="P59" i="12"/>
  <c r="Q59" i="12"/>
  <c r="N60" i="12"/>
  <c r="O60" i="12"/>
  <c r="P60" i="12"/>
  <c r="Q60" i="12"/>
  <c r="N61" i="12"/>
  <c r="O61" i="12"/>
  <c r="P61" i="12"/>
  <c r="Q61" i="12"/>
  <c r="N62" i="12"/>
  <c r="O62" i="12"/>
  <c r="P62" i="12"/>
  <c r="Q62" i="12"/>
  <c r="O3" i="12"/>
  <c r="P3" i="12"/>
  <c r="Q3" i="12"/>
  <c r="H4" i="12"/>
  <c r="I4" i="12"/>
  <c r="J4" i="12"/>
  <c r="K4" i="12"/>
  <c r="H5" i="12"/>
  <c r="I5" i="12"/>
  <c r="J5" i="12"/>
  <c r="K5" i="12"/>
  <c r="H6" i="12"/>
  <c r="I6" i="12"/>
  <c r="J6" i="12"/>
  <c r="K6" i="12"/>
  <c r="H7" i="12"/>
  <c r="I7" i="12"/>
  <c r="J7" i="12"/>
  <c r="K7" i="12"/>
  <c r="H8" i="12"/>
  <c r="I8" i="12"/>
  <c r="J8" i="12"/>
  <c r="K8" i="12"/>
  <c r="H9" i="12"/>
  <c r="I9" i="12"/>
  <c r="J9" i="12"/>
  <c r="K9" i="12"/>
  <c r="H10" i="12"/>
  <c r="I10" i="12"/>
  <c r="J10" i="12"/>
  <c r="K10" i="12"/>
  <c r="H11" i="12"/>
  <c r="I11" i="12"/>
  <c r="J11" i="12"/>
  <c r="K11" i="12"/>
  <c r="H12" i="12"/>
  <c r="I12" i="12"/>
  <c r="J12" i="12"/>
  <c r="K12" i="12"/>
  <c r="H13" i="12"/>
  <c r="I13" i="12"/>
  <c r="J13" i="12"/>
  <c r="K13" i="12"/>
  <c r="H14" i="12"/>
  <c r="I14" i="12"/>
  <c r="J14" i="12"/>
  <c r="K14" i="12"/>
  <c r="H15" i="12"/>
  <c r="I15" i="12"/>
  <c r="J15" i="12"/>
  <c r="K15" i="12"/>
  <c r="H16" i="12"/>
  <c r="I16" i="12"/>
  <c r="J16" i="12"/>
  <c r="K16" i="12"/>
  <c r="H17" i="12"/>
  <c r="I17" i="12"/>
  <c r="J17" i="12"/>
  <c r="K17" i="12"/>
  <c r="H18" i="12"/>
  <c r="I18" i="12"/>
  <c r="J18" i="12"/>
  <c r="K18" i="12"/>
  <c r="H19" i="12"/>
  <c r="I19" i="12"/>
  <c r="J19" i="12"/>
  <c r="K19" i="12"/>
  <c r="H20" i="12"/>
  <c r="I20" i="12"/>
  <c r="J20" i="12"/>
  <c r="K20" i="12"/>
  <c r="H21" i="12"/>
  <c r="I21" i="12"/>
  <c r="J21" i="12"/>
  <c r="K21" i="12"/>
  <c r="H22" i="12"/>
  <c r="I22" i="12"/>
  <c r="J22" i="12"/>
  <c r="K22" i="12"/>
  <c r="H23" i="12"/>
  <c r="I23" i="12"/>
  <c r="J23" i="12"/>
  <c r="K23" i="12"/>
  <c r="H24" i="12"/>
  <c r="I24" i="12"/>
  <c r="J24" i="12"/>
  <c r="K24" i="12"/>
  <c r="H25" i="12"/>
  <c r="I25" i="12"/>
  <c r="J25" i="12"/>
  <c r="K25" i="12"/>
  <c r="H26" i="12"/>
  <c r="I26" i="12"/>
  <c r="J26" i="12"/>
  <c r="K26" i="12"/>
  <c r="H27" i="12"/>
  <c r="I27" i="12"/>
  <c r="J27" i="12"/>
  <c r="K27" i="12"/>
  <c r="H28" i="12"/>
  <c r="I28" i="12"/>
  <c r="J28" i="12"/>
  <c r="K28" i="12"/>
  <c r="H29" i="12"/>
  <c r="I29" i="12"/>
  <c r="J29" i="12"/>
  <c r="K29" i="12"/>
  <c r="H30" i="12"/>
  <c r="I30" i="12"/>
  <c r="J30" i="12"/>
  <c r="K30" i="12"/>
  <c r="H31" i="12"/>
  <c r="I31" i="12"/>
  <c r="J31" i="12"/>
  <c r="K31" i="12"/>
  <c r="H32" i="12"/>
  <c r="I32" i="12"/>
  <c r="J32" i="12"/>
  <c r="K32" i="12"/>
  <c r="H33" i="12"/>
  <c r="I33" i="12"/>
  <c r="J33" i="12"/>
  <c r="K33" i="12"/>
  <c r="H34" i="12"/>
  <c r="I34" i="12"/>
  <c r="J34" i="12"/>
  <c r="K34" i="12"/>
  <c r="H35" i="12"/>
  <c r="I35" i="12"/>
  <c r="J35" i="12"/>
  <c r="K35" i="12"/>
  <c r="H36" i="12"/>
  <c r="I36" i="12"/>
  <c r="J36" i="12"/>
  <c r="K36" i="12"/>
  <c r="H37" i="12"/>
  <c r="I37" i="12"/>
  <c r="J37" i="12"/>
  <c r="K37" i="12"/>
  <c r="H38" i="12"/>
  <c r="I38" i="12"/>
  <c r="J38" i="12"/>
  <c r="K38" i="12"/>
  <c r="H39" i="12"/>
  <c r="I39" i="12"/>
  <c r="J39" i="12"/>
  <c r="K39" i="12"/>
  <c r="H40" i="12"/>
  <c r="I40" i="12"/>
  <c r="J40" i="12"/>
  <c r="K40" i="12"/>
  <c r="H41" i="12"/>
  <c r="I41" i="12"/>
  <c r="J41" i="12"/>
  <c r="K41" i="12"/>
  <c r="H42" i="12"/>
  <c r="I42" i="12"/>
  <c r="J42" i="12"/>
  <c r="K42" i="12"/>
  <c r="H43" i="12"/>
  <c r="I43" i="12"/>
  <c r="J43" i="12"/>
  <c r="K43" i="12"/>
  <c r="H44" i="12"/>
  <c r="I44" i="12"/>
  <c r="J44" i="12"/>
  <c r="K44" i="12"/>
  <c r="H45" i="12"/>
  <c r="I45" i="12"/>
  <c r="J45" i="12"/>
  <c r="K45" i="12"/>
  <c r="H46" i="12"/>
  <c r="I46" i="12"/>
  <c r="J46" i="12"/>
  <c r="K46" i="12"/>
  <c r="H47" i="12"/>
  <c r="I47" i="12"/>
  <c r="J47" i="12"/>
  <c r="K47" i="12"/>
  <c r="H48" i="12"/>
  <c r="I48" i="12"/>
  <c r="J48" i="12"/>
  <c r="K48" i="12"/>
  <c r="H49" i="12"/>
  <c r="I49" i="12"/>
  <c r="J49" i="12"/>
  <c r="K49" i="12"/>
  <c r="H50" i="12"/>
  <c r="I50" i="12"/>
  <c r="J50" i="12"/>
  <c r="K50" i="12"/>
  <c r="H51" i="12"/>
  <c r="I51" i="12"/>
  <c r="J51" i="12"/>
  <c r="K51" i="12"/>
  <c r="H52" i="12"/>
  <c r="I52" i="12"/>
  <c r="J52" i="12"/>
  <c r="K52" i="12"/>
  <c r="H53" i="12"/>
  <c r="I53" i="12"/>
  <c r="J53" i="12"/>
  <c r="K53" i="12"/>
  <c r="H54" i="12"/>
  <c r="I54" i="12"/>
  <c r="J54" i="12"/>
  <c r="K54" i="12"/>
  <c r="H55" i="12"/>
  <c r="I55" i="12"/>
  <c r="J55" i="12"/>
  <c r="K55" i="12"/>
  <c r="H56" i="12"/>
  <c r="I56" i="12"/>
  <c r="J56" i="12"/>
  <c r="K56" i="12"/>
  <c r="H57" i="12"/>
  <c r="I57" i="12"/>
  <c r="J57" i="12"/>
  <c r="K57" i="12"/>
  <c r="H58" i="12"/>
  <c r="I58" i="12"/>
  <c r="J58" i="12"/>
  <c r="K58" i="12"/>
  <c r="H59" i="12"/>
  <c r="I59" i="12"/>
  <c r="J59" i="12"/>
  <c r="K59" i="12"/>
  <c r="H60" i="12"/>
  <c r="I60" i="12"/>
  <c r="J60" i="12"/>
  <c r="K60" i="12"/>
  <c r="H61" i="12"/>
  <c r="I61" i="12"/>
  <c r="J61" i="12"/>
  <c r="K61" i="12"/>
  <c r="H62" i="12"/>
  <c r="I62" i="12"/>
  <c r="J62" i="12"/>
  <c r="K62" i="12"/>
  <c r="I3" i="12"/>
  <c r="J3" i="12"/>
  <c r="K3" i="12"/>
  <c r="T3" i="12"/>
  <c r="N3" i="12"/>
  <c r="H3" i="12"/>
  <c r="B4" i="12"/>
  <c r="C4" i="12"/>
  <c r="D4" i="12"/>
  <c r="E4" i="12"/>
  <c r="B5" i="12"/>
  <c r="C5" i="12"/>
  <c r="D5" i="12"/>
  <c r="E5" i="12"/>
  <c r="B6" i="12"/>
  <c r="C6" i="12"/>
  <c r="D6" i="12"/>
  <c r="E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C3" i="12"/>
  <c r="D3" i="12"/>
  <c r="E3" i="12"/>
  <c r="B3" i="12"/>
  <c r="L68" i="8"/>
  <c r="K68" i="8"/>
  <c r="J68" i="8"/>
  <c r="L67" i="8"/>
  <c r="K67" i="8"/>
  <c r="J67" i="8"/>
  <c r="L66" i="8"/>
  <c r="K66" i="8"/>
  <c r="J66" i="8"/>
  <c r="L65" i="8"/>
  <c r="K65" i="8"/>
  <c r="J65" i="8"/>
  <c r="L64" i="8"/>
  <c r="K64" i="8"/>
  <c r="J64" i="8"/>
  <c r="L68" i="6"/>
  <c r="K68" i="6"/>
  <c r="J68" i="6"/>
  <c r="L66" i="6"/>
  <c r="K66" i="6"/>
  <c r="J66" i="6"/>
  <c r="L65" i="6"/>
  <c r="K65" i="6"/>
  <c r="J65" i="6"/>
  <c r="L64" i="6"/>
  <c r="K64" i="6"/>
  <c r="J64" i="6"/>
  <c r="L63" i="6"/>
  <c r="K63" i="6"/>
  <c r="J63" i="6"/>
  <c r="K68" i="7"/>
  <c r="J68" i="7"/>
  <c r="K66" i="7"/>
  <c r="J66" i="7"/>
  <c r="K65" i="7"/>
  <c r="J65" i="7"/>
  <c r="K64" i="7"/>
  <c r="J64" i="7"/>
  <c r="I284" i="1"/>
  <c r="L68" i="1"/>
  <c r="K68" i="1"/>
  <c r="J68" i="1"/>
  <c r="L66" i="1"/>
  <c r="K66" i="1"/>
  <c r="J66" i="1"/>
  <c r="L65" i="1"/>
  <c r="K65" i="1"/>
  <c r="J65" i="1"/>
  <c r="L64" i="1"/>
  <c r="K64" i="1"/>
  <c r="J64" i="1"/>
  <c r="E183" i="8" l="1"/>
  <c r="E184" i="8" l="1"/>
  <c r="F183" i="8" l="1"/>
  <c r="F184" i="8"/>
  <c r="G183" i="8" l="1"/>
  <c r="G184" i="8"/>
  <c r="H183" i="8" l="1"/>
  <c r="H184" i="8"/>
  <c r="I184" i="8" l="1"/>
  <c r="I183" i="8"/>
  <c r="E25" i="8" l="1"/>
  <c r="E24" i="8"/>
  <c r="E23" i="8"/>
  <c r="J284" i="1" l="1"/>
  <c r="K284" i="1" s="1"/>
  <c r="L284" i="1" s="1"/>
  <c r="M284" i="1" s="1"/>
  <c r="N284" i="1" s="1"/>
  <c r="F290" i="1"/>
  <c r="G290" i="1"/>
  <c r="H290" i="1"/>
  <c r="I290" i="1"/>
  <c r="F288" i="1"/>
  <c r="G288" i="1"/>
  <c r="H288" i="1"/>
  <c r="I288" i="1"/>
  <c r="J283" i="1" s="1"/>
  <c r="E290" i="1"/>
  <c r="E288" i="1"/>
  <c r="E25" i="7" l="1"/>
  <c r="L287" i="1"/>
  <c r="E289" i="1"/>
  <c r="H289" i="1"/>
  <c r="F289" i="1"/>
  <c r="G289" i="1"/>
  <c r="I289" i="1"/>
  <c r="J289" i="1" s="1"/>
  <c r="K289" i="1" s="1"/>
  <c r="L289" i="1" s="1"/>
  <c r="M289" i="1" s="1"/>
  <c r="N289" i="1" s="1"/>
  <c r="E25" i="6" l="1"/>
  <c r="K287" i="1"/>
  <c r="M287" i="1"/>
  <c r="N287" i="1"/>
  <c r="J287" i="1"/>
  <c r="K285" i="1"/>
  <c r="L285" i="1"/>
  <c r="M285" i="1"/>
  <c r="N285" i="1"/>
  <c r="J285" i="1"/>
  <c r="E23" i="6" l="1"/>
  <c r="E184" i="7" l="1"/>
  <c r="E183" i="7"/>
  <c r="F184" i="7" l="1"/>
  <c r="F183" i="7" l="1"/>
  <c r="G184" i="7"/>
  <c r="E24" i="6" l="1"/>
  <c r="G183" i="7" l="1"/>
  <c r="H184" i="7"/>
  <c r="H183" i="7" l="1"/>
  <c r="I184" i="7" l="1"/>
  <c r="E23" i="7" l="1"/>
  <c r="E24" i="7"/>
  <c r="I183" i="7"/>
  <c r="G208" i="1" l="1"/>
  <c r="H208" i="1"/>
  <c r="I208" i="1"/>
  <c r="F208" i="1"/>
  <c r="I279" i="1"/>
  <c r="H279" i="1"/>
  <c r="G279" i="1"/>
  <c r="F279" i="1"/>
  <c r="E279" i="1"/>
  <c r="E277" i="1"/>
  <c r="I273" i="1"/>
  <c r="H273" i="1"/>
  <c r="G273" i="1"/>
  <c r="F273" i="1"/>
  <c r="E273" i="1"/>
  <c r="I272" i="1"/>
  <c r="H272" i="1"/>
  <c r="G272" i="1"/>
  <c r="F272" i="1"/>
  <c r="E272" i="1"/>
  <c r="J265" i="1"/>
  <c r="I271" i="1" l="1"/>
  <c r="E278" i="1"/>
  <c r="F271" i="1"/>
  <c r="H271" i="1"/>
  <c r="G271" i="1"/>
  <c r="E25" i="1" l="1"/>
  <c r="L271" i="1"/>
  <c r="K271" i="1"/>
  <c r="M271" i="1"/>
  <c r="N271" i="1"/>
  <c r="J271" i="1"/>
  <c r="F277" i="1" l="1"/>
  <c r="F278" i="1" s="1"/>
  <c r="K208" i="1" l="1"/>
  <c r="K209" i="1" s="1"/>
  <c r="J208" i="1"/>
  <c r="J209" i="1" s="1"/>
  <c r="E185" i="1" l="1"/>
  <c r="E184" i="1"/>
  <c r="L208" i="1"/>
  <c r="L209" i="1" s="1"/>
  <c r="G277" i="1"/>
  <c r="G278" i="1" s="1"/>
  <c r="M208" i="1" l="1"/>
  <c r="M209" i="1" s="1"/>
  <c r="F185" i="1"/>
  <c r="F184" i="1"/>
  <c r="N208" i="1" l="1"/>
  <c r="N209" i="1" s="1"/>
  <c r="H277" i="1"/>
  <c r="H278" i="1" s="1"/>
  <c r="N261" i="1" l="1"/>
  <c r="J261" i="1"/>
  <c r="K261" i="1"/>
  <c r="L261" i="1"/>
  <c r="M261" i="1"/>
  <c r="G185" i="1"/>
  <c r="G184" i="1"/>
  <c r="I277" i="1" l="1"/>
  <c r="I278" i="1" s="1"/>
  <c r="E23" i="1" l="1"/>
  <c r="E24" i="1"/>
  <c r="L278" i="1"/>
  <c r="K278" i="1"/>
  <c r="J278" i="1"/>
  <c r="M278" i="1"/>
  <c r="N278" i="1"/>
  <c r="H185" i="1"/>
  <c r="H184" i="1"/>
  <c r="J259" i="1" l="1"/>
  <c r="J277" i="1"/>
  <c r="J279" i="1" s="1"/>
  <c r="I185" i="1" l="1"/>
  <c r="I184" i="1"/>
  <c r="E21" i="8" l="1"/>
  <c r="J40" i="8" l="1"/>
  <c r="J38" i="8"/>
  <c r="J39" i="8"/>
  <c r="D49" i="8" l="1"/>
  <c r="N51" i="8" s="1"/>
  <c r="D55" i="8" s="1"/>
  <c r="D57" i="8" s="1"/>
  <c r="E22" i="8" s="1"/>
  <c r="C17" i="8" l="1"/>
  <c r="C18" i="8"/>
  <c r="C16" i="8"/>
  <c r="D16" i="8" l="1"/>
  <c r="E16" i="8" s="1"/>
  <c r="G2" i="8" s="1"/>
  <c r="B63" i="12"/>
  <c r="D18" i="8"/>
  <c r="E18" i="8" s="1"/>
  <c r="D63" i="12"/>
  <c r="D17" i="8"/>
  <c r="E17" i="8" s="1"/>
  <c r="C63" i="12"/>
  <c r="J183" i="8"/>
  <c r="J184" i="8"/>
  <c r="K184" i="8" l="1"/>
  <c r="K183" i="8"/>
  <c r="L184" i="8" l="1"/>
  <c r="L183" i="8"/>
  <c r="M184" i="8" l="1"/>
  <c r="M183" i="8"/>
  <c r="N183" i="8" l="1"/>
  <c r="N184" i="8"/>
  <c r="E21" i="7"/>
  <c r="E39" i="7" s="1"/>
  <c r="J38" i="7" l="1"/>
  <c r="J39" i="7"/>
  <c r="J40" i="7"/>
  <c r="J37" i="7"/>
  <c r="D44" i="7" l="1"/>
  <c r="D49" i="7" s="1"/>
  <c r="N50" i="7"/>
  <c r="N51" i="7" s="1"/>
  <c r="D52" i="7" s="1"/>
  <c r="D55" i="7" s="1"/>
  <c r="D57" i="7" s="1"/>
  <c r="D58" i="7" s="1"/>
  <c r="E22" i="7" s="1"/>
  <c r="C17" i="7" l="1"/>
  <c r="C16" i="7"/>
  <c r="C18" i="7"/>
  <c r="J184" i="7"/>
  <c r="J183" i="7"/>
  <c r="D16" i="7" l="1"/>
  <c r="E16" i="7" s="1"/>
  <c r="G2" i="7" s="1"/>
  <c r="T63" i="12"/>
  <c r="D18" i="7"/>
  <c r="E18" i="7" s="1"/>
  <c r="V63" i="12"/>
  <c r="D17" i="7"/>
  <c r="E17" i="7" s="1"/>
  <c r="U63" i="12"/>
  <c r="K184" i="7"/>
  <c r="K183" i="7"/>
  <c r="L184" i="7" l="1"/>
  <c r="L183" i="7"/>
  <c r="M184" i="7" l="1"/>
  <c r="M183" i="7"/>
  <c r="N184" i="7" l="1"/>
  <c r="N183" i="7"/>
  <c r="J37" i="1" l="1"/>
  <c r="E39" i="1"/>
  <c r="J38" i="1" s="1"/>
  <c r="J39" i="1"/>
  <c r="J40" i="1"/>
  <c r="D49" i="1" l="1"/>
  <c r="E18" i="1"/>
  <c r="D18" i="1"/>
  <c r="N149" i="1"/>
  <c r="N290" i="1"/>
  <c r="N150" i="6"/>
  <c r="N290" i="6"/>
  <c r="E22" i="6"/>
  <c r="D58" i="6"/>
  <c r="D57" i="6"/>
  <c r="D55" i="6"/>
  <c r="D52" i="6"/>
  <c r="J51" i="6"/>
  <c r="J47" i="6"/>
  <c r="K91" i="1"/>
  <c r="K139" i="1"/>
  <c r="K273" i="1"/>
  <c r="M181" i="6"/>
  <c r="M179" i="6"/>
  <c r="L217" i="1"/>
  <c r="L233" i="1"/>
  <c r="L286" i="1"/>
  <c r="N283" i="6"/>
  <c r="N288" i="6"/>
  <c r="N149" i="6"/>
  <c r="M266" i="1"/>
  <c r="M262" i="1"/>
  <c r="M259" i="1"/>
  <c r="L91" i="1"/>
  <c r="L139" i="1"/>
  <c r="L273" i="1"/>
  <c r="K272" i="1"/>
  <c r="K33" i="1"/>
  <c r="K29" i="1"/>
  <c r="N175" i="6"/>
  <c r="N252" i="6"/>
  <c r="N255" i="6"/>
  <c r="N173" i="6"/>
  <c r="N272" i="6"/>
  <c r="L253" i="6"/>
  <c r="L254" i="6"/>
  <c r="L193" i="6"/>
  <c r="J143" i="6"/>
  <c r="N182" i="1"/>
  <c r="N179" i="1"/>
  <c r="N235" i="1"/>
  <c r="N232" i="1"/>
  <c r="M89" i="1"/>
  <c r="N286" i="1"/>
  <c r="N233" i="1"/>
  <c r="N217" i="1"/>
  <c r="N185" i="1"/>
  <c r="N164" i="1"/>
  <c r="N184" i="1"/>
  <c r="K267" i="6"/>
  <c r="K266" i="6"/>
  <c r="K262" i="6"/>
  <c r="K259" i="6"/>
  <c r="M91" i="1"/>
  <c r="M139" i="1"/>
  <c r="M273" i="1"/>
  <c r="L272" i="1"/>
  <c r="K175" i="1"/>
  <c r="K171" i="1"/>
  <c r="L266" i="1"/>
  <c r="L262" i="1"/>
  <c r="L259" i="1"/>
  <c r="L148" i="1"/>
  <c r="N63" i="12"/>
  <c r="K91" i="6"/>
  <c r="K140" i="6"/>
  <c r="K273" i="6"/>
  <c r="N267" i="6"/>
  <c r="N266" i="6"/>
  <c r="N262" i="6"/>
  <c r="N259" i="6"/>
  <c r="K149" i="1"/>
  <c r="K290" i="1"/>
  <c r="M184" i="1"/>
  <c r="M153" i="1"/>
  <c r="M158" i="1"/>
  <c r="M164" i="1"/>
  <c r="M185" i="1"/>
  <c r="J217" i="1"/>
  <c r="J175" i="6"/>
  <c r="N51" i="1"/>
  <c r="N47" i="1"/>
  <c r="N50" i="1"/>
  <c r="J180" i="1"/>
  <c r="M147" i="6"/>
  <c r="M97" i="6"/>
  <c r="M146" i="6"/>
  <c r="M96" i="6"/>
  <c r="M94" i="6"/>
  <c r="E17" i="1"/>
  <c r="D17" i="1"/>
  <c r="M223" i="6"/>
  <c r="M227" i="6"/>
  <c r="N223" i="6"/>
  <c r="N227" i="6"/>
  <c r="N179" i="6"/>
  <c r="N181" i="6"/>
  <c r="M33" i="6"/>
  <c r="M29" i="6"/>
  <c r="N193" i="6"/>
  <c r="N254" i="6"/>
  <c r="N253" i="6"/>
  <c r="K182" i="1"/>
  <c r="K179" i="1"/>
  <c r="J175" i="1"/>
  <c r="J171" i="1"/>
  <c r="M175" i="1"/>
  <c r="M171" i="1"/>
  <c r="J149" i="1"/>
  <c r="J290" i="1"/>
  <c r="G2" i="6"/>
  <c r="E16" i="6"/>
  <c r="D16" i="6"/>
  <c r="M91" i="6"/>
  <c r="M140" i="6"/>
  <c r="M273" i="6"/>
  <c r="L272" i="6"/>
  <c r="L33" i="6"/>
  <c r="L29" i="6"/>
  <c r="L290" i="1"/>
  <c r="L149" i="1"/>
  <c r="L89" i="6"/>
  <c r="J142" i="1"/>
  <c r="L182" i="1"/>
  <c r="L179" i="1"/>
  <c r="K89" i="1"/>
  <c r="M193" i="6"/>
  <c r="M254" i="6"/>
  <c r="M253" i="6"/>
  <c r="M225" i="6"/>
  <c r="M213" i="6"/>
  <c r="M216" i="6"/>
  <c r="K216" i="6"/>
  <c r="K213" i="6"/>
  <c r="K193" i="6"/>
  <c r="K254" i="6"/>
  <c r="K253" i="6"/>
  <c r="L216" i="6"/>
  <c r="L225" i="6"/>
  <c r="L213" i="6"/>
  <c r="K33" i="6"/>
  <c r="K225" i="6"/>
  <c r="K29" i="6"/>
  <c r="L215" i="6"/>
  <c r="L224" i="6"/>
  <c r="L226" i="6"/>
  <c r="L286" i="6"/>
  <c r="M260" i="6"/>
  <c r="N32" i="6"/>
  <c r="N29" i="6"/>
  <c r="N33" i="6"/>
  <c r="E18" i="6"/>
  <c r="D18" i="6"/>
  <c r="M148" i="1"/>
  <c r="N180" i="1"/>
  <c r="N228" i="1"/>
  <c r="N225" i="1"/>
  <c r="M47" i="6"/>
  <c r="M51" i="6"/>
  <c r="K179" i="6"/>
  <c r="K181" i="6"/>
  <c r="M175" i="6"/>
  <c r="K149" i="6"/>
  <c r="C16" i="1"/>
  <c r="D16" i="1"/>
  <c r="E16" i="1"/>
  <c r="G2" i="1"/>
  <c r="L146" i="1"/>
  <c r="L145" i="1"/>
  <c r="L97" i="1"/>
  <c r="L96" i="1"/>
  <c r="L94" i="1"/>
  <c r="M146" i="1"/>
  <c r="M145" i="1"/>
  <c r="M94" i="1"/>
  <c r="M97" i="1"/>
  <c r="M96" i="1"/>
  <c r="N143" i="6"/>
  <c r="M150" i="6"/>
  <c r="M290" i="6"/>
  <c r="K184" i="1"/>
  <c r="K153" i="1"/>
  <c r="K158" i="1"/>
  <c r="K164" i="1"/>
  <c r="K185" i="1"/>
  <c r="M215" i="6"/>
  <c r="M224" i="6"/>
  <c r="M226" i="6"/>
  <c r="M286" i="6"/>
  <c r="K260" i="6"/>
  <c r="J182" i="1"/>
  <c r="J179" i="1"/>
  <c r="M290" i="1"/>
  <c r="M149" i="1"/>
  <c r="N175" i="1"/>
  <c r="N171" i="1"/>
  <c r="J149" i="6"/>
  <c r="M142" i="1"/>
  <c r="L184" i="6"/>
  <c r="L183" i="6"/>
  <c r="L154" i="6"/>
  <c r="L158" i="6"/>
  <c r="L163" i="6"/>
  <c r="L90" i="6"/>
  <c r="K223" i="6"/>
  <c r="K227" i="6"/>
  <c r="L223" i="6"/>
  <c r="L227" i="6"/>
  <c r="L179" i="6"/>
  <c r="L181" i="6"/>
  <c r="J215" i="1"/>
  <c r="J47" i="1"/>
  <c r="J51" i="1"/>
  <c r="D52" i="1"/>
  <c r="D55" i="1"/>
  <c r="D57" i="1"/>
  <c r="D58" i="1"/>
  <c r="E22" i="1"/>
  <c r="N215" i="1"/>
  <c r="K47" i="6"/>
  <c r="K51" i="6"/>
  <c r="L175" i="1"/>
  <c r="L171" i="1"/>
  <c r="M225" i="1"/>
  <c r="M228" i="1"/>
  <c r="M180" i="1"/>
  <c r="J290" i="6"/>
  <c r="J150" i="6"/>
  <c r="J193" i="6"/>
  <c r="N91" i="1"/>
  <c r="N139" i="1"/>
  <c r="N273" i="1"/>
  <c r="M272" i="1"/>
  <c r="C17" i="1"/>
  <c r="O63" i="12"/>
  <c r="L149" i="6"/>
  <c r="J91" i="6"/>
  <c r="N33" i="1"/>
  <c r="N226" i="1"/>
  <c r="N227" i="1"/>
  <c r="N29" i="1"/>
  <c r="N32" i="1"/>
  <c r="K272" i="6"/>
  <c r="L273" i="6"/>
  <c r="L140" i="6"/>
  <c r="L91" i="6"/>
  <c r="M252" i="6"/>
  <c r="M255" i="6"/>
  <c r="M173" i="6"/>
  <c r="M272" i="6"/>
  <c r="N273" i="6"/>
  <c r="N140" i="6"/>
  <c r="N91" i="6"/>
  <c r="K286" i="1"/>
  <c r="K233" i="1"/>
  <c r="K217" i="1"/>
  <c r="N97" i="6"/>
  <c r="N94" i="6"/>
  <c r="N146" i="6"/>
  <c r="N147" i="6"/>
  <c r="N96" i="6"/>
  <c r="M143" i="6"/>
  <c r="K90" i="6"/>
  <c r="K184" i="6"/>
  <c r="K163" i="6"/>
  <c r="K183" i="6"/>
  <c r="M286" i="1"/>
  <c r="M233" i="1"/>
  <c r="M217" i="1"/>
  <c r="K142" i="1"/>
  <c r="E17" i="6"/>
  <c r="D17" i="6"/>
  <c r="J227" i="1"/>
  <c r="J29" i="1"/>
  <c r="J33" i="1"/>
  <c r="D34" i="1"/>
  <c r="E21" i="1"/>
  <c r="C18" i="1"/>
  <c r="P63" i="12"/>
  <c r="J184" i="1"/>
  <c r="J164" i="1"/>
  <c r="J185" i="1"/>
  <c r="J260" i="6"/>
  <c r="J262" i="6"/>
  <c r="J266" i="6"/>
  <c r="J267" i="6"/>
  <c r="K215" i="6"/>
  <c r="K224" i="6"/>
  <c r="K226" i="6"/>
  <c r="K286" i="6"/>
  <c r="J91" i="1"/>
  <c r="L89" i="1"/>
  <c r="N266" i="1"/>
  <c r="N262" i="1"/>
  <c r="N259" i="1"/>
  <c r="J235" i="1"/>
  <c r="K232" i="1"/>
  <c r="K235" i="1"/>
  <c r="L232" i="1"/>
  <c r="L235" i="1"/>
  <c r="M232" i="1"/>
  <c r="M235" i="1"/>
  <c r="M179" i="1"/>
  <c r="M182" i="1"/>
  <c r="L259" i="6"/>
  <c r="L262" i="6"/>
  <c r="L266" i="6"/>
  <c r="L267" i="6"/>
  <c r="K154" i="6"/>
  <c r="K158" i="6"/>
  <c r="K89" i="6"/>
  <c r="N142" i="1"/>
  <c r="M89" i="6"/>
  <c r="L290" i="6"/>
  <c r="L150" i="6"/>
  <c r="J215" i="6"/>
  <c r="N187" i="6"/>
  <c r="N277" i="6"/>
  <c r="L215" i="1"/>
  <c r="C17" i="6"/>
  <c r="I63" i="12"/>
  <c r="N216" i="6"/>
  <c r="N225" i="6"/>
  <c r="N213" i="6"/>
  <c r="K51" i="1"/>
  <c r="K47" i="1"/>
  <c r="J153" i="1"/>
  <c r="J158" i="1"/>
  <c r="J89" i="1"/>
  <c r="N50" i="6"/>
  <c r="N47" i="6"/>
  <c r="N51" i="6"/>
  <c r="K173" i="6"/>
  <c r="K175" i="6"/>
  <c r="L51" i="1"/>
  <c r="L47" i="1"/>
  <c r="N215" i="6"/>
  <c r="N224" i="6"/>
  <c r="N226" i="6"/>
  <c r="N286" i="6"/>
  <c r="M51" i="1"/>
  <c r="M47" i="1"/>
  <c r="N183" i="6"/>
  <c r="N90" i="6"/>
  <c r="N163" i="6"/>
  <c r="N184" i="6"/>
  <c r="M215" i="1"/>
  <c r="N191" i="1"/>
  <c r="N204" i="1"/>
  <c r="N260" i="1"/>
  <c r="C18" i="6"/>
  <c r="J63" i="12"/>
  <c r="M267" i="6"/>
  <c r="M259" i="6"/>
  <c r="M262" i="6"/>
  <c r="M266" i="6"/>
  <c r="L260" i="6"/>
  <c r="J227" i="6"/>
  <c r="J179" i="6"/>
  <c r="J181" i="6"/>
  <c r="L226" i="1"/>
  <c r="L227" i="1"/>
  <c r="L29" i="1"/>
  <c r="L33" i="1"/>
  <c r="J29" i="6"/>
  <c r="J33" i="6"/>
  <c r="D34" i="6"/>
  <c r="E21" i="6"/>
  <c r="C16" i="6"/>
  <c r="H63" i="12"/>
  <c r="L90" i="1"/>
  <c r="K180" i="1"/>
  <c r="L283" i="1"/>
  <c r="L288" i="1"/>
  <c r="M283" i="1"/>
  <c r="M288" i="1"/>
  <c r="N283" i="1"/>
  <c r="N288" i="1"/>
  <c r="N148" i="1"/>
  <c r="J148" i="1"/>
  <c r="K290" i="6"/>
  <c r="K150" i="6"/>
  <c r="J97" i="6"/>
  <c r="J147" i="6"/>
  <c r="J146" i="6"/>
  <c r="J96" i="6"/>
  <c r="J94" i="6"/>
  <c r="J90" i="1"/>
  <c r="L142" i="1"/>
  <c r="J226" i="6"/>
  <c r="J286" i="6"/>
  <c r="J288" i="6"/>
  <c r="K283" i="6"/>
  <c r="K288" i="6"/>
  <c r="L283" i="6"/>
  <c r="L288" i="6"/>
  <c r="M283" i="6"/>
  <c r="M288" i="6"/>
  <c r="M149" i="6"/>
  <c r="K96" i="6"/>
  <c r="K147" i="6"/>
  <c r="K146" i="6"/>
  <c r="K97" i="6"/>
  <c r="K94" i="6"/>
  <c r="L97" i="6"/>
  <c r="L147" i="6"/>
  <c r="L94" i="6"/>
  <c r="L146" i="6"/>
  <c r="L96" i="6"/>
  <c r="J94" i="1"/>
  <c r="J146" i="1"/>
  <c r="J96" i="1"/>
  <c r="J145" i="1"/>
  <c r="J97" i="1"/>
  <c r="K143" i="6"/>
  <c r="L143" i="6"/>
  <c r="J224" i="6"/>
  <c r="J225" i="6"/>
  <c r="J213" i="6"/>
  <c r="J216" i="6"/>
  <c r="N96" i="1"/>
  <c r="N97" i="1"/>
  <c r="N94" i="1"/>
  <c r="N146" i="1"/>
  <c r="M188" i="1"/>
  <c r="M277" i="1"/>
  <c r="N279" i="1"/>
  <c r="N138" i="1"/>
  <c r="N141" i="1"/>
  <c r="N143" i="1"/>
  <c r="N145" i="1"/>
  <c r="K94" i="1"/>
  <c r="K146" i="1"/>
  <c r="K97" i="1"/>
  <c r="K145" i="1"/>
  <c r="K96" i="1"/>
  <c r="K226" i="1"/>
  <c r="K227" i="1"/>
  <c r="K215" i="1"/>
  <c r="J228" i="1"/>
  <c r="K225" i="1"/>
  <c r="K228" i="1"/>
  <c r="L225" i="1"/>
  <c r="L228" i="1"/>
  <c r="L180" i="1"/>
  <c r="N90" i="1"/>
  <c r="N272" i="1"/>
  <c r="K279" i="1"/>
  <c r="K138" i="1"/>
  <c r="K141" i="1"/>
  <c r="K143" i="1"/>
  <c r="K191" i="1"/>
  <c r="K204" i="1"/>
  <c r="K260" i="1"/>
  <c r="J89" i="6"/>
  <c r="K277" i="1"/>
  <c r="L279" i="1"/>
  <c r="L138" i="1"/>
  <c r="L141" i="1"/>
  <c r="L143" i="1"/>
  <c r="L191" i="1"/>
  <c r="L204" i="1"/>
  <c r="L260" i="1"/>
  <c r="N260" i="6"/>
  <c r="M191" i="1"/>
  <c r="M204" i="1"/>
  <c r="M260" i="1"/>
  <c r="M212" i="1"/>
  <c r="M218" i="1"/>
  <c r="M220" i="1"/>
  <c r="M221" i="1"/>
  <c r="N188" i="1"/>
  <c r="N277" i="1"/>
  <c r="J212" i="1"/>
  <c r="J218" i="1"/>
  <c r="J220" i="1"/>
  <c r="J221" i="1"/>
  <c r="K188" i="1"/>
  <c r="K259" i="1"/>
  <c r="K262" i="1"/>
  <c r="K266" i="1"/>
  <c r="L218" i="6"/>
  <c r="L219" i="6"/>
  <c r="M187" i="6"/>
  <c r="M277" i="6"/>
  <c r="N279" i="6"/>
  <c r="N139" i="6"/>
  <c r="N142" i="6"/>
  <c r="N144" i="6"/>
  <c r="N190" i="6"/>
  <c r="N202" i="6"/>
  <c r="N218" i="6"/>
  <c r="N219" i="6"/>
  <c r="N154" i="6"/>
  <c r="N158" i="6"/>
  <c r="N89" i="6"/>
  <c r="K212" i="1"/>
  <c r="K218" i="1"/>
  <c r="K220" i="1"/>
  <c r="K221" i="1"/>
  <c r="L188" i="1"/>
  <c r="L277" i="1"/>
  <c r="M279" i="1"/>
  <c r="M138" i="1"/>
  <c r="M141" i="1"/>
  <c r="M143" i="1"/>
  <c r="M226" i="1"/>
  <c r="M227" i="1"/>
  <c r="M29" i="1"/>
  <c r="M33" i="1"/>
  <c r="K90" i="1"/>
  <c r="N265" i="1"/>
  <c r="N267" i="1"/>
  <c r="N168" i="1"/>
  <c r="N212" i="1"/>
  <c r="N218" i="1"/>
  <c r="N220" i="1"/>
  <c r="N221" i="1"/>
  <c r="N153" i="1"/>
  <c r="N158" i="1"/>
  <c r="N89" i="1"/>
  <c r="M265" i="1"/>
  <c r="M267" i="1"/>
  <c r="M168" i="1"/>
  <c r="M90" i="1"/>
  <c r="K252" i="6"/>
  <c r="K255" i="6"/>
  <c r="L252" i="6"/>
  <c r="L255" i="6"/>
  <c r="L173" i="6"/>
  <c r="L175" i="6"/>
  <c r="M90" i="6"/>
  <c r="M184" i="6"/>
  <c r="K279" i="6"/>
  <c r="K139" i="6"/>
  <c r="K142" i="6"/>
  <c r="K144" i="6"/>
  <c r="K190" i="6"/>
  <c r="K202" i="6"/>
  <c r="K218" i="6"/>
  <c r="K219" i="6"/>
  <c r="L187" i="6"/>
  <c r="L277" i="6"/>
  <c r="M279" i="6"/>
  <c r="M139" i="6"/>
  <c r="M142" i="6"/>
  <c r="M144" i="6"/>
  <c r="M190" i="6"/>
  <c r="M202" i="6"/>
  <c r="M218" i="6"/>
  <c r="M219" i="6"/>
  <c r="M154" i="6"/>
  <c r="M158" i="6"/>
  <c r="M163" i="6"/>
  <c r="M183" i="6"/>
  <c r="J184" i="6"/>
  <c r="J183" i="6"/>
  <c r="J154" i="6"/>
  <c r="J158" i="6"/>
  <c r="J163" i="6"/>
  <c r="J90" i="6"/>
  <c r="J253" i="6"/>
  <c r="J254" i="6"/>
  <c r="J255" i="6"/>
  <c r="J173" i="6"/>
  <c r="J272" i="6"/>
  <c r="J273" i="6"/>
  <c r="J140" i="6"/>
  <c r="J142" i="6"/>
  <c r="J144" i="6"/>
  <c r="J190" i="6"/>
  <c r="J202" i="6"/>
  <c r="J218" i="6"/>
  <c r="J219" i="6"/>
  <c r="K187" i="6"/>
  <c r="K277" i="6"/>
  <c r="L279" i="6"/>
  <c r="L139" i="6"/>
  <c r="L142" i="6"/>
  <c r="L144" i="6"/>
  <c r="L190" i="6"/>
  <c r="L202" i="6"/>
  <c r="L47" i="6"/>
  <c r="L51" i="6"/>
  <c r="L185" i="1"/>
  <c r="K265" i="1"/>
  <c r="K267" i="1"/>
  <c r="K168" i="1"/>
  <c r="L265" i="1"/>
  <c r="L267" i="1"/>
  <c r="L168" i="1"/>
  <c r="L212" i="1"/>
  <c r="L218" i="1"/>
  <c r="L220" i="1"/>
  <c r="L221" i="1"/>
  <c r="L153" i="1"/>
  <c r="L158" i="1"/>
  <c r="L164" i="1"/>
  <c r="L184" i="1"/>
  <c r="J191" i="1"/>
  <c r="J204" i="1"/>
  <c r="J260" i="1"/>
  <c r="J262" i="1"/>
  <c r="J266" i="1"/>
  <c r="J267" i="1"/>
  <c r="J168" i="1"/>
  <c r="J272" i="1"/>
  <c r="J273" i="1"/>
  <c r="J139" i="1"/>
  <c r="J141" i="1"/>
  <c r="J143" i="1"/>
  <c r="J226" i="1"/>
  <c r="J233" i="1"/>
  <c r="J286" i="1"/>
  <c r="J288" i="1"/>
  <c r="K283" i="1"/>
  <c r="K288" i="1"/>
  <c r="K148" i="1"/>
</calcChain>
</file>

<file path=xl/sharedStrings.xml><?xml version="1.0" encoding="utf-8"?>
<sst xmlns="http://schemas.openxmlformats.org/spreadsheetml/2006/main" count="1932" uniqueCount="380">
  <si>
    <t>3-Statement Model Assumptions</t>
  </si>
  <si>
    <t>2017A</t>
  </si>
  <si>
    <t>2018A</t>
  </si>
  <si>
    <t>2019A</t>
  </si>
  <si>
    <t>2020A</t>
  </si>
  <si>
    <t>2021A</t>
  </si>
  <si>
    <t>Average</t>
  </si>
  <si>
    <t>Notes</t>
  </si>
  <si>
    <t>1.) Sales Growth YOY (%)</t>
  </si>
  <si>
    <t>Sales growth forecasted at historical year over year growth rate average</t>
  </si>
  <si>
    <t>+</t>
  </si>
  <si>
    <t>Income Statement (Millions)</t>
  </si>
  <si>
    <t>2022E</t>
  </si>
  <si>
    <t>2023E</t>
  </si>
  <si>
    <t>2024E</t>
  </si>
  <si>
    <t>2025E</t>
  </si>
  <si>
    <t>2026E</t>
  </si>
  <si>
    <t>Sales</t>
  </si>
  <si>
    <t>% YOY Growth</t>
  </si>
  <si>
    <t>Net Sales</t>
  </si>
  <si>
    <t>Cost of Goods Sold</t>
  </si>
  <si>
    <t>Gross Profit</t>
  </si>
  <si>
    <t>Research and Development Expense</t>
  </si>
  <si>
    <t>Operating Profit</t>
  </si>
  <si>
    <t>Interest Income</t>
  </si>
  <si>
    <t>Interest Expense</t>
  </si>
  <si>
    <t>Other Income (Expense), net</t>
  </si>
  <si>
    <t>Income Before Income Taxes</t>
  </si>
  <si>
    <t>Income Taxes</t>
  </si>
  <si>
    <t xml:space="preserve">Net Income </t>
  </si>
  <si>
    <t>EPS (Basic)</t>
  </si>
  <si>
    <t>EPS (Diluted)</t>
  </si>
  <si>
    <t>Shares Outstanding (Basic) (Millions)</t>
  </si>
  <si>
    <t>Shares Outstanding (Diluted) (Millions)</t>
  </si>
  <si>
    <t>Balance Sheet (Millions)</t>
  </si>
  <si>
    <t>Assets</t>
  </si>
  <si>
    <t>Cash and Cash Equivalents</t>
  </si>
  <si>
    <t>Accounts Receivables</t>
  </si>
  <si>
    <t>Inventories</t>
  </si>
  <si>
    <t>Other Current Assets</t>
  </si>
  <si>
    <t>Current Assets</t>
  </si>
  <si>
    <t>Property and Equipment, net</t>
  </si>
  <si>
    <t>Goodwill</t>
  </si>
  <si>
    <t>Intangible Assets, net</t>
  </si>
  <si>
    <t>Other Assets</t>
  </si>
  <si>
    <t>Total Assets</t>
  </si>
  <si>
    <t>Liabilities</t>
  </si>
  <si>
    <t>Accounts Payable</t>
  </si>
  <si>
    <t>Current Portion of Long-Term Debt</t>
  </si>
  <si>
    <t>Current Liabilities</t>
  </si>
  <si>
    <t>Long-Term Debt</t>
  </si>
  <si>
    <t>Other Long-Term Liabilities</t>
  </si>
  <si>
    <t>Total Liabilities</t>
  </si>
  <si>
    <t>Stockholders' Equity</t>
  </si>
  <si>
    <t>Treasury Stock</t>
  </si>
  <si>
    <t>Retained Earnings</t>
  </si>
  <si>
    <t>Other Comprehensive Income (Loss)</t>
  </si>
  <si>
    <t>Total Stockholders' Equity</t>
  </si>
  <si>
    <t>Balance Sheet Balance (Y/N)?</t>
  </si>
  <si>
    <t>Statement of Cash Flows</t>
  </si>
  <si>
    <t>Cash and Cash Equivalents, Beginning Period</t>
  </si>
  <si>
    <t>Operating Activities</t>
  </si>
  <si>
    <t>Net Income</t>
  </si>
  <si>
    <t>Depreciation</t>
  </si>
  <si>
    <t>Amortization</t>
  </si>
  <si>
    <t xml:space="preserve"> </t>
  </si>
  <si>
    <t>(Increase) Decrease in Inventories</t>
  </si>
  <si>
    <t>(Increase) Decrease in Other Current Assets</t>
  </si>
  <si>
    <t>Increase (Decrease) in Accounts Payable</t>
  </si>
  <si>
    <t>Increase (Decrease) in Other Current Liabilities</t>
  </si>
  <si>
    <t>Net Cash from Operating Activities</t>
  </si>
  <si>
    <t>Investing Activities</t>
  </si>
  <si>
    <t>(Increase) Decrease in Gross Property, Plant and Equipment</t>
  </si>
  <si>
    <t>(Increase) Decrease in Other Investments</t>
  </si>
  <si>
    <t>Net Cash from Investing Activities</t>
  </si>
  <si>
    <t>Financing Activities</t>
  </si>
  <si>
    <t>Increase in Short-Term Debt</t>
  </si>
  <si>
    <t>Increase in Long-Term Debt</t>
  </si>
  <si>
    <t>Increase in Other Long-Term Liabilities</t>
  </si>
  <si>
    <t>Common Dividends</t>
  </si>
  <si>
    <t>Issuances of Common Stock</t>
  </si>
  <si>
    <t>Repurchases of Common Stock</t>
  </si>
  <si>
    <t>Net Cash from Financing Activities</t>
  </si>
  <si>
    <t>Net Cash Flow</t>
  </si>
  <si>
    <t>Cash and Cash Equivalents, Ending Period</t>
  </si>
  <si>
    <t>Retained Earning, Beginning</t>
  </si>
  <si>
    <t>Dividends</t>
  </si>
  <si>
    <t>Retained Earnings, Ending</t>
  </si>
  <si>
    <t>Treasury Stock, Beginning</t>
  </si>
  <si>
    <t>Stock Repurchases</t>
  </si>
  <si>
    <t>Treasury Stock, Ending</t>
  </si>
  <si>
    <t>Share Issuances</t>
  </si>
  <si>
    <t>Stock-Based Compensation</t>
  </si>
  <si>
    <t>Property, Plant and Equipment</t>
  </si>
  <si>
    <t>Property, Plant and Equipment, Beginning</t>
  </si>
  <si>
    <t>Purchases (Sales) of Property, Plant and Equipment</t>
  </si>
  <si>
    <t>Property, Plant and Equipment, Ending</t>
  </si>
  <si>
    <t>Intangibles</t>
  </si>
  <si>
    <t>Intangibles, Beginning</t>
  </si>
  <si>
    <t>Intangibles, Ending</t>
  </si>
  <si>
    <t>Revolver/Line of Credit</t>
  </si>
  <si>
    <t>Cash Surplus or Deficit</t>
  </si>
  <si>
    <t>Net Cash Flow Except Revolver</t>
  </si>
  <si>
    <t>Operating Cash Needed</t>
  </si>
  <si>
    <t>Line of Credit, Beginning Period</t>
  </si>
  <si>
    <t>Issuances (Payments)</t>
  </si>
  <si>
    <t>Line of Credit, Ending Period</t>
  </si>
  <si>
    <t>Debt Interest Rate</t>
  </si>
  <si>
    <t>Total Debt</t>
  </si>
  <si>
    <t>Debt Related Interest</t>
  </si>
  <si>
    <t>Cash and Cash Equivalents, Beginning</t>
  </si>
  <si>
    <t>Cash Balance Interest Rate</t>
  </si>
  <si>
    <t>Accrued Expenses</t>
  </si>
  <si>
    <t>Other Current Liabilities</t>
  </si>
  <si>
    <t>Increase (Decrease) in Accrued Expenses</t>
  </si>
  <si>
    <t>Share Repurchases</t>
  </si>
  <si>
    <t>Deferred Income Tax Liability</t>
  </si>
  <si>
    <t>Deferred Income Tax, Beginning</t>
  </si>
  <si>
    <t>Max Deferred Tax Drawdown</t>
  </si>
  <si>
    <t>Increase (Decrease) Deferred Tax Liability</t>
  </si>
  <si>
    <t>Deferred Income Tax, Ending</t>
  </si>
  <si>
    <t>Increase (Decrease) in Operating Lease Liabilities</t>
  </si>
  <si>
    <t>Short-Term Debt/Line of Credit</t>
  </si>
  <si>
    <t>Operating Lease Right-of-Use Asset</t>
  </si>
  <si>
    <t>Operating Lease Liabilities</t>
  </si>
  <si>
    <t>(Increase) Decrease in Accounts Receivables</t>
  </si>
  <si>
    <t>(Increase) Decrease in Operating Lease Right-of-Use Assets</t>
  </si>
  <si>
    <t>Common Stock Par Plus Paid in Capital</t>
  </si>
  <si>
    <t>Common Stock Par Plus Paid in Capital, Beginning</t>
  </si>
  <si>
    <t>Common Stock Par Plus Paid in Capital, Ending</t>
  </si>
  <si>
    <t>Purchases (Sales) of Intangibles</t>
  </si>
  <si>
    <t>Cash, Beginning Period</t>
  </si>
  <si>
    <t>Cost of Goods Sold forecasted as historical average percent of sales</t>
  </si>
  <si>
    <t>Research and Development Expense forecasted as historical average percent of sales</t>
  </si>
  <si>
    <t>Selling, General and Administrative Expense</t>
  </si>
  <si>
    <t>Selling, General and Administrative Expense forecasted as historical average percent of sales</t>
  </si>
  <si>
    <t>5.) Interest Income</t>
  </si>
  <si>
    <t>See Interest Income Note to the Financial Statements</t>
  </si>
  <si>
    <t>6.) Interest Expense</t>
  </si>
  <si>
    <t>See Interest Expense Note to the Financial Statements</t>
  </si>
  <si>
    <t>7.) Other Income (Expense), net</t>
  </si>
  <si>
    <t>Other Income (Expense), net forecasted as historical average</t>
  </si>
  <si>
    <t>8.) Corporate Tax Rate</t>
  </si>
  <si>
    <t>Given</t>
  </si>
  <si>
    <t>9.) Shares Outstanding (Basic) and (Diluted)</t>
  </si>
  <si>
    <t>Forecasted at most recent historical value</t>
  </si>
  <si>
    <t>Forecasted to grow at the same rate as sales</t>
  </si>
  <si>
    <t>11.) Inventories and Accounts Payable</t>
  </si>
  <si>
    <t>Forecasted to grow at the same rate as costs of goods sold</t>
  </si>
  <si>
    <t>13.) Short-Term Debt/Line of Credit</t>
  </si>
  <si>
    <t>See Short-Term Debt Note to the Financial Statements</t>
  </si>
  <si>
    <t>14.) Current Portion of Long-Term Debt</t>
  </si>
  <si>
    <t>Given, can also be found in the notes to the 10-K</t>
  </si>
  <si>
    <t>15.) Long-Term Debt</t>
  </si>
  <si>
    <t>Forecasted such that company is able to rollover all maturing long term debt</t>
  </si>
  <si>
    <t>16.) Other Comprehensive Income (Loss)</t>
  </si>
  <si>
    <t>17.) Dividends as a % of Net Income</t>
  </si>
  <si>
    <t>4.) Selling, General and Administrative Expense as a % of Sales</t>
  </si>
  <si>
    <t>3.) Research and Development Expense as a % of Sales</t>
  </si>
  <si>
    <t>2.) Cost of Goods Sold as a % of Sales</t>
  </si>
  <si>
    <t>Dividends are forecasted as the historical average percent of net income</t>
  </si>
  <si>
    <t>18.) Stock Repurchases as a % of Net Income</t>
  </si>
  <si>
    <t>Stock Repurchases are forecasted as the historical average percent of net income subject to a 95% total payout cap</t>
  </si>
  <si>
    <t>19.) Stock-Based Compensation</t>
  </si>
  <si>
    <t>Stock Based Compensation is forecasted at historical average</t>
  </si>
  <si>
    <t>20.) Share Issuances</t>
  </si>
  <si>
    <t>Share issuances are forecasted at historical average</t>
  </si>
  <si>
    <t>See Shares Outstanding Note to the Financial Statements</t>
  </si>
  <si>
    <t>Shares Outstanding</t>
  </si>
  <si>
    <t>Shares Outstanding (Basic), Beginning</t>
  </si>
  <si>
    <t>Shares Issued</t>
  </si>
  <si>
    <t>Shares Repurchased</t>
  </si>
  <si>
    <t>Estimated Stock Price</t>
  </si>
  <si>
    <t>Stock Based Compensation Shares</t>
  </si>
  <si>
    <t>Shares Outstanding (Basic), Ending</t>
  </si>
  <si>
    <t>Dilution Adjustment</t>
  </si>
  <si>
    <t>Shares Outstanding (Diluted), Ending</t>
  </si>
  <si>
    <t>Depreciation is forecasted as historical average percent of PP&amp;E and Purchases (Sales) PP&amp;E</t>
  </si>
  <si>
    <t>Assumed no acquisition or sales of intangibles</t>
  </si>
  <si>
    <t>Amortization is forecasted as historical average percent of Intangibles and Purchases (Sales) Intangibles</t>
  </si>
  <si>
    <t>Prepaid Expenses</t>
  </si>
  <si>
    <t>(Increase) Decrease in Prepaid Expense</t>
  </si>
  <si>
    <t>10.) Accounts Receivables, Prepaid Expense, Other Current Assets, Operating Lease Right-of-Use Assets, Other Assets, Other Current Liabilities, Operating Lease Liabilities, and Other Long-Term Liabilities</t>
  </si>
  <si>
    <t>25.) Cash as a % of Sales</t>
  </si>
  <si>
    <t>Operating Cash needed estimated as historical average cash percent of sales</t>
  </si>
  <si>
    <t>3.) Selling, General and Administrative Expense as a % of Sales</t>
  </si>
  <si>
    <t>4.) Research and Development Expense as a % of Sales</t>
  </si>
  <si>
    <t>Deferred Income Tax Liabilities</t>
  </si>
  <si>
    <t>9.) Deferred Tax Liability Paydown Rate</t>
  </si>
  <si>
    <t>Given, Represents max amount of pre-tax income to pay off tax liability</t>
  </si>
  <si>
    <t>Change in Deferred Income Tax Liability</t>
  </si>
  <si>
    <t>Date:</t>
  </si>
  <si>
    <t>Recommendation</t>
  </si>
  <si>
    <t>Company Overview</t>
  </si>
  <si>
    <t>Name</t>
  </si>
  <si>
    <t>Ticker</t>
  </si>
  <si>
    <t>Industry (SIC)</t>
  </si>
  <si>
    <t>Key Products</t>
  </si>
  <si>
    <t>Index Membership</t>
  </si>
  <si>
    <t>S&amp;P 500</t>
  </si>
  <si>
    <t>Valuation Overview</t>
  </si>
  <si>
    <t>Current Stock Price</t>
  </si>
  <si>
    <t>Summary</t>
  </si>
  <si>
    <t>10.) Accounts Receivables, Other Current Assets, Operating Lease Right-of-Use Asset, Other Assets, Accrued Expenses, Operating Lease Liabilities, Other Long-Term Liabilities</t>
  </si>
  <si>
    <t>13.) Depreciation as a % of Property, Plant and Equipment</t>
  </si>
  <si>
    <t>12.) Gross Property, Plant and Equipment % of Sales</t>
  </si>
  <si>
    <t>Gross PP&amp;E (PP&amp;E Beginning plus Purchases) are forecasted at historical average percent of sales</t>
  </si>
  <si>
    <t>14.) Goodwill</t>
  </si>
  <si>
    <t>16.) Amortization as a % of Intangibles</t>
  </si>
  <si>
    <t>15.) Purchases (Sales) of Intangibles</t>
  </si>
  <si>
    <t>17.) Short-Term Debt/Line of Credit</t>
  </si>
  <si>
    <t>18.) Current Portion of Long-Term Debt</t>
  </si>
  <si>
    <t>19.) Long-Term Debt</t>
  </si>
  <si>
    <t>20.) Other Comprehensive Income (Loss)</t>
  </si>
  <si>
    <t>21.) Dividends as a % of Net Income</t>
  </si>
  <si>
    <t>22.) Stock Repurchases as a % of Net Income</t>
  </si>
  <si>
    <t>23.) Stock-Based Compensation</t>
  </si>
  <si>
    <t>24.) Share Issuances</t>
  </si>
  <si>
    <t>Balance Sheet Difference</t>
  </si>
  <si>
    <t>Accrued Expense</t>
  </si>
  <si>
    <t>10.) Shares Outstanding (Basic) and (Diluted)</t>
  </si>
  <si>
    <t>11.) Accounts Receivables, Other Current Assets, Other Assets, Accrued Expenses, Other Current Liabilities, and Other Long-Term Liabilities</t>
  </si>
  <si>
    <t>12.) Inventories and Accounts Payable</t>
  </si>
  <si>
    <t>13.) Gross Property, Plant and Equipment % of Sales</t>
  </si>
  <si>
    <t>14.) Depreciation as a % of Property, Plant and Equipment</t>
  </si>
  <si>
    <t>15.) Goodwill</t>
  </si>
  <si>
    <t>16.) Purchases (Sales) of Intangibles</t>
  </si>
  <si>
    <t>17.) Amortization as a % of Intangibles</t>
  </si>
  <si>
    <t>18.) Short-Term Debt/Line of Credit</t>
  </si>
  <si>
    <t>19.) Current Portion of Long-Term Debt</t>
  </si>
  <si>
    <t>20.) Long-Term Debt</t>
  </si>
  <si>
    <t>21.) Other Comprehensive Income (Loss)</t>
  </si>
  <si>
    <t>22.) Dividends as a % of Net Income</t>
  </si>
  <si>
    <t>23.) Stock Repurchases as a % of Net Income</t>
  </si>
  <si>
    <t>24.) Stock-Based Compensation</t>
  </si>
  <si>
    <t>25.) Share Issuances</t>
  </si>
  <si>
    <t>26.) Cash as a % of Sales</t>
  </si>
  <si>
    <t>3.) Selling, General, and Administrative Expense as a % of Sales</t>
  </si>
  <si>
    <t>10.) Accounts Receivables, Other Current Asset, Other Assets, Accrued Expenses and Other Long-Term Liabilities</t>
  </si>
  <si>
    <t>NVIDIA</t>
  </si>
  <si>
    <t>Stock Price Forecast</t>
  </si>
  <si>
    <t>NVIDIA Corp</t>
  </si>
  <si>
    <t>NVDA</t>
  </si>
  <si>
    <t>3674 - Semiconductors and Related Devices</t>
  </si>
  <si>
    <t>Graphics Cards</t>
  </si>
  <si>
    <t>Estimated Price</t>
  </si>
  <si>
    <t>Upside/Downside</t>
  </si>
  <si>
    <t>High</t>
  </si>
  <si>
    <t>Consensus</t>
  </si>
  <si>
    <t>Low</t>
  </si>
  <si>
    <t>Model Summary</t>
  </si>
  <si>
    <t>Dividend Discount Model Estimated Stock Price</t>
  </si>
  <si>
    <t>Free Cash Flow Model Estimated Stock Price</t>
  </si>
  <si>
    <t>Multiples Model V/Sales Estimated Stock Price</t>
  </si>
  <si>
    <t>Multiples Model V/EBITDA Estimated Stock Price</t>
  </si>
  <si>
    <t>Multiples Model P/E Estimated Stock Price</t>
  </si>
  <si>
    <t>Valuation</t>
  </si>
  <si>
    <t>Dividend Discount Model</t>
  </si>
  <si>
    <t>Dividend Per Share (Basic)</t>
  </si>
  <si>
    <t>Dividend Growth Rate after 2026E</t>
  </si>
  <si>
    <t>CAPM Required Equity Return Rate</t>
  </si>
  <si>
    <t>Horizon Value of Cash Flows 2026E+</t>
  </si>
  <si>
    <t>Cash Flow Schedule</t>
  </si>
  <si>
    <t>Weighted Average Cost of Capital Calculation (2021A)</t>
  </si>
  <si>
    <t>Capital Structure (2021A)</t>
  </si>
  <si>
    <t>Cost of Capital Components</t>
  </si>
  <si>
    <t>Date of Data</t>
  </si>
  <si>
    <t>Number of basic shares outstanding in millions on 2021A</t>
  </si>
  <si>
    <t>Percent of firm financed with Common Stock</t>
  </si>
  <si>
    <t>CAPM Required Rate of Return</t>
  </si>
  <si>
    <t>Stock Price as of 2021A</t>
  </si>
  <si>
    <t>Percent of firm financed with Preferred Stock</t>
  </si>
  <si>
    <t>Preferred Stock Required Rate of Return</t>
  </si>
  <si>
    <t>Market Value of Common Stock in Millions</t>
  </si>
  <si>
    <t>Percent of firm financed with Long-Term Debt</t>
  </si>
  <si>
    <t>Pre-Tax Long-Term Debt Cost</t>
  </si>
  <si>
    <t>Estimated Value of Preferred Stock (2021A) (Millions)</t>
  </si>
  <si>
    <t>Percent of firm financed with Short-Term Debt</t>
  </si>
  <si>
    <t>After-Tax Long-Term Debt Cost</t>
  </si>
  <si>
    <t>Estimated Value of Long-Term Debt (2021A) (Millions)</t>
  </si>
  <si>
    <t>Pre-Tax Short-Term Debt Cost</t>
  </si>
  <si>
    <t>Estimated Value of Short-Term Debt (2021A) (Millions)</t>
  </si>
  <si>
    <t>After-Tax Short-Term Debt Cost</t>
  </si>
  <si>
    <t>Tax Rate</t>
  </si>
  <si>
    <t>WACC</t>
  </si>
  <si>
    <t>Free Cash Flow Model</t>
  </si>
  <si>
    <t>Free Cash Flow (Industry Method)</t>
  </si>
  <si>
    <t>FCF Growth Rate after 2026E</t>
  </si>
  <si>
    <t>Weighted Average Cost of Capital</t>
  </si>
  <si>
    <t>Horizon Value of Free Cash Flow 2026E+</t>
  </si>
  <si>
    <t>Estimated Value of Operations</t>
  </si>
  <si>
    <t>Short-Term Investments % of Cash</t>
  </si>
  <si>
    <t>Short-Term Investments (2021A)</t>
  </si>
  <si>
    <t>Firm Total Intrinsic Value</t>
  </si>
  <si>
    <t>Value of Debt &amp; Preferred Stock (2021A)</t>
  </si>
  <si>
    <t>Intrinsic Value of Equity</t>
  </si>
  <si>
    <t>Multiples Model</t>
  </si>
  <si>
    <t>Market Data</t>
  </si>
  <si>
    <t>Financial Data</t>
  </si>
  <si>
    <t>Price/shr</t>
  </si>
  <si>
    <t>Mcap ($M)</t>
  </si>
  <si>
    <t>EV ($M)</t>
  </si>
  <si>
    <t xml:space="preserve">Sales ($M) </t>
  </si>
  <si>
    <t>EBITDA ($M)</t>
  </si>
  <si>
    <t xml:space="preserve">Earnings ($M) </t>
  </si>
  <si>
    <t>V/Sales</t>
  </si>
  <si>
    <t>V/EBITDA</t>
  </si>
  <si>
    <t>P/E</t>
  </si>
  <si>
    <t>Advanced Micro Devices (AMD)</t>
  </si>
  <si>
    <t>Qualcomm (QCOM)</t>
  </si>
  <si>
    <t>NXP Semiconductors (NXPI)</t>
  </si>
  <si>
    <t>Intel</t>
  </si>
  <si>
    <t>Microchip Technology</t>
  </si>
  <si>
    <t>V/Sales Estimated Value:</t>
  </si>
  <si>
    <t>Estimated Value</t>
  </si>
  <si>
    <t xml:space="preserve">Intrinsic Value of Equity </t>
  </si>
  <si>
    <t>V/EBITDA Estimated Value:</t>
  </si>
  <si>
    <t>P/E Estimated Value:</t>
  </si>
  <si>
    <t>Beta Calculation</t>
  </si>
  <si>
    <t>Date</t>
  </si>
  <si>
    <t>Microchip Stock Price</t>
  </si>
  <si>
    <t>Intel Stock Price</t>
  </si>
  <si>
    <t>NVIDIA Stock Price</t>
  </si>
  <si>
    <t>S&amp;P 500 Stock Price</t>
  </si>
  <si>
    <t>Microchip Return</t>
  </si>
  <si>
    <t>Intel Return</t>
  </si>
  <si>
    <t>NVIDIA Return</t>
  </si>
  <si>
    <t>S&amp;P Return</t>
  </si>
  <si>
    <t>Risk Free Rate</t>
  </si>
  <si>
    <t>Microchip Excess Return</t>
  </si>
  <si>
    <t>Intel Excess Return</t>
  </si>
  <si>
    <t>NVIDIA Excess Return</t>
  </si>
  <si>
    <t>S&amp;P Excess Return</t>
  </si>
  <si>
    <t>Microchip Technology Rate of Return</t>
  </si>
  <si>
    <t>Current Risk Free Rate</t>
  </si>
  <si>
    <t>Expected Market Premium</t>
  </si>
  <si>
    <t>Required Rate of Return</t>
  </si>
  <si>
    <t>Intel Rate of Return</t>
  </si>
  <si>
    <t>NVIDIA Rate of Return</t>
  </si>
  <si>
    <t>Micron</t>
  </si>
  <si>
    <t>Micron Technology, Inc.</t>
  </si>
  <si>
    <t>MU</t>
  </si>
  <si>
    <t>Computer Memory, Storage and RAM</t>
  </si>
  <si>
    <t>Micron Stock Price</t>
  </si>
  <si>
    <t>Micron Return</t>
  </si>
  <si>
    <t>Micron Excess Return</t>
  </si>
  <si>
    <t>Micron Rate of Return</t>
  </si>
  <si>
    <t>Intel (INTC)</t>
  </si>
  <si>
    <t>Microchip Technology (MCHP)</t>
  </si>
  <si>
    <t>NIVIDIA (NVDA)</t>
  </si>
  <si>
    <t>Micron (MU)</t>
  </si>
  <si>
    <t>Microchip</t>
  </si>
  <si>
    <t>Microchip Technology, Inc.</t>
  </si>
  <si>
    <t>MCHP</t>
  </si>
  <si>
    <t>Processors, Microchips, Electronic Circuits</t>
  </si>
  <si>
    <t>Intel Corporation</t>
  </si>
  <si>
    <t>INTC</t>
  </si>
  <si>
    <t>Processors, Semiconductors</t>
  </si>
  <si>
    <t>NVIDIA (NVDA)</t>
  </si>
  <si>
    <t>Microchip Tech (MCHP)</t>
  </si>
  <si>
    <t>Historic</t>
  </si>
  <si>
    <t>Key Financial Ratios</t>
  </si>
  <si>
    <t>Cash Conversion Cycle</t>
  </si>
  <si>
    <t>Quick Ratio</t>
  </si>
  <si>
    <t>Debt Ratio</t>
  </si>
  <si>
    <t>Times Interest Earned Ratio</t>
  </si>
  <si>
    <t>Inventory Turnover</t>
  </si>
  <si>
    <t>Fixed Asset Turnover</t>
  </si>
  <si>
    <t>Net Profit Margin</t>
  </si>
  <si>
    <t>Gross Profit Margin</t>
  </si>
  <si>
    <t>Return on Assets</t>
  </si>
  <si>
    <t>Return on Equity</t>
  </si>
  <si>
    <r>
      <rPr>
        <b/>
        <sz val="11"/>
        <color theme="1"/>
        <rFont val="Calibri"/>
        <family val="2"/>
        <scheme val="minor"/>
      </rPr>
      <t xml:space="preserve">Instructions: </t>
    </r>
    <r>
      <rPr>
        <sz val="11"/>
        <color theme="1"/>
        <rFont val="Calibri"/>
        <family val="2"/>
        <scheme val="minor"/>
      </rPr>
      <t>This workbook represents the pitchbook for the Semiconductors and Related Devices industry. Your company has asked you to maintian the pitchbook to help the portfolio managers evaluate the investment prospects in this industry. Your specific tasks include 1.) Completing the forecast models for</t>
    </r>
    <r>
      <rPr>
        <b/>
        <sz val="11"/>
        <color theme="1"/>
        <rFont val="Calibri"/>
        <family val="2"/>
        <scheme val="minor"/>
      </rPr>
      <t xml:space="preserve"> Intel (INTC) and Micron (MU)</t>
    </r>
    <r>
      <rPr>
        <sz val="11"/>
        <color theme="1"/>
        <rFont val="Calibri"/>
        <family val="2"/>
        <scheme val="minor"/>
      </rPr>
      <t xml:space="preserve">. The other analyst on your team has completed the other two forecast models. 2.) Complete the valuation and ratio portion of all </t>
    </r>
    <r>
      <rPr>
        <b/>
        <sz val="11"/>
        <color theme="1"/>
        <rFont val="Calibri"/>
        <family val="2"/>
        <scheme val="minor"/>
      </rPr>
      <t>FOUR (4)</t>
    </r>
    <r>
      <rPr>
        <sz val="11"/>
        <color theme="1"/>
        <rFont val="Calibri"/>
        <family val="2"/>
        <scheme val="minor"/>
      </rPr>
      <t xml:space="preserve"> models </t>
    </r>
    <r>
      <rPr>
        <b/>
        <sz val="11"/>
        <color theme="1"/>
        <rFont val="Calibri"/>
        <family val="2"/>
        <scheme val="minor"/>
      </rPr>
      <t>(Intel, Micron, Microchip, and NVIDIA)</t>
    </r>
    <r>
      <rPr>
        <sz val="11"/>
        <color theme="1"/>
        <rFont val="Calibri"/>
        <family val="2"/>
        <scheme val="minor"/>
      </rPr>
      <t xml:space="preserve"> as you are the only analyst on the team with the knowledge of how to conduct company valuation. Please note that in order to complete the valuation models you will need to also complete the "CAPM Models" worksheet. Please do </t>
    </r>
    <r>
      <rPr>
        <b/>
        <sz val="11"/>
        <color theme="1"/>
        <rFont val="Calibri"/>
        <family val="2"/>
        <scheme val="minor"/>
      </rPr>
      <t>NOT</t>
    </r>
    <r>
      <rPr>
        <sz val="11"/>
        <color theme="1"/>
        <rFont val="Calibri"/>
        <family val="2"/>
        <scheme val="minor"/>
      </rPr>
      <t xml:space="preserve"> touch the "Stock Price Charts" worksheet as your managing director has already finished the worksheet.</t>
    </r>
  </si>
  <si>
    <t>adjusted</t>
  </si>
  <si>
    <t>July 5th</t>
  </si>
  <si>
    <t>Ri = rf + B *(rm - rf)</t>
  </si>
  <si>
    <t>July</t>
  </si>
  <si>
    <t>Estimated Value of Operations (VOP)</t>
  </si>
  <si>
    <t>EV/Sales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</si>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</sst>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_(&quot;$&quot;* #,##0.00000000000000000000000_);_(&quot;$&quot;* \(#,##0.00000000000000000000000\);_(&quot;$&quot;* &quot;-&quot;??_);_(@_)"/>
    <numFmt numFmtId="168" formatCode="_(* #,##0.0_);_(* \(#,##0.0\);_(* &quot;-&quot;??_);_(@_)"/>
    <numFmt numFmtId="169" formatCode="m/d/yyyy;@"/>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4"/>
      <name val="Calibri"/>
      <family val="2"/>
      <scheme val="minor"/>
    </font>
    <font>
      <i/>
      <sz val="11"/>
      <color theme="1"/>
      <name val="Calibri"/>
      <family val="2"/>
      <scheme val="minor"/>
    </font>
    <font>
      <b/>
      <sz val="11"/>
      <color theme="4"/>
      <name val="Calibri"/>
      <family val="2"/>
      <scheme val="minor"/>
    </font>
    <font>
      <b/>
      <sz val="11"/>
      <name val="Calibri"/>
      <family val="2"/>
      <scheme val="minor"/>
    </font>
    <font>
      <b/>
      <sz val="14"/>
      <color theme="1"/>
      <name val="Calibri"/>
      <family val="2"/>
      <scheme val="minor"/>
    </font>
    <font>
      <sz val="11"/>
      <color theme="9"/>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7" tint="0.79998168889431442"/>
        <bgColor indexed="64"/>
      </patternFill>
    </fill>
  </fills>
  <borders count="11">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7">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2" fillId="2" borderId="0" xfId="0" applyFont="1" applyFill="1" applyAlignment="1">
      <alignment horizontal="left"/>
    </xf>
    <xf numFmtId="10" fontId="0" fillId="0" borderId="0" xfId="0" applyNumberFormat="1"/>
    <xf numFmtId="10" fontId="0" fillId="0" borderId="0" xfId="3" applyNumberFormat="1" applyFont="1"/>
    <xf numFmtId="9" fontId="5" fillId="0" borderId="0" xfId="0" applyNumberFormat="1" applyFont="1"/>
    <xf numFmtId="9" fontId="4" fillId="0" borderId="0" xfId="0" applyNumberFormat="1" applyFont="1"/>
    <xf numFmtId="9" fontId="0" fillId="0" borderId="0" xfId="3" applyFont="1" applyFill="1"/>
    <xf numFmtId="9" fontId="5" fillId="0" borderId="0" xfId="3" applyFont="1"/>
    <xf numFmtId="9" fontId="4" fillId="0" borderId="0" xfId="3" applyFont="1"/>
    <xf numFmtId="9" fontId="0" fillId="0" borderId="0" xfId="3" applyFont="1"/>
    <xf numFmtId="164" fontId="0" fillId="0" borderId="0" xfId="3" applyNumberFormat="1" applyFont="1" applyFill="1"/>
    <xf numFmtId="164" fontId="4" fillId="0" borderId="0" xfId="1" applyNumberFormat="1" applyFont="1" applyFill="1"/>
    <xf numFmtId="164" fontId="0" fillId="0" borderId="0" xfId="1" applyNumberFormat="1" applyFont="1" applyFill="1"/>
    <xf numFmtId="164" fontId="4" fillId="0" borderId="0" xfId="0" applyNumberFormat="1" applyFont="1"/>
    <xf numFmtId="0" fontId="2" fillId="0" borderId="0" xfId="0" applyFont="1"/>
    <xf numFmtId="0" fontId="2" fillId="0" borderId="0" xfId="0" applyFont="1" applyAlignment="1">
      <alignment horizontal="center"/>
    </xf>
    <xf numFmtId="0" fontId="0" fillId="0" borderId="0" xfId="0" applyAlignment="1">
      <alignment horizontal="left"/>
    </xf>
    <xf numFmtId="164" fontId="6" fillId="0" borderId="0" xfId="1" applyNumberFormat="1" applyFont="1" applyBorder="1"/>
    <xf numFmtId="164" fontId="4" fillId="0" borderId="0" xfId="1" applyNumberFormat="1" applyFont="1" applyBorder="1"/>
    <xf numFmtId="164" fontId="0" fillId="0" borderId="0" xfId="1" applyNumberFormat="1" applyFont="1"/>
    <xf numFmtId="0" fontId="7" fillId="0" borderId="1" xfId="0" applyFont="1" applyBorder="1" applyAlignment="1">
      <alignment horizontal="left" indent="1"/>
    </xf>
    <xf numFmtId="0" fontId="0" fillId="0" borderId="1" xfId="0" applyBorder="1"/>
    <xf numFmtId="10" fontId="6" fillId="0" borderId="1" xfId="3" applyNumberFormat="1" applyFont="1" applyBorder="1"/>
    <xf numFmtId="10" fontId="4" fillId="0" borderId="1" xfId="3" applyNumberFormat="1" applyFont="1" applyBorder="1"/>
    <xf numFmtId="0" fontId="3" fillId="0" borderId="0" xfId="0" applyFont="1"/>
    <xf numFmtId="165" fontId="3" fillId="0" borderId="0" xfId="2" applyNumberFormat="1" applyFont="1" applyFill="1"/>
    <xf numFmtId="165" fontId="3" fillId="0" borderId="0" xfId="2" applyNumberFormat="1" applyFont="1"/>
    <xf numFmtId="164" fontId="5" fillId="0" borderId="0" xfId="1" applyNumberFormat="1" applyFont="1" applyBorder="1"/>
    <xf numFmtId="164" fontId="0" fillId="0" borderId="0" xfId="1" applyNumberFormat="1" applyFont="1" applyFill="1" applyBorder="1"/>
    <xf numFmtId="166" fontId="0" fillId="0" borderId="0" xfId="3" applyNumberFormat="1" applyFont="1" applyBorder="1"/>
    <xf numFmtId="166" fontId="3" fillId="0" borderId="0" xfId="3" applyNumberFormat="1" applyFont="1"/>
    <xf numFmtId="43" fontId="0" fillId="0" borderId="0" xfId="1" applyFont="1"/>
    <xf numFmtId="164" fontId="5" fillId="0" borderId="0" xfId="1" applyNumberFormat="1" applyFont="1" applyFill="1" applyBorder="1"/>
    <xf numFmtId="164" fontId="5" fillId="0" borderId="1" xfId="1" applyNumberFormat="1" applyFont="1" applyFill="1" applyBorder="1"/>
    <xf numFmtId="164" fontId="0" fillId="0" borderId="1" xfId="1" applyNumberFormat="1" applyFont="1" applyFill="1" applyBorder="1"/>
    <xf numFmtId="164" fontId="5" fillId="0" borderId="0" xfId="1" applyNumberFormat="1" applyFont="1" applyFill="1"/>
    <xf numFmtId="164" fontId="0" fillId="0" borderId="0" xfId="1" applyNumberFormat="1" applyFont="1" applyBorder="1"/>
    <xf numFmtId="44" fontId="0" fillId="0" borderId="0" xfId="2" applyFont="1" applyFill="1"/>
    <xf numFmtId="44" fontId="0" fillId="0" borderId="0" xfId="2" applyFont="1"/>
    <xf numFmtId="44" fontId="0" fillId="0" borderId="0" xfId="0" applyNumberFormat="1"/>
    <xf numFmtId="164" fontId="0" fillId="0" borderId="0" xfId="0" applyNumberFormat="1"/>
    <xf numFmtId="0" fontId="3" fillId="3" borderId="0" xfId="0" applyFont="1" applyFill="1"/>
    <xf numFmtId="0" fontId="0" fillId="3" borderId="0" xfId="0" applyFill="1"/>
    <xf numFmtId="164" fontId="6" fillId="0" borderId="0" xfId="1" applyNumberFormat="1" applyFont="1" applyFill="1"/>
    <xf numFmtId="164" fontId="0" fillId="0" borderId="1" xfId="1" applyNumberFormat="1" applyFont="1" applyBorder="1"/>
    <xf numFmtId="164" fontId="4" fillId="0" borderId="0" xfId="1" applyNumberFormat="1" applyFont="1"/>
    <xf numFmtId="0" fontId="3" fillId="0" borderId="2" xfId="0" applyFont="1" applyBorder="1"/>
    <xf numFmtId="0" fontId="0" fillId="0" borderId="2" xfId="0" applyBorder="1"/>
    <xf numFmtId="165" fontId="3" fillId="0" borderId="2" xfId="2" applyNumberFormat="1" applyFont="1" applyFill="1" applyBorder="1"/>
    <xf numFmtId="165" fontId="0" fillId="0" borderId="0" xfId="0" applyNumberFormat="1"/>
    <xf numFmtId="164" fontId="5" fillId="0" borderId="0" xfId="1" applyNumberFormat="1" applyFont="1"/>
    <xf numFmtId="166" fontId="0" fillId="0" borderId="0" xfId="3" applyNumberFormat="1" applyFont="1"/>
    <xf numFmtId="164" fontId="5" fillId="0" borderId="1" xfId="1" applyNumberFormat="1" applyFont="1" applyBorder="1"/>
    <xf numFmtId="164" fontId="6" fillId="0" borderId="1" xfId="1" applyNumberFormat="1" applyFont="1" applyBorder="1"/>
    <xf numFmtId="164" fontId="6" fillId="0" borderId="0" xfId="1" applyNumberFormat="1" applyFont="1"/>
    <xf numFmtId="165" fontId="3" fillId="0" borderId="0" xfId="2" applyNumberFormat="1" applyFont="1" applyFill="1" applyBorder="1"/>
    <xf numFmtId="165" fontId="3" fillId="0" borderId="0" xfId="2" applyNumberFormat="1" applyFont="1" applyBorder="1"/>
    <xf numFmtId="167" fontId="0" fillId="0" borderId="0" xfId="0" applyNumberFormat="1"/>
    <xf numFmtId="0" fontId="0" fillId="0" borderId="0" xfId="0" applyAlignment="1">
      <alignment horizontal="center"/>
    </xf>
    <xf numFmtId="165" fontId="0" fillId="0" borderId="0" xfId="0" applyNumberFormat="1" applyAlignment="1">
      <alignment horizontal="center"/>
    </xf>
    <xf numFmtId="165" fontId="5" fillId="0" borderId="0" xfId="2" applyNumberFormat="1" applyFont="1"/>
    <xf numFmtId="165" fontId="0" fillId="0" borderId="0" xfId="2" applyNumberFormat="1" applyFont="1" applyFill="1"/>
    <xf numFmtId="164" fontId="4" fillId="0" borderId="1" xfId="1" applyNumberFormat="1" applyFont="1" applyBorder="1"/>
    <xf numFmtId="165" fontId="3" fillId="0" borderId="0" xfId="0" applyNumberFormat="1" applyFont="1"/>
    <xf numFmtId="0" fontId="3" fillId="0" borderId="1" xfId="0" applyFont="1" applyBorder="1"/>
    <xf numFmtId="165" fontId="3" fillId="0" borderId="1" xfId="0" applyNumberFormat="1" applyFont="1" applyBorder="1"/>
    <xf numFmtId="165" fontId="3" fillId="0" borderId="2" xfId="0" applyNumberFormat="1" applyFont="1" applyBorder="1"/>
    <xf numFmtId="164" fontId="3" fillId="0" borderId="0" xfId="0" applyNumberFormat="1" applyFont="1"/>
    <xf numFmtId="165" fontId="8" fillId="0" borderId="0" xfId="0" applyNumberFormat="1" applyFont="1"/>
    <xf numFmtId="164" fontId="6" fillId="0" borderId="1" xfId="0" applyNumberFormat="1" applyFont="1" applyBorder="1"/>
    <xf numFmtId="164" fontId="4" fillId="0" borderId="1" xfId="0" applyNumberFormat="1" applyFont="1" applyBorder="1"/>
    <xf numFmtId="165" fontId="8" fillId="0" borderId="0" xfId="2" applyNumberFormat="1" applyFont="1"/>
    <xf numFmtId="165" fontId="0" fillId="0" borderId="1" xfId="0" applyNumberFormat="1" applyBorder="1"/>
    <xf numFmtId="164" fontId="0" fillId="0" borderId="1" xfId="0" applyNumberFormat="1" applyBorder="1"/>
    <xf numFmtId="43" fontId="0" fillId="0" borderId="0" xfId="0" applyNumberFormat="1"/>
    <xf numFmtId="10" fontId="0" fillId="0" borderId="1" xfId="3" applyNumberFormat="1" applyFont="1" applyBorder="1"/>
    <xf numFmtId="165" fontId="9" fillId="0" borderId="0" xfId="2" applyNumberFormat="1" applyFont="1"/>
    <xf numFmtId="164" fontId="4" fillId="0" borderId="0" xfId="3" applyNumberFormat="1" applyFont="1" applyFill="1"/>
    <xf numFmtId="43" fontId="0" fillId="0" borderId="1" xfId="1" applyFont="1" applyBorder="1"/>
    <xf numFmtId="44" fontId="3" fillId="0" borderId="0" xfId="2" applyFont="1"/>
    <xf numFmtId="164" fontId="3" fillId="0" borderId="0" xfId="1" applyNumberFormat="1" applyFont="1"/>
    <xf numFmtId="0" fontId="3" fillId="0" borderId="0" xfId="0" applyFont="1" applyAlignment="1">
      <alignment vertical="center"/>
    </xf>
    <xf numFmtId="0" fontId="0" fillId="0" borderId="3" xfId="0" applyBorder="1"/>
    <xf numFmtId="8" fontId="0" fillId="0" borderId="4" xfId="0" applyNumberFormat="1" applyBorder="1"/>
    <xf numFmtId="0" fontId="3" fillId="3" borderId="0" xfId="0" applyFont="1" applyFill="1" applyAlignment="1">
      <alignment horizontal="center"/>
    </xf>
    <xf numFmtId="43" fontId="0" fillId="0" borderId="0" xfId="1" applyFont="1" applyFill="1"/>
    <xf numFmtId="10" fontId="0" fillId="0" borderId="0" xfId="3" applyNumberFormat="1" applyFont="1" applyFill="1"/>
    <xf numFmtId="9" fontId="0" fillId="0" borderId="0" xfId="0" applyNumberFormat="1"/>
    <xf numFmtId="0" fontId="3" fillId="0" borderId="5" xfId="0" applyFont="1" applyBorder="1"/>
    <xf numFmtId="0" fontId="0" fillId="0" borderId="6" xfId="0" applyBorder="1"/>
    <xf numFmtId="10" fontId="0" fillId="0" borderId="6" xfId="3" applyNumberFormat="1" applyFont="1" applyBorder="1"/>
    <xf numFmtId="0" fontId="4" fillId="0" borderId="0" xfId="0" applyFont="1" applyAlignment="1">
      <alignment horizontal="center"/>
    </xf>
    <xf numFmtId="0" fontId="4" fillId="0" borderId="4" xfId="0" applyFont="1" applyBorder="1" applyAlignment="1">
      <alignment horizontal="center"/>
    </xf>
    <xf numFmtId="0" fontId="4" fillId="0" borderId="9" xfId="0" applyFont="1" applyBorder="1" applyAlignment="1">
      <alignment horizontal="center"/>
    </xf>
    <xf numFmtId="165" fontId="0" fillId="0" borderId="0" xfId="2" applyNumberFormat="1" applyFont="1"/>
    <xf numFmtId="165" fontId="0" fillId="0" borderId="4" xfId="2" applyNumberFormat="1" applyFont="1" applyBorder="1"/>
    <xf numFmtId="165" fontId="0" fillId="0" borderId="0" xfId="2" applyNumberFormat="1" applyFont="1" applyBorder="1"/>
    <xf numFmtId="165" fontId="0" fillId="0" borderId="9" xfId="2" applyNumberFormat="1" applyFont="1" applyBorder="1"/>
    <xf numFmtId="168" fontId="0" fillId="0" borderId="0" xfId="1" applyNumberFormat="1" applyFont="1"/>
    <xf numFmtId="44" fontId="0" fillId="0" borderId="1" xfId="2" applyFont="1" applyBorder="1"/>
    <xf numFmtId="165" fontId="0" fillId="0" borderId="1" xfId="2" applyNumberFormat="1" applyFont="1" applyBorder="1"/>
    <xf numFmtId="165" fontId="0" fillId="0" borderId="3" xfId="2" applyNumberFormat="1" applyFont="1" applyBorder="1"/>
    <xf numFmtId="165" fontId="0" fillId="0" borderId="8" xfId="2" applyNumberFormat="1" applyFont="1" applyBorder="1"/>
    <xf numFmtId="168" fontId="0" fillId="0" borderId="3" xfId="1" applyNumberFormat="1" applyFont="1" applyBorder="1"/>
    <xf numFmtId="168" fontId="0" fillId="0" borderId="1" xfId="1" applyNumberFormat="1" applyFont="1" applyBorder="1"/>
    <xf numFmtId="168" fontId="0" fillId="0" borderId="0" xfId="1" applyNumberFormat="1" applyFont="1" applyFill="1"/>
    <xf numFmtId="44" fontId="0" fillId="0" borderId="0" xfId="2" applyFont="1" applyFill="1" applyBorder="1"/>
    <xf numFmtId="0" fontId="0" fillId="2" borderId="0" xfId="0" applyFill="1" applyAlignment="1">
      <alignment horizontal="center"/>
    </xf>
    <xf numFmtId="0" fontId="0" fillId="3" borderId="0" xfId="0" applyFill="1" applyAlignment="1">
      <alignment horizontal="center"/>
    </xf>
    <xf numFmtId="14" fontId="0" fillId="0" borderId="0" xfId="0" applyNumberFormat="1"/>
    <xf numFmtId="43" fontId="0" fillId="0" borderId="0" xfId="1" applyFont="1" applyAlignment="1">
      <alignment horizontal="center"/>
    </xf>
    <xf numFmtId="0" fontId="0" fillId="0" borderId="5" xfId="0" applyBorder="1"/>
    <xf numFmtId="10" fontId="0" fillId="0" borderId="7" xfId="3" applyNumberFormat="1" applyFont="1" applyFill="1" applyBorder="1"/>
    <xf numFmtId="164" fontId="0" fillId="0" borderId="0" xfId="0" applyNumberFormat="1" applyAlignment="1">
      <alignment horizontal="center"/>
    </xf>
    <xf numFmtId="43" fontId="0" fillId="4" borderId="0" xfId="1" applyFont="1" applyFill="1"/>
    <xf numFmtId="43" fontId="0" fillId="4" borderId="0" xfId="0" applyNumberFormat="1" applyFill="1"/>
    <xf numFmtId="10" fontId="0" fillId="4" borderId="0" xfId="0" applyNumberFormat="1" applyFill="1"/>
    <xf numFmtId="8" fontId="3" fillId="4" borderId="7" xfId="2" applyNumberFormat="1" applyFont="1" applyFill="1" applyBorder="1"/>
    <xf numFmtId="164" fontId="0" fillId="4" borderId="0" xfId="0" applyNumberFormat="1" applyFill="1"/>
    <xf numFmtId="164" fontId="0" fillId="4" borderId="0" xfId="1" applyNumberFormat="1" applyFont="1" applyFill="1"/>
    <xf numFmtId="9" fontId="0" fillId="4" borderId="0" xfId="3" applyFont="1" applyFill="1"/>
    <xf numFmtId="10" fontId="0" fillId="4" borderId="0" xfId="3" applyNumberFormat="1" applyFont="1" applyFill="1"/>
    <xf numFmtId="10" fontId="3" fillId="4" borderId="7" xfId="3" applyNumberFormat="1" applyFont="1" applyFill="1" applyBorder="1"/>
    <xf numFmtId="165" fontId="0" fillId="4" borderId="0" xfId="2" applyNumberFormat="1" applyFont="1" applyFill="1"/>
    <xf numFmtId="44" fontId="3" fillId="4" borderId="7" xfId="2" applyFont="1" applyFill="1" applyBorder="1"/>
    <xf numFmtId="165" fontId="0" fillId="4" borderId="0" xfId="0" applyNumberFormat="1" applyFill="1"/>
    <xf numFmtId="168" fontId="0" fillId="4" borderId="0" xfId="0" applyNumberFormat="1" applyFill="1"/>
    <xf numFmtId="44" fontId="0" fillId="4" borderId="0" xfId="2" applyFont="1" applyFill="1"/>
    <xf numFmtId="9" fontId="4" fillId="4" borderId="0" xfId="0" applyNumberFormat="1" applyFont="1" applyFill="1"/>
    <xf numFmtId="164" fontId="4" fillId="4" borderId="0" xfId="3" applyNumberFormat="1" applyFont="1" applyFill="1"/>
    <xf numFmtId="164" fontId="4" fillId="4" borderId="0" xfId="0" applyNumberFormat="1" applyFont="1" applyFill="1"/>
    <xf numFmtId="9" fontId="4" fillId="4" borderId="0" xfId="3" applyFont="1" applyFill="1"/>
    <xf numFmtId="164" fontId="0" fillId="4" borderId="0" xfId="3" applyNumberFormat="1" applyFont="1" applyFill="1"/>
    <xf numFmtId="164" fontId="6" fillId="0" borderId="0" xfId="1" applyNumberFormat="1" applyFont="1" applyFill="1" applyBorder="1"/>
    <xf numFmtId="164" fontId="4" fillId="0" borderId="0" xfId="1" applyNumberFormat="1" applyFont="1" applyFill="1" applyBorder="1"/>
    <xf numFmtId="10" fontId="6" fillId="0" borderId="1" xfId="3" applyNumberFormat="1" applyFont="1" applyFill="1" applyBorder="1"/>
    <xf numFmtId="10" fontId="4" fillId="0" borderId="1" xfId="3" applyNumberFormat="1" applyFont="1" applyFill="1" applyBorder="1"/>
    <xf numFmtId="0" fontId="3" fillId="0" borderId="0" xfId="0" applyFont="1" applyAlignment="1">
      <alignment horizontal="left" vertical="top" wrapText="1"/>
    </xf>
    <xf numFmtId="165" fontId="3" fillId="0" borderId="10" xfId="2" applyNumberFormat="1" applyFont="1" applyFill="1" applyBorder="1"/>
    <xf numFmtId="164" fontId="6" fillId="0" borderId="0" xfId="0" applyNumberFormat="1" applyFont="1"/>
    <xf numFmtId="2" fontId="0" fillId="0" borderId="0" xfId="0" applyNumberFormat="1"/>
    <xf numFmtId="43" fontId="0" fillId="0" borderId="0" xfId="2" applyNumberFormat="1" applyFont="1"/>
    <xf numFmtId="10" fontId="11" fillId="4" borderId="0" xfId="0" applyNumberFormat="1" applyFont="1" applyFill="1"/>
    <xf numFmtId="168" fontId="0" fillId="4" borderId="10" xfId="0" applyNumberFormat="1" applyFill="1" applyBorder="1"/>
    <xf numFmtId="169" fontId="0" fillId="0" borderId="0" xfId="0" applyNumberFormat="1"/>
    <xf numFmtId="0" fontId="0" fillId="0" borderId="0" xfId="0" applyAlignment="1">
      <alignment horizontal="left" vertical="top" wrapText="1"/>
    </xf>
    <xf numFmtId="0" fontId="4" fillId="0" borderId="1" xfId="0" applyFont="1" applyBorder="1" applyAlignment="1">
      <alignment horizontal="center"/>
    </xf>
    <xf numFmtId="0" fontId="10" fillId="0" borderId="0" xfId="0" applyFont="1" applyAlignment="1">
      <alignment horizontal="left" vertical="center"/>
    </xf>
    <xf numFmtId="0" fontId="3" fillId="0" borderId="0" xfId="0" applyFont="1" applyAlignment="1">
      <alignment horizontal="right" vertical="center"/>
    </xf>
    <xf numFmtId="14" fontId="3" fillId="0" borderId="0" xfId="0" applyNumberFormat="1" applyFont="1" applyAlignment="1">
      <alignment horizontal="center" vertical="center"/>
    </xf>
    <xf numFmtId="0" fontId="3" fillId="0" borderId="0" xfId="0" applyFont="1" applyAlignment="1">
      <alignment horizontal="center" vertical="center"/>
    </xf>
    <xf numFmtId="0" fontId="4" fillId="0" borderId="3" xfId="0" applyFont="1" applyBorder="1" applyAlignment="1">
      <alignment horizontal="center"/>
    </xf>
    <xf numFmtId="0" fontId="4" fillId="0" borderId="8" xfId="0" applyFont="1" applyBorder="1" applyAlignment="1">
      <alignment horizontal="center"/>
    </xf>
    <xf numFmtId="0" fontId="2" fillId="2" borderId="0" xfId="0" applyFont="1" applyFill="1" applyAlignment="1">
      <alignment horizontal="center"/>
    </xf>
  </cellXfs>
  <cellStyles count="4">
    <cellStyle name="Comma" xfId="1" builtinId="3"/>
    <cellStyle name="Currency" xfId="2" builtinId="4"/>
    <cellStyle name="Normal" xfId="0" builtinId="0"/>
    <cellStyle name="Percent" xfId="3" builtinId="5"/>
  </cellStyles>
  <dxfs count="24">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
      <fill>
        <patternFill>
          <bgColor rgb="FFFF5050"/>
        </patternFill>
      </fill>
    </dxf>
    <dxf>
      <fill>
        <patternFill>
          <bgColor rgb="FFFFCC66"/>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High</c:v>
          </c:tx>
          <c:spPr>
            <a:ln w="28575" cap="rnd">
              <a:solidFill>
                <a:schemeClr val="accent6"/>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Charts'!$H$3:$H$63</c:f>
              <c:numCache>
                <c:formatCode>_(* #,##0_);_(* \(#,##0\);_(* "-"??_);_(@_)</c:formatCode>
                <c:ptCount val="61"/>
                <c:pt idx="0">
                  <c:v>31.912925999999999</c:v>
                </c:pt>
                <c:pt idx="1">
                  <c:v>31.375541999999999</c:v>
                </c:pt>
                <c:pt idx="2">
                  <c:v>31.486056999999999</c:v>
                </c:pt>
                <c:pt idx="3">
                  <c:v>31.555890999999999</c:v>
                </c:pt>
                <c:pt idx="4">
                  <c:v>31.520979000000001</c:v>
                </c:pt>
                <c:pt idx="5">
                  <c:v>29.671268000000001</c:v>
                </c:pt>
                <c:pt idx="6">
                  <c:v>31.192646</c:v>
                </c:pt>
                <c:pt idx="7">
                  <c:v>30.840879000000001</c:v>
                </c:pt>
                <c:pt idx="8">
                  <c:v>33.739291999999999</c:v>
                </c:pt>
                <c:pt idx="9">
                  <c:v>40.304642000000001</c:v>
                </c:pt>
                <c:pt idx="10">
                  <c:v>39.728732999999998</c:v>
                </c:pt>
                <c:pt idx="11">
                  <c:v>41.140636000000001</c:v>
                </c:pt>
                <c:pt idx="12">
                  <c:v>42.905330999999997</c:v>
                </c:pt>
                <c:pt idx="13">
                  <c:v>43.930283000000003</c:v>
                </c:pt>
                <c:pt idx="14">
                  <c:v>46.731808000000001</c:v>
                </c:pt>
                <c:pt idx="15">
                  <c:v>46.319035</c:v>
                </c:pt>
                <c:pt idx="16">
                  <c:v>49.531410000000001</c:v>
                </c:pt>
                <c:pt idx="17">
                  <c:v>44.862609999999997</c:v>
                </c:pt>
                <c:pt idx="18">
                  <c:v>43.409618000000002</c:v>
                </c:pt>
                <c:pt idx="19">
                  <c:v>43.707442999999998</c:v>
                </c:pt>
                <c:pt idx="20">
                  <c:v>42.938152000000002</c:v>
                </c:pt>
                <c:pt idx="21">
                  <c:v>42.565886999999996</c:v>
                </c:pt>
                <c:pt idx="22">
                  <c:v>44.772266000000002</c:v>
                </c:pt>
                <c:pt idx="23">
                  <c:v>42.879452000000001</c:v>
                </c:pt>
                <c:pt idx="24">
                  <c:v>43.053046999999999</c:v>
                </c:pt>
                <c:pt idx="25">
                  <c:v>48.388995999999999</c:v>
                </c:pt>
                <c:pt idx="26">
                  <c:v>49.376133000000003</c:v>
                </c:pt>
                <c:pt idx="27">
                  <c:v>46.930317000000002</c:v>
                </c:pt>
                <c:pt idx="28">
                  <c:v>40.493941999999997</c:v>
                </c:pt>
                <c:pt idx="29">
                  <c:v>44.285110000000003</c:v>
                </c:pt>
                <c:pt idx="30">
                  <c:v>46.764420000000001</c:v>
                </c:pt>
                <c:pt idx="31">
                  <c:v>43.859566000000001</c:v>
                </c:pt>
                <c:pt idx="32">
                  <c:v>47.992885999999999</c:v>
                </c:pt>
                <c:pt idx="33">
                  <c:v>52.649676999999997</c:v>
                </c:pt>
                <c:pt idx="34">
                  <c:v>54.065350000000002</c:v>
                </c:pt>
                <c:pt idx="35">
                  <c:v>56.048572999999998</c:v>
                </c:pt>
                <c:pt idx="36">
                  <c:v>59.869427000000002</c:v>
                </c:pt>
                <c:pt idx="37">
                  <c:v>51.993591000000002</c:v>
                </c:pt>
                <c:pt idx="38">
                  <c:v>50.932105999999997</c:v>
                </c:pt>
                <c:pt idx="39">
                  <c:v>56.446930000000002</c:v>
                </c:pt>
                <c:pt idx="40">
                  <c:v>59.223166999999997</c:v>
                </c:pt>
                <c:pt idx="41">
                  <c:v>56.623824999999997</c:v>
                </c:pt>
                <c:pt idx="42">
                  <c:v>45.172244999999997</c:v>
                </c:pt>
                <c:pt idx="43">
                  <c:v>48.219687999999998</c:v>
                </c:pt>
                <c:pt idx="44">
                  <c:v>49.338028000000001</c:v>
                </c:pt>
                <c:pt idx="45">
                  <c:v>42.19173</c:v>
                </c:pt>
                <c:pt idx="46">
                  <c:v>46.069789999999998</c:v>
                </c:pt>
                <c:pt idx="47">
                  <c:v>47.815739000000001</c:v>
                </c:pt>
                <c:pt idx="48">
                  <c:v>53.276828999999999</c:v>
                </c:pt>
                <c:pt idx="49">
                  <c:v>58.334820000000001</c:v>
                </c:pt>
                <c:pt idx="50">
                  <c:v>61.79813</c:v>
                </c:pt>
                <c:pt idx="51">
                  <c:v>55.550716000000001</c:v>
                </c:pt>
                <c:pt idx="52">
                  <c:v>55.154826999999997</c:v>
                </c:pt>
                <c:pt idx="53">
                  <c:v>54.542416000000003</c:v>
                </c:pt>
                <c:pt idx="54">
                  <c:v>52.191284000000003</c:v>
                </c:pt>
                <c:pt idx="55">
                  <c:v>52.521610000000003</c:v>
                </c:pt>
                <c:pt idx="56">
                  <c:v>52.100185000000003</c:v>
                </c:pt>
                <c:pt idx="57">
                  <c:v>47.914954999999999</c:v>
                </c:pt>
                <c:pt idx="58">
                  <c:v>48.110531000000002</c:v>
                </c:pt>
                <c:pt idx="59">
                  <c:v>50.709808000000002</c:v>
                </c:pt>
                <c:pt idx="60">
                  <c:v>217.28535374946165</c:v>
                </c:pt>
              </c:numCache>
            </c:numRef>
          </c:val>
          <c:smooth val="0"/>
          <c:extLst>
            <c:ext xmlns:c16="http://schemas.microsoft.com/office/drawing/2014/chart" uri="{C3380CC4-5D6E-409C-BE32-E72D297353CC}">
              <c16:uniqueId val="{00000002-9A53-4911-9E2A-EFD2ABDDF387}"/>
            </c:ext>
          </c:extLst>
        </c:ser>
        <c:ser>
          <c:idx val="1"/>
          <c:order val="1"/>
          <c:tx>
            <c:v>Consensus</c:v>
          </c:tx>
          <c:spPr>
            <a:ln w="28575" cap="rnd">
              <a:solidFill>
                <a:schemeClr val="accent1"/>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Charts'!$I$3:$I$63</c:f>
              <c:numCache>
                <c:formatCode>_(* #,##0_);_(* \(#,##0\);_(* "-"??_);_(@_)</c:formatCode>
                <c:ptCount val="61"/>
                <c:pt idx="0">
                  <c:v>31.912925999999999</c:v>
                </c:pt>
                <c:pt idx="1">
                  <c:v>31.375541999999999</c:v>
                </c:pt>
                <c:pt idx="2">
                  <c:v>31.486056999999999</c:v>
                </c:pt>
                <c:pt idx="3">
                  <c:v>31.555890999999999</c:v>
                </c:pt>
                <c:pt idx="4">
                  <c:v>31.520979000000001</c:v>
                </c:pt>
                <c:pt idx="5">
                  <c:v>29.671268000000001</c:v>
                </c:pt>
                <c:pt idx="6">
                  <c:v>31.192646</c:v>
                </c:pt>
                <c:pt idx="7">
                  <c:v>30.840879000000001</c:v>
                </c:pt>
                <c:pt idx="8">
                  <c:v>33.739291999999999</c:v>
                </c:pt>
                <c:pt idx="9">
                  <c:v>40.304642000000001</c:v>
                </c:pt>
                <c:pt idx="10">
                  <c:v>39.728732999999998</c:v>
                </c:pt>
                <c:pt idx="11">
                  <c:v>41.140636000000001</c:v>
                </c:pt>
                <c:pt idx="12">
                  <c:v>42.905330999999997</c:v>
                </c:pt>
                <c:pt idx="13">
                  <c:v>43.930283000000003</c:v>
                </c:pt>
                <c:pt idx="14">
                  <c:v>46.731808000000001</c:v>
                </c:pt>
                <c:pt idx="15">
                  <c:v>46.319035</c:v>
                </c:pt>
                <c:pt idx="16">
                  <c:v>49.531410000000001</c:v>
                </c:pt>
                <c:pt idx="17">
                  <c:v>44.862609999999997</c:v>
                </c:pt>
                <c:pt idx="18">
                  <c:v>43.409618000000002</c:v>
                </c:pt>
                <c:pt idx="19">
                  <c:v>43.707442999999998</c:v>
                </c:pt>
                <c:pt idx="20">
                  <c:v>42.938152000000002</c:v>
                </c:pt>
                <c:pt idx="21">
                  <c:v>42.565886999999996</c:v>
                </c:pt>
                <c:pt idx="22">
                  <c:v>44.772266000000002</c:v>
                </c:pt>
                <c:pt idx="23">
                  <c:v>42.879452000000001</c:v>
                </c:pt>
                <c:pt idx="24">
                  <c:v>43.053046999999999</c:v>
                </c:pt>
                <c:pt idx="25">
                  <c:v>48.388995999999999</c:v>
                </c:pt>
                <c:pt idx="26">
                  <c:v>49.376133000000003</c:v>
                </c:pt>
                <c:pt idx="27">
                  <c:v>46.930317000000002</c:v>
                </c:pt>
                <c:pt idx="28">
                  <c:v>40.493941999999997</c:v>
                </c:pt>
                <c:pt idx="29">
                  <c:v>44.285110000000003</c:v>
                </c:pt>
                <c:pt idx="30">
                  <c:v>46.764420000000001</c:v>
                </c:pt>
                <c:pt idx="31">
                  <c:v>43.859566000000001</c:v>
                </c:pt>
                <c:pt idx="32">
                  <c:v>47.992885999999999</c:v>
                </c:pt>
                <c:pt idx="33">
                  <c:v>52.649676999999997</c:v>
                </c:pt>
                <c:pt idx="34">
                  <c:v>54.065350000000002</c:v>
                </c:pt>
                <c:pt idx="35">
                  <c:v>56.048572999999998</c:v>
                </c:pt>
                <c:pt idx="36">
                  <c:v>59.869427000000002</c:v>
                </c:pt>
                <c:pt idx="37">
                  <c:v>51.993591000000002</c:v>
                </c:pt>
                <c:pt idx="38">
                  <c:v>50.932105999999997</c:v>
                </c:pt>
                <c:pt idx="39">
                  <c:v>56.446930000000002</c:v>
                </c:pt>
                <c:pt idx="40">
                  <c:v>59.223166999999997</c:v>
                </c:pt>
                <c:pt idx="41">
                  <c:v>56.623824999999997</c:v>
                </c:pt>
                <c:pt idx="42">
                  <c:v>45.172244999999997</c:v>
                </c:pt>
                <c:pt idx="43">
                  <c:v>48.219687999999998</c:v>
                </c:pt>
                <c:pt idx="44">
                  <c:v>49.338028000000001</c:v>
                </c:pt>
                <c:pt idx="45">
                  <c:v>42.19173</c:v>
                </c:pt>
                <c:pt idx="46">
                  <c:v>46.069789999999998</c:v>
                </c:pt>
                <c:pt idx="47">
                  <c:v>47.815739000000001</c:v>
                </c:pt>
                <c:pt idx="48">
                  <c:v>53.276828999999999</c:v>
                </c:pt>
                <c:pt idx="49">
                  <c:v>58.334820000000001</c:v>
                </c:pt>
                <c:pt idx="50">
                  <c:v>61.79813</c:v>
                </c:pt>
                <c:pt idx="51">
                  <c:v>55.550716000000001</c:v>
                </c:pt>
                <c:pt idx="52">
                  <c:v>55.154826999999997</c:v>
                </c:pt>
                <c:pt idx="53">
                  <c:v>54.542416000000003</c:v>
                </c:pt>
                <c:pt idx="54">
                  <c:v>52.191284000000003</c:v>
                </c:pt>
                <c:pt idx="55">
                  <c:v>52.521610000000003</c:v>
                </c:pt>
                <c:pt idx="56">
                  <c:v>52.100185000000003</c:v>
                </c:pt>
                <c:pt idx="57">
                  <c:v>47.914954999999999</c:v>
                </c:pt>
                <c:pt idx="58">
                  <c:v>48.110531000000002</c:v>
                </c:pt>
                <c:pt idx="59">
                  <c:v>50.709808000000002</c:v>
                </c:pt>
                <c:pt idx="60">
                  <c:v>159.33492483131818</c:v>
                </c:pt>
              </c:numCache>
            </c:numRef>
          </c:val>
          <c:smooth val="0"/>
          <c:extLst>
            <c:ext xmlns:c16="http://schemas.microsoft.com/office/drawing/2014/chart" uri="{C3380CC4-5D6E-409C-BE32-E72D297353CC}">
              <c16:uniqueId val="{00000005-9A53-4911-9E2A-EFD2ABDDF387}"/>
            </c:ext>
          </c:extLst>
        </c:ser>
        <c:ser>
          <c:idx val="2"/>
          <c:order val="2"/>
          <c:tx>
            <c:v>Low</c:v>
          </c:tx>
          <c:spPr>
            <a:ln w="28575" cap="rnd">
              <a:solidFill>
                <a:srgbClr val="FF0000"/>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Charts'!$J$3:$J$63</c:f>
              <c:numCache>
                <c:formatCode>_(* #,##0_);_(* \(#,##0\);_(* "-"??_);_(@_)</c:formatCode>
                <c:ptCount val="61"/>
                <c:pt idx="0">
                  <c:v>31.912925999999999</c:v>
                </c:pt>
                <c:pt idx="1">
                  <c:v>31.375541999999999</c:v>
                </c:pt>
                <c:pt idx="2">
                  <c:v>31.486056999999999</c:v>
                </c:pt>
                <c:pt idx="3">
                  <c:v>31.555890999999999</c:v>
                </c:pt>
                <c:pt idx="4">
                  <c:v>31.520979000000001</c:v>
                </c:pt>
                <c:pt idx="5">
                  <c:v>29.671268000000001</c:v>
                </c:pt>
                <c:pt idx="6">
                  <c:v>31.192646</c:v>
                </c:pt>
                <c:pt idx="7">
                  <c:v>30.840879000000001</c:v>
                </c:pt>
                <c:pt idx="8">
                  <c:v>33.739291999999999</c:v>
                </c:pt>
                <c:pt idx="9">
                  <c:v>40.304642000000001</c:v>
                </c:pt>
                <c:pt idx="10">
                  <c:v>39.728732999999998</c:v>
                </c:pt>
                <c:pt idx="11">
                  <c:v>41.140636000000001</c:v>
                </c:pt>
                <c:pt idx="12">
                  <c:v>42.905330999999997</c:v>
                </c:pt>
                <c:pt idx="13">
                  <c:v>43.930283000000003</c:v>
                </c:pt>
                <c:pt idx="14">
                  <c:v>46.731808000000001</c:v>
                </c:pt>
                <c:pt idx="15">
                  <c:v>46.319035</c:v>
                </c:pt>
                <c:pt idx="16">
                  <c:v>49.531410000000001</c:v>
                </c:pt>
                <c:pt idx="17">
                  <c:v>44.862609999999997</c:v>
                </c:pt>
                <c:pt idx="18">
                  <c:v>43.409618000000002</c:v>
                </c:pt>
                <c:pt idx="19">
                  <c:v>43.707442999999998</c:v>
                </c:pt>
                <c:pt idx="20">
                  <c:v>42.938152000000002</c:v>
                </c:pt>
                <c:pt idx="21">
                  <c:v>42.565886999999996</c:v>
                </c:pt>
                <c:pt idx="22">
                  <c:v>44.772266000000002</c:v>
                </c:pt>
                <c:pt idx="23">
                  <c:v>42.879452000000001</c:v>
                </c:pt>
                <c:pt idx="24">
                  <c:v>43.053046999999999</c:v>
                </c:pt>
                <c:pt idx="25">
                  <c:v>48.388995999999999</c:v>
                </c:pt>
                <c:pt idx="26">
                  <c:v>49.376133000000003</c:v>
                </c:pt>
                <c:pt idx="27">
                  <c:v>46.930317000000002</c:v>
                </c:pt>
                <c:pt idx="28">
                  <c:v>40.493941999999997</c:v>
                </c:pt>
                <c:pt idx="29">
                  <c:v>44.285110000000003</c:v>
                </c:pt>
                <c:pt idx="30">
                  <c:v>46.764420000000001</c:v>
                </c:pt>
                <c:pt idx="31">
                  <c:v>43.859566000000001</c:v>
                </c:pt>
                <c:pt idx="32">
                  <c:v>47.992885999999999</c:v>
                </c:pt>
                <c:pt idx="33">
                  <c:v>52.649676999999997</c:v>
                </c:pt>
                <c:pt idx="34">
                  <c:v>54.065350000000002</c:v>
                </c:pt>
                <c:pt idx="35">
                  <c:v>56.048572999999998</c:v>
                </c:pt>
                <c:pt idx="36">
                  <c:v>59.869427000000002</c:v>
                </c:pt>
                <c:pt idx="37">
                  <c:v>51.993591000000002</c:v>
                </c:pt>
                <c:pt idx="38">
                  <c:v>50.932105999999997</c:v>
                </c:pt>
                <c:pt idx="39">
                  <c:v>56.446930000000002</c:v>
                </c:pt>
                <c:pt idx="40">
                  <c:v>59.223166999999997</c:v>
                </c:pt>
                <c:pt idx="41">
                  <c:v>56.623824999999997</c:v>
                </c:pt>
                <c:pt idx="42">
                  <c:v>45.172244999999997</c:v>
                </c:pt>
                <c:pt idx="43">
                  <c:v>48.219687999999998</c:v>
                </c:pt>
                <c:pt idx="44">
                  <c:v>49.338028000000001</c:v>
                </c:pt>
                <c:pt idx="45">
                  <c:v>42.19173</c:v>
                </c:pt>
                <c:pt idx="46">
                  <c:v>46.069789999999998</c:v>
                </c:pt>
                <c:pt idx="47">
                  <c:v>47.815739000000001</c:v>
                </c:pt>
                <c:pt idx="48">
                  <c:v>53.276828999999999</c:v>
                </c:pt>
                <c:pt idx="49">
                  <c:v>58.334820000000001</c:v>
                </c:pt>
                <c:pt idx="50">
                  <c:v>61.79813</c:v>
                </c:pt>
                <c:pt idx="51">
                  <c:v>55.550716000000001</c:v>
                </c:pt>
                <c:pt idx="52">
                  <c:v>55.154826999999997</c:v>
                </c:pt>
                <c:pt idx="53">
                  <c:v>54.542416000000003</c:v>
                </c:pt>
                <c:pt idx="54">
                  <c:v>52.191284000000003</c:v>
                </c:pt>
                <c:pt idx="55">
                  <c:v>52.521610000000003</c:v>
                </c:pt>
                <c:pt idx="56">
                  <c:v>52.100185000000003</c:v>
                </c:pt>
                <c:pt idx="57">
                  <c:v>47.914954999999999</c:v>
                </c:pt>
                <c:pt idx="58">
                  <c:v>48.110531000000002</c:v>
                </c:pt>
                <c:pt idx="59">
                  <c:v>50.709808000000002</c:v>
                </c:pt>
                <c:pt idx="60">
                  <c:v>66.453325829260038</c:v>
                </c:pt>
              </c:numCache>
            </c:numRef>
          </c:val>
          <c:smooth val="0"/>
          <c:extLst>
            <c:ext xmlns:c16="http://schemas.microsoft.com/office/drawing/2014/chart" uri="{C3380CC4-5D6E-409C-BE32-E72D297353CC}">
              <c16:uniqueId val="{00000008-9A53-4911-9E2A-EFD2ABDDF387}"/>
            </c:ext>
          </c:extLst>
        </c:ser>
        <c:ser>
          <c:idx val="3"/>
          <c:order val="3"/>
          <c:tx>
            <c:v>Historic</c:v>
          </c:tx>
          <c:spPr>
            <a:ln w="28575" cap="rnd">
              <a:solidFill>
                <a:schemeClr val="tx1"/>
              </a:solidFill>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Charts'!$K$3:$K$62</c:f>
              <c:numCache>
                <c:formatCode>_(* #,##0_);_(* \(#,##0\);_(* "-"??_);_(@_)</c:formatCode>
                <c:ptCount val="60"/>
                <c:pt idx="0">
                  <c:v>31.912925999999999</c:v>
                </c:pt>
                <c:pt idx="1">
                  <c:v>31.375541999999999</c:v>
                </c:pt>
                <c:pt idx="2">
                  <c:v>31.486056999999999</c:v>
                </c:pt>
                <c:pt idx="3">
                  <c:v>31.555890999999999</c:v>
                </c:pt>
                <c:pt idx="4">
                  <c:v>31.520979000000001</c:v>
                </c:pt>
                <c:pt idx="5">
                  <c:v>29.671268000000001</c:v>
                </c:pt>
                <c:pt idx="6">
                  <c:v>31.192646</c:v>
                </c:pt>
                <c:pt idx="7">
                  <c:v>30.840879000000001</c:v>
                </c:pt>
                <c:pt idx="8">
                  <c:v>33.739291999999999</c:v>
                </c:pt>
                <c:pt idx="9">
                  <c:v>40.304642000000001</c:v>
                </c:pt>
                <c:pt idx="10">
                  <c:v>39.728732999999998</c:v>
                </c:pt>
                <c:pt idx="11">
                  <c:v>41.140636000000001</c:v>
                </c:pt>
                <c:pt idx="12">
                  <c:v>42.905330999999997</c:v>
                </c:pt>
                <c:pt idx="13">
                  <c:v>43.930283000000003</c:v>
                </c:pt>
                <c:pt idx="14">
                  <c:v>46.731808000000001</c:v>
                </c:pt>
                <c:pt idx="15">
                  <c:v>46.319035</c:v>
                </c:pt>
                <c:pt idx="16">
                  <c:v>49.531410000000001</c:v>
                </c:pt>
                <c:pt idx="17">
                  <c:v>44.862609999999997</c:v>
                </c:pt>
                <c:pt idx="18">
                  <c:v>43.409618000000002</c:v>
                </c:pt>
                <c:pt idx="19">
                  <c:v>43.707442999999998</c:v>
                </c:pt>
                <c:pt idx="20">
                  <c:v>42.938152000000002</c:v>
                </c:pt>
                <c:pt idx="21">
                  <c:v>42.565886999999996</c:v>
                </c:pt>
                <c:pt idx="22">
                  <c:v>44.772266000000002</c:v>
                </c:pt>
                <c:pt idx="23">
                  <c:v>42.879452000000001</c:v>
                </c:pt>
                <c:pt idx="24">
                  <c:v>43.053046999999999</c:v>
                </c:pt>
                <c:pt idx="25">
                  <c:v>48.388995999999999</c:v>
                </c:pt>
                <c:pt idx="26">
                  <c:v>49.376133000000003</c:v>
                </c:pt>
                <c:pt idx="27">
                  <c:v>46.930317000000002</c:v>
                </c:pt>
                <c:pt idx="28">
                  <c:v>40.493941999999997</c:v>
                </c:pt>
                <c:pt idx="29">
                  <c:v>44.285110000000003</c:v>
                </c:pt>
                <c:pt idx="30">
                  <c:v>46.764420000000001</c:v>
                </c:pt>
                <c:pt idx="31">
                  <c:v>43.859566000000001</c:v>
                </c:pt>
                <c:pt idx="32">
                  <c:v>47.992885999999999</c:v>
                </c:pt>
                <c:pt idx="33">
                  <c:v>52.649676999999997</c:v>
                </c:pt>
                <c:pt idx="34">
                  <c:v>54.065350000000002</c:v>
                </c:pt>
                <c:pt idx="35">
                  <c:v>56.048572999999998</c:v>
                </c:pt>
                <c:pt idx="36">
                  <c:v>59.869427000000002</c:v>
                </c:pt>
                <c:pt idx="37">
                  <c:v>51.993591000000002</c:v>
                </c:pt>
                <c:pt idx="38">
                  <c:v>50.932105999999997</c:v>
                </c:pt>
                <c:pt idx="39">
                  <c:v>56.446930000000002</c:v>
                </c:pt>
                <c:pt idx="40">
                  <c:v>59.223166999999997</c:v>
                </c:pt>
                <c:pt idx="41">
                  <c:v>56.623824999999997</c:v>
                </c:pt>
                <c:pt idx="42">
                  <c:v>45.172244999999997</c:v>
                </c:pt>
                <c:pt idx="43">
                  <c:v>48.219687999999998</c:v>
                </c:pt>
                <c:pt idx="44">
                  <c:v>49.338028000000001</c:v>
                </c:pt>
                <c:pt idx="45">
                  <c:v>42.19173</c:v>
                </c:pt>
                <c:pt idx="46">
                  <c:v>46.069789999999998</c:v>
                </c:pt>
                <c:pt idx="47">
                  <c:v>47.815739000000001</c:v>
                </c:pt>
                <c:pt idx="48">
                  <c:v>53.276828999999999</c:v>
                </c:pt>
                <c:pt idx="49">
                  <c:v>58.334820000000001</c:v>
                </c:pt>
                <c:pt idx="50">
                  <c:v>61.79813</c:v>
                </c:pt>
                <c:pt idx="51">
                  <c:v>55.550716000000001</c:v>
                </c:pt>
                <c:pt idx="52">
                  <c:v>55.154826999999997</c:v>
                </c:pt>
                <c:pt idx="53">
                  <c:v>54.542416000000003</c:v>
                </c:pt>
                <c:pt idx="54">
                  <c:v>52.191284000000003</c:v>
                </c:pt>
                <c:pt idx="55">
                  <c:v>52.521610000000003</c:v>
                </c:pt>
                <c:pt idx="56">
                  <c:v>52.100185000000003</c:v>
                </c:pt>
                <c:pt idx="57">
                  <c:v>47.914954999999999</c:v>
                </c:pt>
                <c:pt idx="58">
                  <c:v>48.110531000000002</c:v>
                </c:pt>
                <c:pt idx="59">
                  <c:v>50.709808000000002</c:v>
                </c:pt>
              </c:numCache>
            </c:numRef>
          </c:val>
          <c:smooth val="0"/>
          <c:extLst>
            <c:ext xmlns:c16="http://schemas.microsoft.com/office/drawing/2014/chart" uri="{C3380CC4-5D6E-409C-BE32-E72D297353CC}">
              <c16:uniqueId val="{00000009-9A53-4911-9E2A-EFD2ABDDF387}"/>
            </c:ext>
          </c:extLst>
        </c:ser>
        <c:dLbls>
          <c:showLegendKey val="0"/>
          <c:showVal val="0"/>
          <c:showCatName val="0"/>
          <c:showSerName val="0"/>
          <c:showPercent val="0"/>
          <c:showBubbleSize val="0"/>
        </c:dLbls>
        <c:smooth val="0"/>
        <c:axId val="796881887"/>
        <c:axId val="796882719"/>
      </c:lineChart>
      <c:dateAx>
        <c:axId val="79688188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2719"/>
        <c:crosses val="autoZero"/>
        <c:auto val="1"/>
        <c:lblOffset val="100"/>
        <c:baseTimeUnit val="months"/>
        <c:majorUnit val="12"/>
        <c:majorTimeUnit val="months"/>
      </c:dateAx>
      <c:valAx>
        <c:axId val="79688271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High</c:v>
          </c:tx>
          <c:spPr>
            <a:ln w="28575" cap="rnd">
              <a:solidFill>
                <a:schemeClr val="accent6"/>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Charts'!$N$3:$N$63</c:f>
              <c:numCache>
                <c:formatCode>_(* #,##0_);_(* \(#,##0\);_(* "-"??_);_(@_)</c:formatCode>
                <c:ptCount val="61"/>
                <c:pt idx="0">
                  <c:v>24.017880999999999</c:v>
                </c:pt>
                <c:pt idx="1">
                  <c:v>23.350442999999999</c:v>
                </c:pt>
                <c:pt idx="2">
                  <c:v>28.789580999999998</c:v>
                </c:pt>
                <c:pt idx="3">
                  <c:v>27.56428</c:v>
                </c:pt>
                <c:pt idx="4">
                  <c:v>30.652435000000001</c:v>
                </c:pt>
                <c:pt idx="5">
                  <c:v>29.745913000000002</c:v>
                </c:pt>
                <c:pt idx="6">
                  <c:v>28.012561999999999</c:v>
                </c:pt>
                <c:pt idx="7">
                  <c:v>31.847850999999999</c:v>
                </c:pt>
                <c:pt idx="8">
                  <c:v>39.179729000000002</c:v>
                </c:pt>
                <c:pt idx="9">
                  <c:v>44.140704999999997</c:v>
                </c:pt>
                <c:pt idx="10">
                  <c:v>42.228039000000003</c:v>
                </c:pt>
                <c:pt idx="11">
                  <c:v>40.962887000000002</c:v>
                </c:pt>
                <c:pt idx="12">
                  <c:v>43.552956000000002</c:v>
                </c:pt>
                <c:pt idx="13">
                  <c:v>48.623508000000001</c:v>
                </c:pt>
                <c:pt idx="14">
                  <c:v>51.940787999999998</c:v>
                </c:pt>
                <c:pt idx="15">
                  <c:v>45.804321000000002</c:v>
                </c:pt>
                <c:pt idx="16">
                  <c:v>57.369965000000001</c:v>
                </c:pt>
                <c:pt idx="17">
                  <c:v>52.239638999999997</c:v>
                </c:pt>
                <c:pt idx="18">
                  <c:v>52.588303000000003</c:v>
                </c:pt>
                <c:pt idx="19">
                  <c:v>52.319336</c:v>
                </c:pt>
                <c:pt idx="20">
                  <c:v>45.057181999999997</c:v>
                </c:pt>
                <c:pt idx="21">
                  <c:v>37.575878000000003</c:v>
                </c:pt>
                <c:pt idx="22">
                  <c:v>38.412674000000003</c:v>
                </c:pt>
                <c:pt idx="23">
                  <c:v>31.608768000000001</c:v>
                </c:pt>
                <c:pt idx="24">
                  <c:v>38.073971</c:v>
                </c:pt>
                <c:pt idx="25">
                  <c:v>40.723807999999998</c:v>
                </c:pt>
                <c:pt idx="26">
                  <c:v>41.172089</c:v>
                </c:pt>
                <c:pt idx="27">
                  <c:v>41.899299999999997</c:v>
                </c:pt>
                <c:pt idx="28">
                  <c:v>32.485405</c:v>
                </c:pt>
                <c:pt idx="29">
                  <c:v>38.442557999999998</c:v>
                </c:pt>
                <c:pt idx="30">
                  <c:v>44.718487000000003</c:v>
                </c:pt>
                <c:pt idx="31">
                  <c:v>45.097034000000001</c:v>
                </c:pt>
                <c:pt idx="32">
                  <c:v>42.686278999999999</c:v>
                </c:pt>
                <c:pt idx="33">
                  <c:v>47.368319999999997</c:v>
                </c:pt>
                <c:pt idx="34">
                  <c:v>47.328476000000002</c:v>
                </c:pt>
                <c:pt idx="35">
                  <c:v>53.574516000000003</c:v>
                </c:pt>
                <c:pt idx="36">
                  <c:v>52.887157000000002</c:v>
                </c:pt>
                <c:pt idx="37">
                  <c:v>52.359183999999999</c:v>
                </c:pt>
                <c:pt idx="38">
                  <c:v>41.899299999999997</c:v>
                </c:pt>
                <c:pt idx="39">
                  <c:v>47.707023999999997</c:v>
                </c:pt>
                <c:pt idx="40">
                  <c:v>47.726948</c:v>
                </c:pt>
                <c:pt idx="41">
                  <c:v>51.323157999999999</c:v>
                </c:pt>
                <c:pt idx="42">
                  <c:v>49.868735999999998</c:v>
                </c:pt>
                <c:pt idx="43">
                  <c:v>45.336117000000002</c:v>
                </c:pt>
                <c:pt idx="44">
                  <c:v>46.780574999999999</c:v>
                </c:pt>
                <c:pt idx="45">
                  <c:v>50.147663000000001</c:v>
                </c:pt>
                <c:pt idx="46">
                  <c:v>63.845123000000001</c:v>
                </c:pt>
                <c:pt idx="47">
                  <c:v>74.892753999999996</c:v>
                </c:pt>
                <c:pt idx="48">
                  <c:v>77.970946999999995</c:v>
                </c:pt>
                <c:pt idx="49">
                  <c:v>91.180289999999999</c:v>
                </c:pt>
                <c:pt idx="50">
                  <c:v>87.872971000000007</c:v>
                </c:pt>
                <c:pt idx="51">
                  <c:v>85.741150000000005</c:v>
                </c:pt>
                <c:pt idx="52">
                  <c:v>83.818520000000007</c:v>
                </c:pt>
                <c:pt idx="53">
                  <c:v>84.655311999999995</c:v>
                </c:pt>
                <c:pt idx="54">
                  <c:v>77.283591999999999</c:v>
                </c:pt>
                <c:pt idx="55">
                  <c:v>73.418411000000006</c:v>
                </c:pt>
                <c:pt idx="56">
                  <c:v>70.708800999999994</c:v>
                </c:pt>
                <c:pt idx="57">
                  <c:v>68.932204999999996</c:v>
                </c:pt>
                <c:pt idx="58">
                  <c:v>83.796020999999996</c:v>
                </c:pt>
                <c:pt idx="59">
                  <c:v>92.923805000000002</c:v>
                </c:pt>
                <c:pt idx="60">
                  <c:v>222.52294035012258</c:v>
                </c:pt>
              </c:numCache>
            </c:numRef>
          </c:val>
          <c:smooth val="0"/>
          <c:extLst>
            <c:ext xmlns:c16="http://schemas.microsoft.com/office/drawing/2014/chart" uri="{C3380CC4-5D6E-409C-BE32-E72D297353CC}">
              <c16:uniqueId val="{00000002-ED85-459C-927A-FA0FBD8E547B}"/>
            </c:ext>
          </c:extLst>
        </c:ser>
        <c:ser>
          <c:idx val="1"/>
          <c:order val="1"/>
          <c:tx>
            <c:v>Consensus</c:v>
          </c:tx>
          <c:spPr>
            <a:ln w="28575" cap="rnd">
              <a:solidFill>
                <a:schemeClr val="accent1"/>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Charts'!$O$3:$O$63</c:f>
              <c:numCache>
                <c:formatCode>_(* #,##0_);_(* \(#,##0\);_(* "-"??_);_(@_)</c:formatCode>
                <c:ptCount val="61"/>
                <c:pt idx="0">
                  <c:v>24.017880999999999</c:v>
                </c:pt>
                <c:pt idx="1">
                  <c:v>23.350442999999999</c:v>
                </c:pt>
                <c:pt idx="2">
                  <c:v>28.789580999999998</c:v>
                </c:pt>
                <c:pt idx="3">
                  <c:v>27.56428</c:v>
                </c:pt>
                <c:pt idx="4">
                  <c:v>30.652435000000001</c:v>
                </c:pt>
                <c:pt idx="5">
                  <c:v>29.745913000000002</c:v>
                </c:pt>
                <c:pt idx="6">
                  <c:v>28.012561999999999</c:v>
                </c:pt>
                <c:pt idx="7">
                  <c:v>31.847850999999999</c:v>
                </c:pt>
                <c:pt idx="8">
                  <c:v>39.179729000000002</c:v>
                </c:pt>
                <c:pt idx="9">
                  <c:v>44.140704999999997</c:v>
                </c:pt>
                <c:pt idx="10">
                  <c:v>42.228039000000003</c:v>
                </c:pt>
                <c:pt idx="11">
                  <c:v>40.962887000000002</c:v>
                </c:pt>
                <c:pt idx="12">
                  <c:v>43.552956000000002</c:v>
                </c:pt>
                <c:pt idx="13">
                  <c:v>48.623508000000001</c:v>
                </c:pt>
                <c:pt idx="14">
                  <c:v>51.940787999999998</c:v>
                </c:pt>
                <c:pt idx="15">
                  <c:v>45.804321000000002</c:v>
                </c:pt>
                <c:pt idx="16">
                  <c:v>57.369965000000001</c:v>
                </c:pt>
                <c:pt idx="17">
                  <c:v>52.239638999999997</c:v>
                </c:pt>
                <c:pt idx="18">
                  <c:v>52.588303000000003</c:v>
                </c:pt>
                <c:pt idx="19">
                  <c:v>52.319336</c:v>
                </c:pt>
                <c:pt idx="20">
                  <c:v>45.057181999999997</c:v>
                </c:pt>
                <c:pt idx="21">
                  <c:v>37.575878000000003</c:v>
                </c:pt>
                <c:pt idx="22">
                  <c:v>38.412674000000003</c:v>
                </c:pt>
                <c:pt idx="23">
                  <c:v>31.608768000000001</c:v>
                </c:pt>
                <c:pt idx="24">
                  <c:v>38.073971</c:v>
                </c:pt>
                <c:pt idx="25">
                  <c:v>40.723807999999998</c:v>
                </c:pt>
                <c:pt idx="26">
                  <c:v>41.172089</c:v>
                </c:pt>
                <c:pt idx="27">
                  <c:v>41.899299999999997</c:v>
                </c:pt>
                <c:pt idx="28">
                  <c:v>32.485405</c:v>
                </c:pt>
                <c:pt idx="29">
                  <c:v>38.442557999999998</c:v>
                </c:pt>
                <c:pt idx="30">
                  <c:v>44.718487000000003</c:v>
                </c:pt>
                <c:pt idx="31">
                  <c:v>45.097034000000001</c:v>
                </c:pt>
                <c:pt idx="32">
                  <c:v>42.686278999999999</c:v>
                </c:pt>
                <c:pt idx="33">
                  <c:v>47.368319999999997</c:v>
                </c:pt>
                <c:pt idx="34">
                  <c:v>47.328476000000002</c:v>
                </c:pt>
                <c:pt idx="35">
                  <c:v>53.574516000000003</c:v>
                </c:pt>
                <c:pt idx="36">
                  <c:v>52.887157000000002</c:v>
                </c:pt>
                <c:pt idx="37">
                  <c:v>52.359183999999999</c:v>
                </c:pt>
                <c:pt idx="38">
                  <c:v>41.899299999999997</c:v>
                </c:pt>
                <c:pt idx="39">
                  <c:v>47.707023999999997</c:v>
                </c:pt>
                <c:pt idx="40">
                  <c:v>47.726948</c:v>
                </c:pt>
                <c:pt idx="41">
                  <c:v>51.323157999999999</c:v>
                </c:pt>
                <c:pt idx="42">
                  <c:v>49.868735999999998</c:v>
                </c:pt>
                <c:pt idx="43">
                  <c:v>45.336117000000002</c:v>
                </c:pt>
                <c:pt idx="44">
                  <c:v>46.780574999999999</c:v>
                </c:pt>
                <c:pt idx="45">
                  <c:v>50.147663000000001</c:v>
                </c:pt>
                <c:pt idx="46">
                  <c:v>63.845123000000001</c:v>
                </c:pt>
                <c:pt idx="47">
                  <c:v>74.892753999999996</c:v>
                </c:pt>
                <c:pt idx="48">
                  <c:v>77.970946999999995</c:v>
                </c:pt>
                <c:pt idx="49">
                  <c:v>91.180289999999999</c:v>
                </c:pt>
                <c:pt idx="50">
                  <c:v>87.872971000000007</c:v>
                </c:pt>
                <c:pt idx="51">
                  <c:v>85.741150000000005</c:v>
                </c:pt>
                <c:pt idx="52">
                  <c:v>83.818520000000007</c:v>
                </c:pt>
                <c:pt idx="53">
                  <c:v>84.655311999999995</c:v>
                </c:pt>
                <c:pt idx="54">
                  <c:v>77.283591999999999</c:v>
                </c:pt>
                <c:pt idx="55">
                  <c:v>73.418411000000006</c:v>
                </c:pt>
                <c:pt idx="56">
                  <c:v>70.708800999999994</c:v>
                </c:pt>
                <c:pt idx="57">
                  <c:v>68.932204999999996</c:v>
                </c:pt>
                <c:pt idx="58">
                  <c:v>83.796020999999996</c:v>
                </c:pt>
                <c:pt idx="59">
                  <c:v>92.923805000000002</c:v>
                </c:pt>
                <c:pt idx="60">
                  <c:v>130.49414485971494</c:v>
                </c:pt>
              </c:numCache>
            </c:numRef>
          </c:val>
          <c:smooth val="0"/>
          <c:extLst>
            <c:ext xmlns:c16="http://schemas.microsoft.com/office/drawing/2014/chart" uri="{C3380CC4-5D6E-409C-BE32-E72D297353CC}">
              <c16:uniqueId val="{00000005-ED85-459C-927A-FA0FBD8E547B}"/>
            </c:ext>
          </c:extLst>
        </c:ser>
        <c:ser>
          <c:idx val="2"/>
          <c:order val="2"/>
          <c:tx>
            <c:v>Low</c:v>
          </c:tx>
          <c:spPr>
            <a:ln w="28575" cap="rnd">
              <a:solidFill>
                <a:srgbClr val="FF0000"/>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Charts'!$P$3:$P$63</c:f>
              <c:numCache>
                <c:formatCode>_(* #,##0_);_(* \(#,##0\);_(* "-"??_);_(@_)</c:formatCode>
                <c:ptCount val="61"/>
                <c:pt idx="0">
                  <c:v>24.017880999999999</c:v>
                </c:pt>
                <c:pt idx="1">
                  <c:v>23.350442999999999</c:v>
                </c:pt>
                <c:pt idx="2">
                  <c:v>28.789580999999998</c:v>
                </c:pt>
                <c:pt idx="3">
                  <c:v>27.56428</c:v>
                </c:pt>
                <c:pt idx="4">
                  <c:v>30.652435000000001</c:v>
                </c:pt>
                <c:pt idx="5">
                  <c:v>29.745913000000002</c:v>
                </c:pt>
                <c:pt idx="6">
                  <c:v>28.012561999999999</c:v>
                </c:pt>
                <c:pt idx="7">
                  <c:v>31.847850999999999</c:v>
                </c:pt>
                <c:pt idx="8">
                  <c:v>39.179729000000002</c:v>
                </c:pt>
                <c:pt idx="9">
                  <c:v>44.140704999999997</c:v>
                </c:pt>
                <c:pt idx="10">
                  <c:v>42.228039000000003</c:v>
                </c:pt>
                <c:pt idx="11">
                  <c:v>40.962887000000002</c:v>
                </c:pt>
                <c:pt idx="12">
                  <c:v>43.552956000000002</c:v>
                </c:pt>
                <c:pt idx="13">
                  <c:v>48.623508000000001</c:v>
                </c:pt>
                <c:pt idx="14">
                  <c:v>51.940787999999998</c:v>
                </c:pt>
                <c:pt idx="15">
                  <c:v>45.804321000000002</c:v>
                </c:pt>
                <c:pt idx="16">
                  <c:v>57.369965000000001</c:v>
                </c:pt>
                <c:pt idx="17">
                  <c:v>52.239638999999997</c:v>
                </c:pt>
                <c:pt idx="18">
                  <c:v>52.588303000000003</c:v>
                </c:pt>
                <c:pt idx="19">
                  <c:v>52.319336</c:v>
                </c:pt>
                <c:pt idx="20">
                  <c:v>45.057181999999997</c:v>
                </c:pt>
                <c:pt idx="21">
                  <c:v>37.575878000000003</c:v>
                </c:pt>
                <c:pt idx="22">
                  <c:v>38.412674000000003</c:v>
                </c:pt>
                <c:pt idx="23">
                  <c:v>31.608768000000001</c:v>
                </c:pt>
                <c:pt idx="24">
                  <c:v>38.073971</c:v>
                </c:pt>
                <c:pt idx="25">
                  <c:v>40.723807999999998</c:v>
                </c:pt>
                <c:pt idx="26">
                  <c:v>41.172089</c:v>
                </c:pt>
                <c:pt idx="27">
                  <c:v>41.899299999999997</c:v>
                </c:pt>
                <c:pt idx="28">
                  <c:v>32.485405</c:v>
                </c:pt>
                <c:pt idx="29">
                  <c:v>38.442557999999998</c:v>
                </c:pt>
                <c:pt idx="30">
                  <c:v>44.718487000000003</c:v>
                </c:pt>
                <c:pt idx="31">
                  <c:v>45.097034000000001</c:v>
                </c:pt>
                <c:pt idx="32">
                  <c:v>42.686278999999999</c:v>
                </c:pt>
                <c:pt idx="33">
                  <c:v>47.368319999999997</c:v>
                </c:pt>
                <c:pt idx="34">
                  <c:v>47.328476000000002</c:v>
                </c:pt>
                <c:pt idx="35">
                  <c:v>53.574516000000003</c:v>
                </c:pt>
                <c:pt idx="36">
                  <c:v>52.887157000000002</c:v>
                </c:pt>
                <c:pt idx="37">
                  <c:v>52.359183999999999</c:v>
                </c:pt>
                <c:pt idx="38">
                  <c:v>41.899299999999997</c:v>
                </c:pt>
                <c:pt idx="39">
                  <c:v>47.707023999999997</c:v>
                </c:pt>
                <c:pt idx="40">
                  <c:v>47.726948</c:v>
                </c:pt>
                <c:pt idx="41">
                  <c:v>51.323157999999999</c:v>
                </c:pt>
                <c:pt idx="42">
                  <c:v>49.868735999999998</c:v>
                </c:pt>
                <c:pt idx="43">
                  <c:v>45.336117000000002</c:v>
                </c:pt>
                <c:pt idx="44">
                  <c:v>46.780574999999999</c:v>
                </c:pt>
                <c:pt idx="45">
                  <c:v>50.147663000000001</c:v>
                </c:pt>
                <c:pt idx="46">
                  <c:v>63.845123000000001</c:v>
                </c:pt>
                <c:pt idx="47">
                  <c:v>74.892753999999996</c:v>
                </c:pt>
                <c:pt idx="48">
                  <c:v>77.970946999999995</c:v>
                </c:pt>
                <c:pt idx="49">
                  <c:v>91.180289999999999</c:v>
                </c:pt>
                <c:pt idx="50">
                  <c:v>87.872971000000007</c:v>
                </c:pt>
                <c:pt idx="51">
                  <c:v>85.741150000000005</c:v>
                </c:pt>
                <c:pt idx="52">
                  <c:v>83.818520000000007</c:v>
                </c:pt>
                <c:pt idx="53">
                  <c:v>84.655311999999995</c:v>
                </c:pt>
                <c:pt idx="54">
                  <c:v>77.283591999999999</c:v>
                </c:pt>
                <c:pt idx="55">
                  <c:v>73.418411000000006</c:v>
                </c:pt>
                <c:pt idx="56">
                  <c:v>70.708800999999994</c:v>
                </c:pt>
                <c:pt idx="57">
                  <c:v>68.932204999999996</c:v>
                </c:pt>
                <c:pt idx="58">
                  <c:v>83.796020999999996</c:v>
                </c:pt>
                <c:pt idx="59">
                  <c:v>92.923805000000002</c:v>
                </c:pt>
                <c:pt idx="60">
                  <c:v>13.579805693250169</c:v>
                </c:pt>
              </c:numCache>
            </c:numRef>
          </c:val>
          <c:smooth val="0"/>
          <c:extLst>
            <c:ext xmlns:c16="http://schemas.microsoft.com/office/drawing/2014/chart" uri="{C3380CC4-5D6E-409C-BE32-E72D297353CC}">
              <c16:uniqueId val="{00000008-ED85-459C-927A-FA0FBD8E547B}"/>
            </c:ext>
          </c:extLst>
        </c:ser>
        <c:ser>
          <c:idx val="3"/>
          <c:order val="3"/>
          <c:tx>
            <c:v>Historic</c:v>
          </c:tx>
          <c:spPr>
            <a:ln w="28575" cap="rnd">
              <a:solidFill>
                <a:schemeClr val="tx1"/>
              </a:solidFill>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Charts'!$Q$3:$Q$62</c:f>
              <c:numCache>
                <c:formatCode>_(* #,##0_);_(* \(#,##0\);_(* "-"??_);_(@_)</c:formatCode>
                <c:ptCount val="60"/>
                <c:pt idx="0">
                  <c:v>24.017880999999999</c:v>
                </c:pt>
                <c:pt idx="1">
                  <c:v>23.350442999999999</c:v>
                </c:pt>
                <c:pt idx="2">
                  <c:v>28.789580999999998</c:v>
                </c:pt>
                <c:pt idx="3">
                  <c:v>27.56428</c:v>
                </c:pt>
                <c:pt idx="4">
                  <c:v>30.652435000000001</c:v>
                </c:pt>
                <c:pt idx="5">
                  <c:v>29.745913000000002</c:v>
                </c:pt>
                <c:pt idx="6">
                  <c:v>28.012561999999999</c:v>
                </c:pt>
                <c:pt idx="7">
                  <c:v>31.847850999999999</c:v>
                </c:pt>
                <c:pt idx="8">
                  <c:v>39.179729000000002</c:v>
                </c:pt>
                <c:pt idx="9">
                  <c:v>44.140704999999997</c:v>
                </c:pt>
                <c:pt idx="10">
                  <c:v>42.228039000000003</c:v>
                </c:pt>
                <c:pt idx="11">
                  <c:v>40.962887000000002</c:v>
                </c:pt>
                <c:pt idx="12">
                  <c:v>43.552956000000002</c:v>
                </c:pt>
                <c:pt idx="13">
                  <c:v>48.623508000000001</c:v>
                </c:pt>
                <c:pt idx="14">
                  <c:v>51.940787999999998</c:v>
                </c:pt>
                <c:pt idx="15">
                  <c:v>45.804321000000002</c:v>
                </c:pt>
                <c:pt idx="16">
                  <c:v>57.369965000000001</c:v>
                </c:pt>
                <c:pt idx="17">
                  <c:v>52.239638999999997</c:v>
                </c:pt>
                <c:pt idx="18">
                  <c:v>52.588303000000003</c:v>
                </c:pt>
                <c:pt idx="19">
                  <c:v>52.319336</c:v>
                </c:pt>
                <c:pt idx="20">
                  <c:v>45.057181999999997</c:v>
                </c:pt>
                <c:pt idx="21">
                  <c:v>37.575878000000003</c:v>
                </c:pt>
                <c:pt idx="22">
                  <c:v>38.412674000000003</c:v>
                </c:pt>
                <c:pt idx="23">
                  <c:v>31.608768000000001</c:v>
                </c:pt>
                <c:pt idx="24">
                  <c:v>38.073971</c:v>
                </c:pt>
                <c:pt idx="25">
                  <c:v>40.723807999999998</c:v>
                </c:pt>
                <c:pt idx="26">
                  <c:v>41.172089</c:v>
                </c:pt>
                <c:pt idx="27">
                  <c:v>41.899299999999997</c:v>
                </c:pt>
                <c:pt idx="28">
                  <c:v>32.485405</c:v>
                </c:pt>
                <c:pt idx="29">
                  <c:v>38.442557999999998</c:v>
                </c:pt>
                <c:pt idx="30">
                  <c:v>44.718487000000003</c:v>
                </c:pt>
                <c:pt idx="31">
                  <c:v>45.097034000000001</c:v>
                </c:pt>
                <c:pt idx="32">
                  <c:v>42.686278999999999</c:v>
                </c:pt>
                <c:pt idx="33">
                  <c:v>47.368319999999997</c:v>
                </c:pt>
                <c:pt idx="34">
                  <c:v>47.328476000000002</c:v>
                </c:pt>
                <c:pt idx="35">
                  <c:v>53.574516000000003</c:v>
                </c:pt>
                <c:pt idx="36">
                  <c:v>52.887157000000002</c:v>
                </c:pt>
                <c:pt idx="37">
                  <c:v>52.359183999999999</c:v>
                </c:pt>
                <c:pt idx="38">
                  <c:v>41.899299999999997</c:v>
                </c:pt>
                <c:pt idx="39">
                  <c:v>47.707023999999997</c:v>
                </c:pt>
                <c:pt idx="40">
                  <c:v>47.726948</c:v>
                </c:pt>
                <c:pt idx="41">
                  <c:v>51.323157999999999</c:v>
                </c:pt>
                <c:pt idx="42">
                  <c:v>49.868735999999998</c:v>
                </c:pt>
                <c:pt idx="43">
                  <c:v>45.336117000000002</c:v>
                </c:pt>
                <c:pt idx="44">
                  <c:v>46.780574999999999</c:v>
                </c:pt>
                <c:pt idx="45">
                  <c:v>50.147663000000001</c:v>
                </c:pt>
                <c:pt idx="46">
                  <c:v>63.845123000000001</c:v>
                </c:pt>
                <c:pt idx="47">
                  <c:v>74.892753999999996</c:v>
                </c:pt>
                <c:pt idx="48">
                  <c:v>77.970946999999995</c:v>
                </c:pt>
                <c:pt idx="49">
                  <c:v>91.180289999999999</c:v>
                </c:pt>
                <c:pt idx="50">
                  <c:v>87.872971000000007</c:v>
                </c:pt>
                <c:pt idx="51">
                  <c:v>85.741150000000005</c:v>
                </c:pt>
                <c:pt idx="52">
                  <c:v>83.818520000000007</c:v>
                </c:pt>
                <c:pt idx="53">
                  <c:v>84.655311999999995</c:v>
                </c:pt>
                <c:pt idx="54">
                  <c:v>77.283591999999999</c:v>
                </c:pt>
                <c:pt idx="55">
                  <c:v>73.418411000000006</c:v>
                </c:pt>
                <c:pt idx="56">
                  <c:v>70.708800999999994</c:v>
                </c:pt>
                <c:pt idx="57">
                  <c:v>68.932204999999996</c:v>
                </c:pt>
                <c:pt idx="58">
                  <c:v>83.796020999999996</c:v>
                </c:pt>
                <c:pt idx="59">
                  <c:v>92.923805000000002</c:v>
                </c:pt>
              </c:numCache>
            </c:numRef>
          </c:val>
          <c:smooth val="0"/>
          <c:extLst>
            <c:ext xmlns:c16="http://schemas.microsoft.com/office/drawing/2014/chart" uri="{C3380CC4-5D6E-409C-BE32-E72D297353CC}">
              <c16:uniqueId val="{00000009-ED85-459C-927A-FA0FBD8E547B}"/>
            </c:ext>
          </c:extLst>
        </c:ser>
        <c:dLbls>
          <c:showLegendKey val="0"/>
          <c:showVal val="0"/>
          <c:showCatName val="0"/>
          <c:showSerName val="0"/>
          <c:showPercent val="0"/>
          <c:showBubbleSize val="0"/>
        </c:dLbls>
        <c:smooth val="0"/>
        <c:axId val="796881887"/>
        <c:axId val="796882719"/>
      </c:lineChart>
      <c:dateAx>
        <c:axId val="79688188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2719"/>
        <c:crosses val="autoZero"/>
        <c:auto val="1"/>
        <c:lblOffset val="100"/>
        <c:baseTimeUnit val="months"/>
        <c:majorUnit val="12"/>
        <c:majorTimeUnit val="months"/>
      </c:dateAx>
      <c:valAx>
        <c:axId val="79688271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High</c:v>
          </c:tx>
          <c:spPr>
            <a:ln w="28575" cap="rnd">
              <a:solidFill>
                <a:schemeClr val="accent6"/>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Charts'!$T$3:$T$63</c:f>
              <c:numCache>
                <c:formatCode>_(* #,##0_);_(* \(#,##0\);_(* "-"??_);_(@_)</c:formatCode>
                <c:ptCount val="61"/>
                <c:pt idx="0">
                  <c:v>30.937142999999999</c:v>
                </c:pt>
                <c:pt idx="1">
                  <c:v>33.311976999999999</c:v>
                </c:pt>
                <c:pt idx="2">
                  <c:v>34.061774999999997</c:v>
                </c:pt>
                <c:pt idx="3">
                  <c:v>34.892780000000002</c:v>
                </c:pt>
                <c:pt idx="4">
                  <c:v>38.456843999999997</c:v>
                </c:pt>
                <c:pt idx="5">
                  <c:v>35.794758000000002</c:v>
                </c:pt>
                <c:pt idx="6">
                  <c:v>37.121189000000001</c:v>
                </c:pt>
                <c:pt idx="7">
                  <c:v>40.256354999999999</c:v>
                </c:pt>
                <c:pt idx="8">
                  <c:v>41.818297999999999</c:v>
                </c:pt>
                <c:pt idx="9">
                  <c:v>44.156548000000001</c:v>
                </c:pt>
                <c:pt idx="10">
                  <c:v>40.518745000000003</c:v>
                </c:pt>
                <c:pt idx="11">
                  <c:v>41.096694999999997</c:v>
                </c:pt>
                <c:pt idx="12">
                  <c:v>44.529221</c:v>
                </c:pt>
                <c:pt idx="13">
                  <c:v>41.587727000000001</c:v>
                </c:pt>
                <c:pt idx="14">
                  <c:v>42.910857999999998</c:v>
                </c:pt>
                <c:pt idx="15">
                  <c:v>39.294249999999998</c:v>
                </c:pt>
                <c:pt idx="16">
                  <c:v>45.738388</c:v>
                </c:pt>
                <c:pt idx="17">
                  <c:v>42.885468000000003</c:v>
                </c:pt>
                <c:pt idx="18">
                  <c:v>44.054851999999997</c:v>
                </c:pt>
                <c:pt idx="19">
                  <c:v>40.565551999999997</c:v>
                </c:pt>
                <c:pt idx="20">
                  <c:v>37.372146999999998</c:v>
                </c:pt>
                <c:pt idx="21">
                  <c:v>31.153721000000001</c:v>
                </c:pt>
                <c:pt idx="22">
                  <c:v>35.520350999999998</c:v>
                </c:pt>
                <c:pt idx="23">
                  <c:v>34.230761999999999</c:v>
                </c:pt>
                <c:pt idx="24">
                  <c:v>38.252594000000002</c:v>
                </c:pt>
                <c:pt idx="25">
                  <c:v>41.346310000000003</c:v>
                </c:pt>
                <c:pt idx="26">
                  <c:v>39.644877999999999</c:v>
                </c:pt>
                <c:pt idx="27">
                  <c:v>47.735382000000001</c:v>
                </c:pt>
                <c:pt idx="28">
                  <c:v>38.244694000000003</c:v>
                </c:pt>
                <c:pt idx="29">
                  <c:v>41.615082000000001</c:v>
                </c:pt>
                <c:pt idx="30">
                  <c:v>45.320599000000001</c:v>
                </c:pt>
                <c:pt idx="31">
                  <c:v>41.437491999999999</c:v>
                </c:pt>
                <c:pt idx="32">
                  <c:v>44.777808999999998</c:v>
                </c:pt>
                <c:pt idx="33">
                  <c:v>45.442898</c:v>
                </c:pt>
                <c:pt idx="34">
                  <c:v>45.563384999999997</c:v>
                </c:pt>
                <c:pt idx="35">
                  <c:v>50.670352999999999</c:v>
                </c:pt>
                <c:pt idx="36">
                  <c:v>47.167167999999997</c:v>
                </c:pt>
                <c:pt idx="37">
                  <c:v>43.891407000000001</c:v>
                </c:pt>
                <c:pt idx="38">
                  <c:v>32.916058</c:v>
                </c:pt>
                <c:pt idx="39">
                  <c:v>42.591819999999998</c:v>
                </c:pt>
                <c:pt idx="40">
                  <c:v>46.616512</c:v>
                </c:pt>
                <c:pt idx="41">
                  <c:v>51.341048999999998</c:v>
                </c:pt>
                <c:pt idx="42">
                  <c:v>49.595722000000002</c:v>
                </c:pt>
                <c:pt idx="43">
                  <c:v>53.481270000000002</c:v>
                </c:pt>
                <c:pt idx="44">
                  <c:v>50.268962999999999</c:v>
                </c:pt>
                <c:pt idx="45">
                  <c:v>51.403880999999998</c:v>
                </c:pt>
                <c:pt idx="46">
                  <c:v>65.741981999999993</c:v>
                </c:pt>
                <c:pt idx="47">
                  <c:v>67.762032000000005</c:v>
                </c:pt>
                <c:pt idx="48">
                  <c:v>66.780769000000006</c:v>
                </c:pt>
                <c:pt idx="49">
                  <c:v>74.886100999999996</c:v>
                </c:pt>
                <c:pt idx="50">
                  <c:v>76.347060999999997</c:v>
                </c:pt>
                <c:pt idx="51">
                  <c:v>73.922173000000001</c:v>
                </c:pt>
                <c:pt idx="52">
                  <c:v>77.197990000000004</c:v>
                </c:pt>
                <c:pt idx="53">
                  <c:v>73.859168999999994</c:v>
                </c:pt>
                <c:pt idx="54">
                  <c:v>70.593857</c:v>
                </c:pt>
                <c:pt idx="55">
                  <c:v>77.617728999999997</c:v>
                </c:pt>
                <c:pt idx="56">
                  <c:v>75.939835000000002</c:v>
                </c:pt>
                <c:pt idx="57">
                  <c:v>73.312691000000001</c:v>
                </c:pt>
                <c:pt idx="58">
                  <c:v>82.554703000000003</c:v>
                </c:pt>
                <c:pt idx="59">
                  <c:v>86.388503999999998</c:v>
                </c:pt>
                <c:pt idx="60">
                  <c:v>119.71017299104997</c:v>
                </c:pt>
              </c:numCache>
            </c:numRef>
          </c:val>
          <c:smooth val="0"/>
          <c:extLst>
            <c:ext xmlns:c16="http://schemas.microsoft.com/office/drawing/2014/chart" uri="{C3380CC4-5D6E-409C-BE32-E72D297353CC}">
              <c16:uniqueId val="{00000002-6F1F-4D0E-A6E2-738E3A093364}"/>
            </c:ext>
          </c:extLst>
        </c:ser>
        <c:ser>
          <c:idx val="1"/>
          <c:order val="1"/>
          <c:tx>
            <c:v>Consensus</c:v>
          </c:tx>
          <c:spPr>
            <a:ln w="28575" cap="rnd">
              <a:solidFill>
                <a:schemeClr val="accent1"/>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Charts'!$U$3:$U$63</c:f>
              <c:numCache>
                <c:formatCode>_(* #,##0_);_(* \(#,##0\);_(* "-"??_);_(@_)</c:formatCode>
                <c:ptCount val="61"/>
                <c:pt idx="0">
                  <c:v>30.937142999999999</c:v>
                </c:pt>
                <c:pt idx="1">
                  <c:v>33.311976999999999</c:v>
                </c:pt>
                <c:pt idx="2">
                  <c:v>34.061774999999997</c:v>
                </c:pt>
                <c:pt idx="3">
                  <c:v>34.892780000000002</c:v>
                </c:pt>
                <c:pt idx="4">
                  <c:v>38.456843999999997</c:v>
                </c:pt>
                <c:pt idx="5">
                  <c:v>35.794758000000002</c:v>
                </c:pt>
                <c:pt idx="6">
                  <c:v>37.121189000000001</c:v>
                </c:pt>
                <c:pt idx="7">
                  <c:v>40.256354999999999</c:v>
                </c:pt>
                <c:pt idx="8">
                  <c:v>41.818297999999999</c:v>
                </c:pt>
                <c:pt idx="9">
                  <c:v>44.156548000000001</c:v>
                </c:pt>
                <c:pt idx="10">
                  <c:v>40.518745000000003</c:v>
                </c:pt>
                <c:pt idx="11">
                  <c:v>41.096694999999997</c:v>
                </c:pt>
                <c:pt idx="12">
                  <c:v>44.529221</c:v>
                </c:pt>
                <c:pt idx="13">
                  <c:v>41.587727000000001</c:v>
                </c:pt>
                <c:pt idx="14">
                  <c:v>42.910857999999998</c:v>
                </c:pt>
                <c:pt idx="15">
                  <c:v>39.294249999999998</c:v>
                </c:pt>
                <c:pt idx="16">
                  <c:v>45.738388</c:v>
                </c:pt>
                <c:pt idx="17">
                  <c:v>42.885468000000003</c:v>
                </c:pt>
                <c:pt idx="18">
                  <c:v>44.054851999999997</c:v>
                </c:pt>
                <c:pt idx="19">
                  <c:v>40.565551999999997</c:v>
                </c:pt>
                <c:pt idx="20">
                  <c:v>37.372146999999998</c:v>
                </c:pt>
                <c:pt idx="21">
                  <c:v>31.153721000000001</c:v>
                </c:pt>
                <c:pt idx="22">
                  <c:v>35.520350999999998</c:v>
                </c:pt>
                <c:pt idx="23">
                  <c:v>34.230761999999999</c:v>
                </c:pt>
                <c:pt idx="24">
                  <c:v>38.252594000000002</c:v>
                </c:pt>
                <c:pt idx="25">
                  <c:v>41.346310000000003</c:v>
                </c:pt>
                <c:pt idx="26">
                  <c:v>39.644877999999999</c:v>
                </c:pt>
                <c:pt idx="27">
                  <c:v>47.735382000000001</c:v>
                </c:pt>
                <c:pt idx="28">
                  <c:v>38.244694000000003</c:v>
                </c:pt>
                <c:pt idx="29">
                  <c:v>41.615082000000001</c:v>
                </c:pt>
                <c:pt idx="30">
                  <c:v>45.320599000000001</c:v>
                </c:pt>
                <c:pt idx="31">
                  <c:v>41.437491999999999</c:v>
                </c:pt>
                <c:pt idx="32">
                  <c:v>44.777808999999998</c:v>
                </c:pt>
                <c:pt idx="33">
                  <c:v>45.442898</c:v>
                </c:pt>
                <c:pt idx="34">
                  <c:v>45.563384999999997</c:v>
                </c:pt>
                <c:pt idx="35">
                  <c:v>50.670352999999999</c:v>
                </c:pt>
                <c:pt idx="36">
                  <c:v>47.167167999999997</c:v>
                </c:pt>
                <c:pt idx="37">
                  <c:v>43.891407000000001</c:v>
                </c:pt>
                <c:pt idx="38">
                  <c:v>32.916058</c:v>
                </c:pt>
                <c:pt idx="39">
                  <c:v>42.591819999999998</c:v>
                </c:pt>
                <c:pt idx="40">
                  <c:v>46.616512</c:v>
                </c:pt>
                <c:pt idx="41">
                  <c:v>51.341048999999998</c:v>
                </c:pt>
                <c:pt idx="42">
                  <c:v>49.595722000000002</c:v>
                </c:pt>
                <c:pt idx="43">
                  <c:v>53.481270000000002</c:v>
                </c:pt>
                <c:pt idx="44">
                  <c:v>50.268962999999999</c:v>
                </c:pt>
                <c:pt idx="45">
                  <c:v>51.403880999999998</c:v>
                </c:pt>
                <c:pt idx="46">
                  <c:v>65.741981999999993</c:v>
                </c:pt>
                <c:pt idx="47">
                  <c:v>67.762032000000005</c:v>
                </c:pt>
                <c:pt idx="48">
                  <c:v>66.780769000000006</c:v>
                </c:pt>
                <c:pt idx="49">
                  <c:v>74.886100999999996</c:v>
                </c:pt>
                <c:pt idx="50">
                  <c:v>76.347060999999997</c:v>
                </c:pt>
                <c:pt idx="51">
                  <c:v>73.922173000000001</c:v>
                </c:pt>
                <c:pt idx="52">
                  <c:v>77.197990000000004</c:v>
                </c:pt>
                <c:pt idx="53">
                  <c:v>73.859168999999994</c:v>
                </c:pt>
                <c:pt idx="54">
                  <c:v>70.593857</c:v>
                </c:pt>
                <c:pt idx="55">
                  <c:v>77.617728999999997</c:v>
                </c:pt>
                <c:pt idx="56">
                  <c:v>75.939835000000002</c:v>
                </c:pt>
                <c:pt idx="57">
                  <c:v>73.312691000000001</c:v>
                </c:pt>
                <c:pt idx="58">
                  <c:v>82.554703000000003</c:v>
                </c:pt>
                <c:pt idx="59">
                  <c:v>86.388503999999998</c:v>
                </c:pt>
                <c:pt idx="60">
                  <c:v>84.574816248121465</c:v>
                </c:pt>
              </c:numCache>
            </c:numRef>
          </c:val>
          <c:smooth val="0"/>
          <c:extLst>
            <c:ext xmlns:c16="http://schemas.microsoft.com/office/drawing/2014/chart" uri="{C3380CC4-5D6E-409C-BE32-E72D297353CC}">
              <c16:uniqueId val="{00000005-6F1F-4D0E-A6E2-738E3A093364}"/>
            </c:ext>
          </c:extLst>
        </c:ser>
        <c:ser>
          <c:idx val="2"/>
          <c:order val="2"/>
          <c:tx>
            <c:v>Low</c:v>
          </c:tx>
          <c:spPr>
            <a:ln w="28575" cap="rnd">
              <a:solidFill>
                <a:srgbClr val="FF0000"/>
              </a:solidFill>
              <a:prstDash val="sysDash"/>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Charts'!$V$3:$V$63</c:f>
              <c:numCache>
                <c:formatCode>_(* #,##0_);_(* \(#,##0\);_(* "-"??_);_(@_)</c:formatCode>
                <c:ptCount val="61"/>
                <c:pt idx="0">
                  <c:v>30.937142999999999</c:v>
                </c:pt>
                <c:pt idx="1">
                  <c:v>33.311976999999999</c:v>
                </c:pt>
                <c:pt idx="2">
                  <c:v>34.061774999999997</c:v>
                </c:pt>
                <c:pt idx="3">
                  <c:v>34.892780000000002</c:v>
                </c:pt>
                <c:pt idx="4">
                  <c:v>38.456843999999997</c:v>
                </c:pt>
                <c:pt idx="5">
                  <c:v>35.794758000000002</c:v>
                </c:pt>
                <c:pt idx="6">
                  <c:v>37.121189000000001</c:v>
                </c:pt>
                <c:pt idx="7">
                  <c:v>40.256354999999999</c:v>
                </c:pt>
                <c:pt idx="8">
                  <c:v>41.818297999999999</c:v>
                </c:pt>
                <c:pt idx="9">
                  <c:v>44.156548000000001</c:v>
                </c:pt>
                <c:pt idx="10">
                  <c:v>40.518745000000003</c:v>
                </c:pt>
                <c:pt idx="11">
                  <c:v>41.096694999999997</c:v>
                </c:pt>
                <c:pt idx="12">
                  <c:v>44.529221</c:v>
                </c:pt>
                <c:pt idx="13">
                  <c:v>41.587727000000001</c:v>
                </c:pt>
                <c:pt idx="14">
                  <c:v>42.910857999999998</c:v>
                </c:pt>
                <c:pt idx="15">
                  <c:v>39.294249999999998</c:v>
                </c:pt>
                <c:pt idx="16">
                  <c:v>45.738388</c:v>
                </c:pt>
                <c:pt idx="17">
                  <c:v>42.885468000000003</c:v>
                </c:pt>
                <c:pt idx="18">
                  <c:v>44.054851999999997</c:v>
                </c:pt>
                <c:pt idx="19">
                  <c:v>40.565551999999997</c:v>
                </c:pt>
                <c:pt idx="20">
                  <c:v>37.372146999999998</c:v>
                </c:pt>
                <c:pt idx="21">
                  <c:v>31.153721000000001</c:v>
                </c:pt>
                <c:pt idx="22">
                  <c:v>35.520350999999998</c:v>
                </c:pt>
                <c:pt idx="23">
                  <c:v>34.230761999999999</c:v>
                </c:pt>
                <c:pt idx="24">
                  <c:v>38.252594000000002</c:v>
                </c:pt>
                <c:pt idx="25">
                  <c:v>41.346310000000003</c:v>
                </c:pt>
                <c:pt idx="26">
                  <c:v>39.644877999999999</c:v>
                </c:pt>
                <c:pt idx="27">
                  <c:v>47.735382000000001</c:v>
                </c:pt>
                <c:pt idx="28">
                  <c:v>38.244694000000003</c:v>
                </c:pt>
                <c:pt idx="29">
                  <c:v>41.615082000000001</c:v>
                </c:pt>
                <c:pt idx="30">
                  <c:v>45.320599000000001</c:v>
                </c:pt>
                <c:pt idx="31">
                  <c:v>41.437491999999999</c:v>
                </c:pt>
                <c:pt idx="32">
                  <c:v>44.777808999999998</c:v>
                </c:pt>
                <c:pt idx="33">
                  <c:v>45.442898</c:v>
                </c:pt>
                <c:pt idx="34">
                  <c:v>45.563384999999997</c:v>
                </c:pt>
                <c:pt idx="35">
                  <c:v>50.670352999999999</c:v>
                </c:pt>
                <c:pt idx="36">
                  <c:v>47.167167999999997</c:v>
                </c:pt>
                <c:pt idx="37">
                  <c:v>43.891407000000001</c:v>
                </c:pt>
                <c:pt idx="38">
                  <c:v>32.916058</c:v>
                </c:pt>
                <c:pt idx="39">
                  <c:v>42.591819999999998</c:v>
                </c:pt>
                <c:pt idx="40">
                  <c:v>46.616512</c:v>
                </c:pt>
                <c:pt idx="41">
                  <c:v>51.341048999999998</c:v>
                </c:pt>
                <c:pt idx="42">
                  <c:v>49.595722000000002</c:v>
                </c:pt>
                <c:pt idx="43">
                  <c:v>53.481270000000002</c:v>
                </c:pt>
                <c:pt idx="44">
                  <c:v>50.268962999999999</c:v>
                </c:pt>
                <c:pt idx="45">
                  <c:v>51.403880999999998</c:v>
                </c:pt>
                <c:pt idx="46">
                  <c:v>65.741981999999993</c:v>
                </c:pt>
                <c:pt idx="47">
                  <c:v>67.762032000000005</c:v>
                </c:pt>
                <c:pt idx="48">
                  <c:v>66.780769000000006</c:v>
                </c:pt>
                <c:pt idx="49">
                  <c:v>74.886100999999996</c:v>
                </c:pt>
                <c:pt idx="50">
                  <c:v>76.347060999999997</c:v>
                </c:pt>
                <c:pt idx="51">
                  <c:v>73.922173000000001</c:v>
                </c:pt>
                <c:pt idx="52">
                  <c:v>77.197990000000004</c:v>
                </c:pt>
                <c:pt idx="53">
                  <c:v>73.859168999999994</c:v>
                </c:pt>
                <c:pt idx="54">
                  <c:v>70.593857</c:v>
                </c:pt>
                <c:pt idx="55">
                  <c:v>77.617728999999997</c:v>
                </c:pt>
                <c:pt idx="56">
                  <c:v>75.939835000000002</c:v>
                </c:pt>
                <c:pt idx="57">
                  <c:v>73.312691000000001</c:v>
                </c:pt>
                <c:pt idx="58">
                  <c:v>82.554703000000003</c:v>
                </c:pt>
                <c:pt idx="59">
                  <c:v>86.388503999999998</c:v>
                </c:pt>
                <c:pt idx="60">
                  <c:v>61.897448432259623</c:v>
                </c:pt>
              </c:numCache>
            </c:numRef>
          </c:val>
          <c:smooth val="0"/>
          <c:extLst>
            <c:ext xmlns:c16="http://schemas.microsoft.com/office/drawing/2014/chart" uri="{C3380CC4-5D6E-409C-BE32-E72D297353CC}">
              <c16:uniqueId val="{00000008-6F1F-4D0E-A6E2-738E3A093364}"/>
            </c:ext>
          </c:extLst>
        </c:ser>
        <c:ser>
          <c:idx val="3"/>
          <c:order val="3"/>
          <c:tx>
            <c:v>Historic</c:v>
          </c:tx>
          <c:spPr>
            <a:ln w="28575" cap="rnd">
              <a:solidFill>
                <a:schemeClr val="tx1"/>
              </a:solidFill>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Charts'!$W$3:$W$62</c:f>
              <c:numCache>
                <c:formatCode>_(* #,##0_);_(* \(#,##0\);_(* "-"??_);_(@_)</c:formatCode>
                <c:ptCount val="60"/>
                <c:pt idx="0">
                  <c:v>30.937142999999999</c:v>
                </c:pt>
                <c:pt idx="1">
                  <c:v>33.311976999999999</c:v>
                </c:pt>
                <c:pt idx="2">
                  <c:v>34.061774999999997</c:v>
                </c:pt>
                <c:pt idx="3">
                  <c:v>34.892780000000002</c:v>
                </c:pt>
                <c:pt idx="4">
                  <c:v>38.456843999999997</c:v>
                </c:pt>
                <c:pt idx="5">
                  <c:v>35.794758000000002</c:v>
                </c:pt>
                <c:pt idx="6">
                  <c:v>37.121189000000001</c:v>
                </c:pt>
                <c:pt idx="7">
                  <c:v>40.256354999999999</c:v>
                </c:pt>
                <c:pt idx="8">
                  <c:v>41.818297999999999</c:v>
                </c:pt>
                <c:pt idx="9">
                  <c:v>44.156548000000001</c:v>
                </c:pt>
                <c:pt idx="10">
                  <c:v>40.518745000000003</c:v>
                </c:pt>
                <c:pt idx="11">
                  <c:v>41.096694999999997</c:v>
                </c:pt>
                <c:pt idx="12">
                  <c:v>44.529221</c:v>
                </c:pt>
                <c:pt idx="13">
                  <c:v>41.587727000000001</c:v>
                </c:pt>
                <c:pt idx="14">
                  <c:v>42.910857999999998</c:v>
                </c:pt>
                <c:pt idx="15">
                  <c:v>39.294249999999998</c:v>
                </c:pt>
                <c:pt idx="16">
                  <c:v>45.738388</c:v>
                </c:pt>
                <c:pt idx="17">
                  <c:v>42.885468000000003</c:v>
                </c:pt>
                <c:pt idx="18">
                  <c:v>44.054851999999997</c:v>
                </c:pt>
                <c:pt idx="19">
                  <c:v>40.565551999999997</c:v>
                </c:pt>
                <c:pt idx="20">
                  <c:v>37.372146999999998</c:v>
                </c:pt>
                <c:pt idx="21">
                  <c:v>31.153721000000001</c:v>
                </c:pt>
                <c:pt idx="22">
                  <c:v>35.520350999999998</c:v>
                </c:pt>
                <c:pt idx="23">
                  <c:v>34.230761999999999</c:v>
                </c:pt>
                <c:pt idx="24">
                  <c:v>38.252594000000002</c:v>
                </c:pt>
                <c:pt idx="25">
                  <c:v>41.346310000000003</c:v>
                </c:pt>
                <c:pt idx="26">
                  <c:v>39.644877999999999</c:v>
                </c:pt>
                <c:pt idx="27">
                  <c:v>47.735382000000001</c:v>
                </c:pt>
                <c:pt idx="28">
                  <c:v>38.244694000000003</c:v>
                </c:pt>
                <c:pt idx="29">
                  <c:v>41.615082000000001</c:v>
                </c:pt>
                <c:pt idx="30">
                  <c:v>45.320599000000001</c:v>
                </c:pt>
                <c:pt idx="31">
                  <c:v>41.437491999999999</c:v>
                </c:pt>
                <c:pt idx="32">
                  <c:v>44.777808999999998</c:v>
                </c:pt>
                <c:pt idx="33">
                  <c:v>45.442898</c:v>
                </c:pt>
                <c:pt idx="34">
                  <c:v>45.563384999999997</c:v>
                </c:pt>
                <c:pt idx="35">
                  <c:v>50.670352999999999</c:v>
                </c:pt>
                <c:pt idx="36">
                  <c:v>47.167167999999997</c:v>
                </c:pt>
                <c:pt idx="37">
                  <c:v>43.891407000000001</c:v>
                </c:pt>
                <c:pt idx="38">
                  <c:v>32.916058</c:v>
                </c:pt>
                <c:pt idx="39">
                  <c:v>42.591819999999998</c:v>
                </c:pt>
                <c:pt idx="40">
                  <c:v>46.616512</c:v>
                </c:pt>
                <c:pt idx="41">
                  <c:v>51.341048999999998</c:v>
                </c:pt>
                <c:pt idx="42">
                  <c:v>49.595722000000002</c:v>
                </c:pt>
                <c:pt idx="43">
                  <c:v>53.481270000000002</c:v>
                </c:pt>
                <c:pt idx="44">
                  <c:v>50.268962999999999</c:v>
                </c:pt>
                <c:pt idx="45">
                  <c:v>51.403880999999998</c:v>
                </c:pt>
                <c:pt idx="46">
                  <c:v>65.741981999999993</c:v>
                </c:pt>
                <c:pt idx="47">
                  <c:v>67.762032000000005</c:v>
                </c:pt>
                <c:pt idx="48">
                  <c:v>66.780769000000006</c:v>
                </c:pt>
                <c:pt idx="49">
                  <c:v>74.886100999999996</c:v>
                </c:pt>
                <c:pt idx="50">
                  <c:v>76.347060999999997</c:v>
                </c:pt>
                <c:pt idx="51">
                  <c:v>73.922173000000001</c:v>
                </c:pt>
                <c:pt idx="52">
                  <c:v>77.197990000000004</c:v>
                </c:pt>
                <c:pt idx="53">
                  <c:v>73.859168999999994</c:v>
                </c:pt>
                <c:pt idx="54">
                  <c:v>70.593857</c:v>
                </c:pt>
                <c:pt idx="55">
                  <c:v>77.617728999999997</c:v>
                </c:pt>
                <c:pt idx="56">
                  <c:v>75.939835000000002</c:v>
                </c:pt>
                <c:pt idx="57">
                  <c:v>73.312691000000001</c:v>
                </c:pt>
                <c:pt idx="58">
                  <c:v>82.554703000000003</c:v>
                </c:pt>
                <c:pt idx="59">
                  <c:v>86.388503999999998</c:v>
                </c:pt>
              </c:numCache>
            </c:numRef>
          </c:val>
          <c:smooth val="0"/>
          <c:extLst>
            <c:ext xmlns:c16="http://schemas.microsoft.com/office/drawing/2014/chart" uri="{C3380CC4-5D6E-409C-BE32-E72D297353CC}">
              <c16:uniqueId val="{00000009-6F1F-4D0E-A6E2-738E3A093364}"/>
            </c:ext>
          </c:extLst>
        </c:ser>
        <c:dLbls>
          <c:showLegendKey val="0"/>
          <c:showVal val="0"/>
          <c:showCatName val="0"/>
          <c:showSerName val="0"/>
          <c:showPercent val="0"/>
          <c:showBubbleSize val="0"/>
        </c:dLbls>
        <c:smooth val="0"/>
        <c:axId val="796881887"/>
        <c:axId val="796882719"/>
      </c:lineChart>
      <c:dateAx>
        <c:axId val="79688188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2719"/>
        <c:crosses val="autoZero"/>
        <c:auto val="1"/>
        <c:lblOffset val="100"/>
        <c:baseTimeUnit val="months"/>
        <c:majorUnit val="12"/>
        <c:majorTimeUnit val="months"/>
      </c:dateAx>
      <c:valAx>
        <c:axId val="79688271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High</c:v>
          </c:tx>
          <c:spPr>
            <a:ln w="28575" cap="rnd">
              <a:solidFill>
                <a:schemeClr val="accent6"/>
              </a:solidFill>
              <a:prstDash val="sysDash"/>
              <a:round/>
            </a:ln>
            <a:effectLst/>
          </c:spPr>
          <c:marker>
            <c:symbol val="none"/>
          </c:marker>
          <c:dPt>
            <c:idx val="60"/>
            <c:marker>
              <c:symbol val="none"/>
            </c:marker>
            <c:bubble3D val="0"/>
            <c:extLst>
              <c:ext xmlns:c16="http://schemas.microsoft.com/office/drawing/2014/chart" uri="{C3380CC4-5D6E-409C-BE32-E72D297353CC}">
                <c16:uniqueId val="{00000001-E555-4086-9D87-538905B84642}"/>
              </c:ext>
            </c:extLst>
          </c:dPt>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Charts'!$B$3:$B$63</c:f>
              <c:numCache>
                <c:formatCode>_(* #,##0_);_(* \(#,##0\);_(* "-"??_);_(@_)</c:formatCode>
                <c:ptCount val="61"/>
                <c:pt idx="0">
                  <c:v>26.935328999999999</c:v>
                </c:pt>
                <c:pt idx="1">
                  <c:v>25.035693999999999</c:v>
                </c:pt>
                <c:pt idx="2">
                  <c:v>26.907568000000001</c:v>
                </c:pt>
                <c:pt idx="3">
                  <c:v>25.763881999999999</c:v>
                </c:pt>
                <c:pt idx="4">
                  <c:v>35.656905999999999</c:v>
                </c:pt>
                <c:pt idx="5">
                  <c:v>35.746395</c:v>
                </c:pt>
                <c:pt idx="6">
                  <c:v>40.185012999999998</c:v>
                </c:pt>
                <c:pt idx="7">
                  <c:v>41.898646999999997</c:v>
                </c:pt>
                <c:pt idx="8">
                  <c:v>44.244663000000003</c:v>
                </c:pt>
                <c:pt idx="9">
                  <c:v>51.184421999999998</c:v>
                </c:pt>
                <c:pt idx="10">
                  <c:v>49.674709</c:v>
                </c:pt>
                <c:pt idx="11">
                  <c:v>47.923541999999998</c:v>
                </c:pt>
                <c:pt idx="12">
                  <c:v>60.876511000000001</c:v>
                </c:pt>
                <c:pt idx="13">
                  <c:v>59.935383000000002</c:v>
                </c:pt>
                <c:pt idx="14">
                  <c:v>57.392817999999998</c:v>
                </c:pt>
                <c:pt idx="15">
                  <c:v>55.734881999999999</c:v>
                </c:pt>
                <c:pt idx="16">
                  <c:v>62.497925000000002</c:v>
                </c:pt>
                <c:pt idx="17">
                  <c:v>58.745041000000001</c:v>
                </c:pt>
                <c:pt idx="18">
                  <c:v>60.718921999999999</c:v>
                </c:pt>
                <c:pt idx="19">
                  <c:v>69.601356999999993</c:v>
                </c:pt>
                <c:pt idx="20">
                  <c:v>69.723785000000007</c:v>
                </c:pt>
                <c:pt idx="21">
                  <c:v>52.308964000000003</c:v>
                </c:pt>
                <c:pt idx="22">
                  <c:v>40.548549999999999</c:v>
                </c:pt>
                <c:pt idx="23">
                  <c:v>33.155780999999998</c:v>
                </c:pt>
                <c:pt idx="24">
                  <c:v>35.701450000000001</c:v>
                </c:pt>
                <c:pt idx="25">
                  <c:v>38.311686999999999</c:v>
                </c:pt>
                <c:pt idx="26">
                  <c:v>44.641112999999997</c:v>
                </c:pt>
                <c:pt idx="27">
                  <c:v>44.999110999999999</c:v>
                </c:pt>
                <c:pt idx="28">
                  <c:v>33.677242</c:v>
                </c:pt>
                <c:pt idx="29">
                  <c:v>40.876465000000003</c:v>
                </c:pt>
                <c:pt idx="30">
                  <c:v>41.994014999999997</c:v>
                </c:pt>
                <c:pt idx="31">
                  <c:v>41.692841000000001</c:v>
                </c:pt>
                <c:pt idx="32">
                  <c:v>43.368504000000001</c:v>
                </c:pt>
                <c:pt idx="33">
                  <c:v>50.082934999999999</c:v>
                </c:pt>
                <c:pt idx="34">
                  <c:v>53.999481000000003</c:v>
                </c:pt>
                <c:pt idx="35">
                  <c:v>58.666846999999997</c:v>
                </c:pt>
                <c:pt idx="36">
                  <c:v>58.948585999999999</c:v>
                </c:pt>
                <c:pt idx="37">
                  <c:v>67.335967999999994</c:v>
                </c:pt>
                <c:pt idx="38">
                  <c:v>65.762146000000001</c:v>
                </c:pt>
                <c:pt idx="39">
                  <c:v>72.917136999999997</c:v>
                </c:pt>
                <c:pt idx="40">
                  <c:v>88.569327999999999</c:v>
                </c:pt>
                <c:pt idx="41">
                  <c:v>94.778801000000001</c:v>
                </c:pt>
                <c:pt idx="42">
                  <c:v>105.973778</c:v>
                </c:pt>
                <c:pt idx="43">
                  <c:v>133.526138</c:v>
                </c:pt>
                <c:pt idx="44">
                  <c:v>135.08354199999999</c:v>
                </c:pt>
                <c:pt idx="45">
                  <c:v>125.17231</c:v>
                </c:pt>
                <c:pt idx="46">
                  <c:v>133.83570900000001</c:v>
                </c:pt>
                <c:pt idx="47">
                  <c:v>130.37536600000001</c:v>
                </c:pt>
                <c:pt idx="48">
                  <c:v>129.76205400000001</c:v>
                </c:pt>
                <c:pt idx="49">
                  <c:v>137.00199900000001</c:v>
                </c:pt>
                <c:pt idx="50">
                  <c:v>133.34330700000001</c:v>
                </c:pt>
                <c:pt idx="51">
                  <c:v>149.990219</c:v>
                </c:pt>
                <c:pt idx="52">
                  <c:v>162.33161899999999</c:v>
                </c:pt>
                <c:pt idx="53">
                  <c:v>199.88536099999999</c:v>
                </c:pt>
                <c:pt idx="54">
                  <c:v>194.89854399999999</c:v>
                </c:pt>
                <c:pt idx="55">
                  <c:v>223.745026</c:v>
                </c:pt>
                <c:pt idx="56">
                  <c:v>207.09934999999999</c:v>
                </c:pt>
                <c:pt idx="57">
                  <c:v>255.59515400000001</c:v>
                </c:pt>
                <c:pt idx="58">
                  <c:v>326.66433699999999</c:v>
                </c:pt>
                <c:pt idx="59">
                  <c:v>294.023865</c:v>
                </c:pt>
                <c:pt idx="60">
                  <c:v>148.7870063744823</c:v>
                </c:pt>
              </c:numCache>
            </c:numRef>
          </c:val>
          <c:smooth val="0"/>
          <c:extLst>
            <c:ext xmlns:c16="http://schemas.microsoft.com/office/drawing/2014/chart" uri="{C3380CC4-5D6E-409C-BE32-E72D297353CC}">
              <c16:uniqueId val="{00000002-E555-4086-9D87-538905B84642}"/>
            </c:ext>
          </c:extLst>
        </c:ser>
        <c:ser>
          <c:idx val="1"/>
          <c:order val="1"/>
          <c:tx>
            <c:v>Consensus</c:v>
          </c:tx>
          <c:spPr>
            <a:ln w="28575" cap="rnd">
              <a:solidFill>
                <a:schemeClr val="accent1"/>
              </a:solidFill>
              <a:prstDash val="sysDash"/>
              <a:round/>
            </a:ln>
            <a:effectLst/>
          </c:spPr>
          <c:marker>
            <c:symbol val="none"/>
          </c:marker>
          <c:dPt>
            <c:idx val="60"/>
            <c:marker>
              <c:symbol val="none"/>
            </c:marker>
            <c:bubble3D val="0"/>
            <c:extLst>
              <c:ext xmlns:c16="http://schemas.microsoft.com/office/drawing/2014/chart" uri="{C3380CC4-5D6E-409C-BE32-E72D297353CC}">
                <c16:uniqueId val="{00000004-E555-4086-9D87-538905B84642}"/>
              </c:ext>
            </c:extLst>
          </c:dPt>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Charts'!$C$3:$C$63</c:f>
              <c:numCache>
                <c:formatCode>_(* #,##0_);_(* \(#,##0\);_(* "-"??_);_(@_)</c:formatCode>
                <c:ptCount val="61"/>
                <c:pt idx="0">
                  <c:v>26.935328999999999</c:v>
                </c:pt>
                <c:pt idx="1">
                  <c:v>25.035693999999999</c:v>
                </c:pt>
                <c:pt idx="2">
                  <c:v>26.907568000000001</c:v>
                </c:pt>
                <c:pt idx="3">
                  <c:v>25.763881999999999</c:v>
                </c:pt>
                <c:pt idx="4">
                  <c:v>35.656905999999999</c:v>
                </c:pt>
                <c:pt idx="5">
                  <c:v>35.746395</c:v>
                </c:pt>
                <c:pt idx="6">
                  <c:v>40.185012999999998</c:v>
                </c:pt>
                <c:pt idx="7">
                  <c:v>41.898646999999997</c:v>
                </c:pt>
                <c:pt idx="8">
                  <c:v>44.244663000000003</c:v>
                </c:pt>
                <c:pt idx="9">
                  <c:v>51.184421999999998</c:v>
                </c:pt>
                <c:pt idx="10">
                  <c:v>49.674709</c:v>
                </c:pt>
                <c:pt idx="11">
                  <c:v>47.923541999999998</c:v>
                </c:pt>
                <c:pt idx="12">
                  <c:v>60.876511000000001</c:v>
                </c:pt>
                <c:pt idx="13">
                  <c:v>59.935383000000002</c:v>
                </c:pt>
                <c:pt idx="14">
                  <c:v>57.392817999999998</c:v>
                </c:pt>
                <c:pt idx="15">
                  <c:v>55.734881999999999</c:v>
                </c:pt>
                <c:pt idx="16">
                  <c:v>62.497925000000002</c:v>
                </c:pt>
                <c:pt idx="17">
                  <c:v>58.745041000000001</c:v>
                </c:pt>
                <c:pt idx="18">
                  <c:v>60.718921999999999</c:v>
                </c:pt>
                <c:pt idx="19">
                  <c:v>69.601356999999993</c:v>
                </c:pt>
                <c:pt idx="20">
                  <c:v>69.723785000000007</c:v>
                </c:pt>
                <c:pt idx="21">
                  <c:v>52.308964000000003</c:v>
                </c:pt>
                <c:pt idx="22">
                  <c:v>40.548549999999999</c:v>
                </c:pt>
                <c:pt idx="23">
                  <c:v>33.155780999999998</c:v>
                </c:pt>
                <c:pt idx="24">
                  <c:v>35.701450000000001</c:v>
                </c:pt>
                <c:pt idx="25">
                  <c:v>38.311686999999999</c:v>
                </c:pt>
                <c:pt idx="26">
                  <c:v>44.641112999999997</c:v>
                </c:pt>
                <c:pt idx="27">
                  <c:v>44.999110999999999</c:v>
                </c:pt>
                <c:pt idx="28">
                  <c:v>33.677242</c:v>
                </c:pt>
                <c:pt idx="29">
                  <c:v>40.876465000000003</c:v>
                </c:pt>
                <c:pt idx="30">
                  <c:v>41.994014999999997</c:v>
                </c:pt>
                <c:pt idx="31">
                  <c:v>41.692841000000001</c:v>
                </c:pt>
                <c:pt idx="32">
                  <c:v>43.368504000000001</c:v>
                </c:pt>
                <c:pt idx="33">
                  <c:v>50.082934999999999</c:v>
                </c:pt>
                <c:pt idx="34">
                  <c:v>53.999481000000003</c:v>
                </c:pt>
                <c:pt idx="35">
                  <c:v>58.666846999999997</c:v>
                </c:pt>
                <c:pt idx="36">
                  <c:v>58.948585999999999</c:v>
                </c:pt>
                <c:pt idx="37">
                  <c:v>67.335967999999994</c:v>
                </c:pt>
                <c:pt idx="38">
                  <c:v>65.762146000000001</c:v>
                </c:pt>
                <c:pt idx="39">
                  <c:v>72.917136999999997</c:v>
                </c:pt>
                <c:pt idx="40">
                  <c:v>88.569327999999999</c:v>
                </c:pt>
                <c:pt idx="41">
                  <c:v>94.778801000000001</c:v>
                </c:pt>
                <c:pt idx="42">
                  <c:v>105.973778</c:v>
                </c:pt>
                <c:pt idx="43">
                  <c:v>133.526138</c:v>
                </c:pt>
                <c:pt idx="44">
                  <c:v>135.08354199999999</c:v>
                </c:pt>
                <c:pt idx="45">
                  <c:v>125.17231</c:v>
                </c:pt>
                <c:pt idx="46">
                  <c:v>133.83570900000001</c:v>
                </c:pt>
                <c:pt idx="47">
                  <c:v>130.37536600000001</c:v>
                </c:pt>
                <c:pt idx="48">
                  <c:v>129.76205400000001</c:v>
                </c:pt>
                <c:pt idx="49">
                  <c:v>137.00199900000001</c:v>
                </c:pt>
                <c:pt idx="50">
                  <c:v>133.34330700000001</c:v>
                </c:pt>
                <c:pt idx="51">
                  <c:v>149.990219</c:v>
                </c:pt>
                <c:pt idx="52">
                  <c:v>162.33161899999999</c:v>
                </c:pt>
                <c:pt idx="53">
                  <c:v>199.88536099999999</c:v>
                </c:pt>
                <c:pt idx="54">
                  <c:v>194.89854399999999</c:v>
                </c:pt>
                <c:pt idx="55">
                  <c:v>223.745026</c:v>
                </c:pt>
                <c:pt idx="56">
                  <c:v>207.09934999999999</c:v>
                </c:pt>
                <c:pt idx="57">
                  <c:v>255.59515400000001</c:v>
                </c:pt>
                <c:pt idx="58">
                  <c:v>326.66433699999999</c:v>
                </c:pt>
                <c:pt idx="59">
                  <c:v>294.023865</c:v>
                </c:pt>
                <c:pt idx="60">
                  <c:v>94.046540915384043</c:v>
                </c:pt>
              </c:numCache>
            </c:numRef>
          </c:val>
          <c:smooth val="0"/>
          <c:extLst>
            <c:ext xmlns:c16="http://schemas.microsoft.com/office/drawing/2014/chart" uri="{C3380CC4-5D6E-409C-BE32-E72D297353CC}">
              <c16:uniqueId val="{00000005-E555-4086-9D87-538905B84642}"/>
            </c:ext>
          </c:extLst>
        </c:ser>
        <c:ser>
          <c:idx val="2"/>
          <c:order val="2"/>
          <c:tx>
            <c:v>Low</c:v>
          </c:tx>
          <c:spPr>
            <a:ln w="28575" cap="rnd">
              <a:solidFill>
                <a:srgbClr val="FF0000"/>
              </a:solidFill>
              <a:prstDash val="sysDash"/>
              <a:round/>
            </a:ln>
            <a:effectLst/>
          </c:spPr>
          <c:marker>
            <c:symbol val="none"/>
          </c:marker>
          <c:dPt>
            <c:idx val="60"/>
            <c:marker>
              <c:symbol val="none"/>
            </c:marker>
            <c:bubble3D val="0"/>
            <c:extLst>
              <c:ext xmlns:c16="http://schemas.microsoft.com/office/drawing/2014/chart" uri="{C3380CC4-5D6E-409C-BE32-E72D297353CC}">
                <c16:uniqueId val="{00000007-E555-4086-9D87-538905B84642}"/>
              </c:ext>
            </c:extLst>
          </c:dPt>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Charts'!$D$3:$D$63</c:f>
              <c:numCache>
                <c:formatCode>_(* #,##0_);_(* \(#,##0\);_(* "-"??_);_(@_)</c:formatCode>
                <c:ptCount val="61"/>
                <c:pt idx="0">
                  <c:v>26.935328999999999</c:v>
                </c:pt>
                <c:pt idx="1">
                  <c:v>25.035693999999999</c:v>
                </c:pt>
                <c:pt idx="2">
                  <c:v>26.907568000000001</c:v>
                </c:pt>
                <c:pt idx="3">
                  <c:v>25.763881999999999</c:v>
                </c:pt>
                <c:pt idx="4">
                  <c:v>35.656905999999999</c:v>
                </c:pt>
                <c:pt idx="5">
                  <c:v>35.746395</c:v>
                </c:pt>
                <c:pt idx="6">
                  <c:v>40.185012999999998</c:v>
                </c:pt>
                <c:pt idx="7">
                  <c:v>41.898646999999997</c:v>
                </c:pt>
                <c:pt idx="8">
                  <c:v>44.244663000000003</c:v>
                </c:pt>
                <c:pt idx="9">
                  <c:v>51.184421999999998</c:v>
                </c:pt>
                <c:pt idx="10">
                  <c:v>49.674709</c:v>
                </c:pt>
                <c:pt idx="11">
                  <c:v>47.923541999999998</c:v>
                </c:pt>
                <c:pt idx="12">
                  <c:v>60.876511000000001</c:v>
                </c:pt>
                <c:pt idx="13">
                  <c:v>59.935383000000002</c:v>
                </c:pt>
                <c:pt idx="14">
                  <c:v>57.392817999999998</c:v>
                </c:pt>
                <c:pt idx="15">
                  <c:v>55.734881999999999</c:v>
                </c:pt>
                <c:pt idx="16">
                  <c:v>62.497925000000002</c:v>
                </c:pt>
                <c:pt idx="17">
                  <c:v>58.745041000000001</c:v>
                </c:pt>
                <c:pt idx="18">
                  <c:v>60.718921999999999</c:v>
                </c:pt>
                <c:pt idx="19">
                  <c:v>69.601356999999993</c:v>
                </c:pt>
                <c:pt idx="20">
                  <c:v>69.723785000000007</c:v>
                </c:pt>
                <c:pt idx="21">
                  <c:v>52.308964000000003</c:v>
                </c:pt>
                <c:pt idx="22">
                  <c:v>40.548549999999999</c:v>
                </c:pt>
                <c:pt idx="23">
                  <c:v>33.155780999999998</c:v>
                </c:pt>
                <c:pt idx="24">
                  <c:v>35.701450000000001</c:v>
                </c:pt>
                <c:pt idx="25">
                  <c:v>38.311686999999999</c:v>
                </c:pt>
                <c:pt idx="26">
                  <c:v>44.641112999999997</c:v>
                </c:pt>
                <c:pt idx="27">
                  <c:v>44.999110999999999</c:v>
                </c:pt>
                <c:pt idx="28">
                  <c:v>33.677242</c:v>
                </c:pt>
                <c:pt idx="29">
                  <c:v>40.876465000000003</c:v>
                </c:pt>
                <c:pt idx="30">
                  <c:v>41.994014999999997</c:v>
                </c:pt>
                <c:pt idx="31">
                  <c:v>41.692841000000001</c:v>
                </c:pt>
                <c:pt idx="32">
                  <c:v>43.368504000000001</c:v>
                </c:pt>
                <c:pt idx="33">
                  <c:v>50.082934999999999</c:v>
                </c:pt>
                <c:pt idx="34">
                  <c:v>53.999481000000003</c:v>
                </c:pt>
                <c:pt idx="35">
                  <c:v>58.666846999999997</c:v>
                </c:pt>
                <c:pt idx="36">
                  <c:v>58.948585999999999</c:v>
                </c:pt>
                <c:pt idx="37">
                  <c:v>67.335967999999994</c:v>
                </c:pt>
                <c:pt idx="38">
                  <c:v>65.762146000000001</c:v>
                </c:pt>
                <c:pt idx="39">
                  <c:v>72.917136999999997</c:v>
                </c:pt>
                <c:pt idx="40">
                  <c:v>88.569327999999999</c:v>
                </c:pt>
                <c:pt idx="41">
                  <c:v>94.778801000000001</c:v>
                </c:pt>
                <c:pt idx="42">
                  <c:v>105.973778</c:v>
                </c:pt>
                <c:pt idx="43">
                  <c:v>133.526138</c:v>
                </c:pt>
                <c:pt idx="44">
                  <c:v>135.08354199999999</c:v>
                </c:pt>
                <c:pt idx="45">
                  <c:v>125.17231</c:v>
                </c:pt>
                <c:pt idx="46">
                  <c:v>133.83570900000001</c:v>
                </c:pt>
                <c:pt idx="47">
                  <c:v>130.37536600000001</c:v>
                </c:pt>
                <c:pt idx="48">
                  <c:v>129.76205400000001</c:v>
                </c:pt>
                <c:pt idx="49">
                  <c:v>137.00199900000001</c:v>
                </c:pt>
                <c:pt idx="50">
                  <c:v>133.34330700000001</c:v>
                </c:pt>
                <c:pt idx="51">
                  <c:v>149.990219</c:v>
                </c:pt>
                <c:pt idx="52">
                  <c:v>162.33161899999999</c:v>
                </c:pt>
                <c:pt idx="53">
                  <c:v>199.88536099999999</c:v>
                </c:pt>
                <c:pt idx="54">
                  <c:v>194.89854399999999</c:v>
                </c:pt>
                <c:pt idx="55">
                  <c:v>223.745026</c:v>
                </c:pt>
                <c:pt idx="56">
                  <c:v>207.09934999999999</c:v>
                </c:pt>
                <c:pt idx="57">
                  <c:v>255.59515400000001</c:v>
                </c:pt>
                <c:pt idx="58">
                  <c:v>326.66433699999999</c:v>
                </c:pt>
                <c:pt idx="59">
                  <c:v>294.023865</c:v>
                </c:pt>
                <c:pt idx="60">
                  <c:v>39.84874481486434</c:v>
                </c:pt>
              </c:numCache>
            </c:numRef>
          </c:val>
          <c:smooth val="0"/>
          <c:extLst>
            <c:ext xmlns:c16="http://schemas.microsoft.com/office/drawing/2014/chart" uri="{C3380CC4-5D6E-409C-BE32-E72D297353CC}">
              <c16:uniqueId val="{00000008-E555-4086-9D87-538905B84642}"/>
            </c:ext>
          </c:extLst>
        </c:ser>
        <c:ser>
          <c:idx val="3"/>
          <c:order val="3"/>
          <c:tx>
            <c:v>Historic</c:v>
          </c:tx>
          <c:spPr>
            <a:ln w="28575" cap="rnd">
              <a:solidFill>
                <a:schemeClr val="tx1"/>
              </a:solidFill>
              <a:round/>
            </a:ln>
            <a:effectLst/>
          </c:spPr>
          <c:marker>
            <c:symbol val="none"/>
          </c:marker>
          <c:cat>
            <c:numRef>
              <c:f>'Stock Price Charts'!$A$3:$A$63</c:f>
              <c:numCache>
                <c:formatCode>m/d/yy</c:formatCode>
                <c:ptCount val="61"/>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45261</c:v>
                </c:pt>
              </c:numCache>
            </c:numRef>
          </c:cat>
          <c:val>
            <c:numRef>
              <c:f>'Stock Price Charts'!$E$3:$E$62</c:f>
              <c:numCache>
                <c:formatCode>_(* #,##0_);_(* \(#,##0\);_(* "-"??_);_(@_)</c:formatCode>
                <c:ptCount val="60"/>
                <c:pt idx="0">
                  <c:v>26.935328999999999</c:v>
                </c:pt>
                <c:pt idx="1">
                  <c:v>25.035693999999999</c:v>
                </c:pt>
                <c:pt idx="2">
                  <c:v>26.907568000000001</c:v>
                </c:pt>
                <c:pt idx="3">
                  <c:v>25.763881999999999</c:v>
                </c:pt>
                <c:pt idx="4">
                  <c:v>35.656905999999999</c:v>
                </c:pt>
                <c:pt idx="5">
                  <c:v>35.746395</c:v>
                </c:pt>
                <c:pt idx="6">
                  <c:v>40.185012999999998</c:v>
                </c:pt>
                <c:pt idx="7">
                  <c:v>41.898646999999997</c:v>
                </c:pt>
                <c:pt idx="8">
                  <c:v>44.244663000000003</c:v>
                </c:pt>
                <c:pt idx="9">
                  <c:v>51.184421999999998</c:v>
                </c:pt>
                <c:pt idx="10">
                  <c:v>49.674709</c:v>
                </c:pt>
                <c:pt idx="11">
                  <c:v>47.923541999999998</c:v>
                </c:pt>
                <c:pt idx="12">
                  <c:v>60.876511000000001</c:v>
                </c:pt>
                <c:pt idx="13">
                  <c:v>59.935383000000002</c:v>
                </c:pt>
                <c:pt idx="14">
                  <c:v>57.392817999999998</c:v>
                </c:pt>
                <c:pt idx="15">
                  <c:v>55.734881999999999</c:v>
                </c:pt>
                <c:pt idx="16">
                  <c:v>62.497925000000002</c:v>
                </c:pt>
                <c:pt idx="17">
                  <c:v>58.745041000000001</c:v>
                </c:pt>
                <c:pt idx="18">
                  <c:v>60.718921999999999</c:v>
                </c:pt>
                <c:pt idx="19">
                  <c:v>69.601356999999993</c:v>
                </c:pt>
                <c:pt idx="20">
                  <c:v>69.723785000000007</c:v>
                </c:pt>
                <c:pt idx="21">
                  <c:v>52.308964000000003</c:v>
                </c:pt>
                <c:pt idx="22">
                  <c:v>40.548549999999999</c:v>
                </c:pt>
                <c:pt idx="23">
                  <c:v>33.155780999999998</c:v>
                </c:pt>
                <c:pt idx="24">
                  <c:v>35.701450000000001</c:v>
                </c:pt>
                <c:pt idx="25">
                  <c:v>38.311686999999999</c:v>
                </c:pt>
                <c:pt idx="26">
                  <c:v>44.641112999999997</c:v>
                </c:pt>
                <c:pt idx="27">
                  <c:v>44.999110999999999</c:v>
                </c:pt>
                <c:pt idx="28">
                  <c:v>33.677242</c:v>
                </c:pt>
                <c:pt idx="29">
                  <c:v>40.876465000000003</c:v>
                </c:pt>
                <c:pt idx="30">
                  <c:v>41.994014999999997</c:v>
                </c:pt>
                <c:pt idx="31">
                  <c:v>41.692841000000001</c:v>
                </c:pt>
                <c:pt idx="32">
                  <c:v>43.368504000000001</c:v>
                </c:pt>
                <c:pt idx="33">
                  <c:v>50.082934999999999</c:v>
                </c:pt>
                <c:pt idx="34">
                  <c:v>53.999481000000003</c:v>
                </c:pt>
                <c:pt idx="35">
                  <c:v>58.666846999999997</c:v>
                </c:pt>
                <c:pt idx="36">
                  <c:v>58.948585999999999</c:v>
                </c:pt>
                <c:pt idx="37">
                  <c:v>67.335967999999994</c:v>
                </c:pt>
                <c:pt idx="38">
                  <c:v>65.762146000000001</c:v>
                </c:pt>
                <c:pt idx="39">
                  <c:v>72.917136999999997</c:v>
                </c:pt>
                <c:pt idx="40">
                  <c:v>88.569327999999999</c:v>
                </c:pt>
                <c:pt idx="41">
                  <c:v>94.778801000000001</c:v>
                </c:pt>
                <c:pt idx="42">
                  <c:v>105.973778</c:v>
                </c:pt>
                <c:pt idx="43">
                  <c:v>133.526138</c:v>
                </c:pt>
                <c:pt idx="44">
                  <c:v>135.08354199999999</c:v>
                </c:pt>
                <c:pt idx="45">
                  <c:v>125.17231</c:v>
                </c:pt>
                <c:pt idx="46">
                  <c:v>133.83570900000001</c:v>
                </c:pt>
                <c:pt idx="47">
                  <c:v>130.37536600000001</c:v>
                </c:pt>
                <c:pt idx="48">
                  <c:v>129.76205400000001</c:v>
                </c:pt>
                <c:pt idx="49">
                  <c:v>137.00199900000001</c:v>
                </c:pt>
                <c:pt idx="50">
                  <c:v>133.34330700000001</c:v>
                </c:pt>
                <c:pt idx="51">
                  <c:v>149.990219</c:v>
                </c:pt>
                <c:pt idx="52">
                  <c:v>162.33161899999999</c:v>
                </c:pt>
                <c:pt idx="53">
                  <c:v>199.88536099999999</c:v>
                </c:pt>
                <c:pt idx="54">
                  <c:v>194.89854399999999</c:v>
                </c:pt>
                <c:pt idx="55">
                  <c:v>223.745026</c:v>
                </c:pt>
                <c:pt idx="56">
                  <c:v>207.09934999999999</c:v>
                </c:pt>
                <c:pt idx="57">
                  <c:v>255.59515400000001</c:v>
                </c:pt>
                <c:pt idx="58">
                  <c:v>326.66433699999999</c:v>
                </c:pt>
                <c:pt idx="59">
                  <c:v>294.023865</c:v>
                </c:pt>
              </c:numCache>
            </c:numRef>
          </c:val>
          <c:smooth val="0"/>
          <c:extLst>
            <c:ext xmlns:c16="http://schemas.microsoft.com/office/drawing/2014/chart" uri="{C3380CC4-5D6E-409C-BE32-E72D297353CC}">
              <c16:uniqueId val="{00000009-E555-4086-9D87-538905B84642}"/>
            </c:ext>
          </c:extLst>
        </c:ser>
        <c:dLbls>
          <c:showLegendKey val="0"/>
          <c:showVal val="0"/>
          <c:showCatName val="0"/>
          <c:showSerName val="0"/>
          <c:showPercent val="0"/>
          <c:showBubbleSize val="0"/>
        </c:dLbls>
        <c:smooth val="0"/>
        <c:axId val="796881887"/>
        <c:axId val="796882719"/>
      </c:lineChart>
      <c:dateAx>
        <c:axId val="79688188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2719"/>
        <c:crosses val="autoZero"/>
        <c:auto val="1"/>
        <c:lblOffset val="100"/>
        <c:baseTimeUnit val="months"/>
      </c:dateAx>
      <c:valAx>
        <c:axId val="79688271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81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263511</xdr:colOff>
      <xdr:row>0</xdr:row>
      <xdr:rowOff>0</xdr:rowOff>
    </xdr:from>
    <xdr:to>
      <xdr:col>15</xdr:col>
      <xdr:colOff>909554</xdr:colOff>
      <xdr:row>2</xdr:row>
      <xdr:rowOff>182217</xdr:rowOff>
    </xdr:to>
    <xdr:pic>
      <xdr:nvPicPr>
        <xdr:cNvPr id="4" name="Picture 3">
          <a:extLst>
            <a:ext uri="{FF2B5EF4-FFF2-40B4-BE49-F238E27FC236}">
              <a16:creationId xmlns:a16="http://schemas.microsoft.com/office/drawing/2014/main" id="{5EA07AC0-3D90-92FC-96F1-9279CEC59A05}"/>
            </a:ext>
          </a:extLst>
        </xdr:cNvPr>
        <xdr:cNvPicPr>
          <a:picLocks noChangeAspect="1"/>
        </xdr:cNvPicPr>
      </xdr:nvPicPr>
      <xdr:blipFill>
        <a:blip xmlns:r="http://schemas.openxmlformats.org/officeDocument/2006/relationships" r:embed="rId1"/>
        <a:stretch>
          <a:fillRect/>
        </a:stretch>
      </xdr:blipFill>
      <xdr:spPr>
        <a:xfrm>
          <a:off x="14103750" y="0"/>
          <a:ext cx="646043" cy="430695"/>
        </a:xfrm>
        <a:prstGeom prst="rect">
          <a:avLst/>
        </a:prstGeom>
      </xdr:spPr>
    </xdr:pic>
    <xdr:clientData/>
  </xdr:twoCellAnchor>
  <xdr:twoCellAnchor>
    <xdr:from>
      <xdr:col>6</xdr:col>
      <xdr:colOff>0</xdr:colOff>
      <xdr:row>5</xdr:row>
      <xdr:rowOff>0</xdr:rowOff>
    </xdr:from>
    <xdr:to>
      <xdr:col>10</xdr:col>
      <xdr:colOff>911086</xdr:colOff>
      <xdr:row>19</xdr:row>
      <xdr:rowOff>0</xdr:rowOff>
    </xdr:to>
    <xdr:graphicFrame macro="">
      <xdr:nvGraphicFramePr>
        <xdr:cNvPr id="5" name="Chart 4">
          <a:extLst>
            <a:ext uri="{FF2B5EF4-FFF2-40B4-BE49-F238E27FC236}">
              <a16:creationId xmlns:a16="http://schemas.microsoft.com/office/drawing/2014/main" id="{FB2EB7D3-C3D1-4C60-A034-B35CCBF40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480391</xdr:colOff>
      <xdr:row>0</xdr:row>
      <xdr:rowOff>0</xdr:rowOff>
    </xdr:from>
    <xdr:to>
      <xdr:col>16</xdr:col>
      <xdr:colOff>24559</xdr:colOff>
      <xdr:row>3</xdr:row>
      <xdr:rowOff>8617</xdr:rowOff>
    </xdr:to>
    <xdr:pic>
      <xdr:nvPicPr>
        <xdr:cNvPr id="4" name="Picture 3">
          <a:extLst>
            <a:ext uri="{FF2B5EF4-FFF2-40B4-BE49-F238E27FC236}">
              <a16:creationId xmlns:a16="http://schemas.microsoft.com/office/drawing/2014/main" id="{C53BE184-65A5-E5A1-7345-F2F44BA62D7C}"/>
            </a:ext>
          </a:extLst>
        </xdr:cNvPr>
        <xdr:cNvPicPr>
          <a:picLocks noChangeAspect="1"/>
        </xdr:cNvPicPr>
      </xdr:nvPicPr>
      <xdr:blipFill>
        <a:blip xmlns:r="http://schemas.openxmlformats.org/officeDocument/2006/relationships" r:embed="rId1"/>
        <a:stretch>
          <a:fillRect/>
        </a:stretch>
      </xdr:blipFill>
      <xdr:spPr>
        <a:xfrm>
          <a:off x="13409543" y="0"/>
          <a:ext cx="1366342" cy="447595"/>
        </a:xfrm>
        <a:prstGeom prst="rect">
          <a:avLst/>
        </a:prstGeom>
      </xdr:spPr>
    </xdr:pic>
    <xdr:clientData/>
  </xdr:twoCellAnchor>
  <xdr:twoCellAnchor>
    <xdr:from>
      <xdr:col>6</xdr:col>
      <xdr:colOff>0</xdr:colOff>
      <xdr:row>5</xdr:row>
      <xdr:rowOff>0</xdr:rowOff>
    </xdr:from>
    <xdr:to>
      <xdr:col>10</xdr:col>
      <xdr:colOff>911086</xdr:colOff>
      <xdr:row>19</xdr:row>
      <xdr:rowOff>0</xdr:rowOff>
    </xdr:to>
    <xdr:graphicFrame macro="">
      <xdr:nvGraphicFramePr>
        <xdr:cNvPr id="5" name="Chart 4">
          <a:extLst>
            <a:ext uri="{FF2B5EF4-FFF2-40B4-BE49-F238E27FC236}">
              <a16:creationId xmlns:a16="http://schemas.microsoft.com/office/drawing/2014/main" id="{E792F791-5DFC-4D1D-9ADE-10F52668F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314739</xdr:colOff>
      <xdr:row>0</xdr:row>
      <xdr:rowOff>1</xdr:rowOff>
    </xdr:from>
    <xdr:to>
      <xdr:col>15</xdr:col>
      <xdr:colOff>907808</xdr:colOff>
      <xdr:row>2</xdr:row>
      <xdr:rowOff>166617</xdr:rowOff>
    </xdr:to>
    <xdr:pic>
      <xdr:nvPicPr>
        <xdr:cNvPr id="4" name="Picture 3">
          <a:extLst>
            <a:ext uri="{FF2B5EF4-FFF2-40B4-BE49-F238E27FC236}">
              <a16:creationId xmlns:a16="http://schemas.microsoft.com/office/drawing/2014/main" id="{5EACF46B-E592-9D5C-0D30-FA514FB8C78A}"/>
            </a:ext>
          </a:extLst>
        </xdr:cNvPr>
        <xdr:cNvPicPr>
          <a:picLocks noChangeAspect="1"/>
        </xdr:cNvPicPr>
      </xdr:nvPicPr>
      <xdr:blipFill>
        <a:blip xmlns:r="http://schemas.openxmlformats.org/officeDocument/2006/relationships" r:embed="rId1"/>
        <a:stretch>
          <a:fillRect/>
        </a:stretch>
      </xdr:blipFill>
      <xdr:spPr>
        <a:xfrm>
          <a:off x="13243891" y="1"/>
          <a:ext cx="1504156" cy="415094"/>
        </a:xfrm>
        <a:prstGeom prst="rect">
          <a:avLst/>
        </a:prstGeom>
      </xdr:spPr>
    </xdr:pic>
    <xdr:clientData/>
  </xdr:twoCellAnchor>
  <xdr:twoCellAnchor>
    <xdr:from>
      <xdr:col>6</xdr:col>
      <xdr:colOff>0</xdr:colOff>
      <xdr:row>4</xdr:row>
      <xdr:rowOff>165653</xdr:rowOff>
    </xdr:from>
    <xdr:to>
      <xdr:col>10</xdr:col>
      <xdr:colOff>911086</xdr:colOff>
      <xdr:row>18</xdr:row>
      <xdr:rowOff>165653</xdr:rowOff>
    </xdr:to>
    <xdr:graphicFrame macro="">
      <xdr:nvGraphicFramePr>
        <xdr:cNvPr id="5" name="Chart 4">
          <a:extLst>
            <a:ext uri="{FF2B5EF4-FFF2-40B4-BE49-F238E27FC236}">
              <a16:creationId xmlns:a16="http://schemas.microsoft.com/office/drawing/2014/main" id="{71278B79-E06D-4BDA-9AA8-BB8B2CB33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5</xdr:row>
      <xdr:rowOff>0</xdr:rowOff>
    </xdr:from>
    <xdr:to>
      <xdr:col>10</xdr:col>
      <xdr:colOff>911086</xdr:colOff>
      <xdr:row>19</xdr:row>
      <xdr:rowOff>0</xdr:rowOff>
    </xdr:to>
    <xdr:graphicFrame macro="">
      <xdr:nvGraphicFramePr>
        <xdr:cNvPr id="2" name="Chart 1">
          <a:extLst>
            <a:ext uri="{FF2B5EF4-FFF2-40B4-BE49-F238E27FC236}">
              <a16:creationId xmlns:a16="http://schemas.microsoft.com/office/drawing/2014/main" id="{B1001EE3-BBAD-4A1A-8013-775D1FF3A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347870</xdr:colOff>
      <xdr:row>0</xdr:row>
      <xdr:rowOff>0</xdr:rowOff>
    </xdr:from>
    <xdr:to>
      <xdr:col>16</xdr:col>
      <xdr:colOff>9941</xdr:colOff>
      <xdr:row>2</xdr:row>
      <xdr:rowOff>145568</xdr:rowOff>
    </xdr:to>
    <xdr:pic>
      <xdr:nvPicPr>
        <xdr:cNvPr id="4" name="Picture 3">
          <a:extLst>
            <a:ext uri="{FF2B5EF4-FFF2-40B4-BE49-F238E27FC236}">
              <a16:creationId xmlns:a16="http://schemas.microsoft.com/office/drawing/2014/main" id="{5E14BBA5-6C8E-4C4F-A6ED-A289FE04D8D5}"/>
            </a:ext>
          </a:extLst>
        </xdr:cNvPr>
        <xdr:cNvPicPr>
          <a:picLocks noChangeAspect="1"/>
        </xdr:cNvPicPr>
      </xdr:nvPicPr>
      <xdr:blipFill>
        <a:blip xmlns:r="http://schemas.openxmlformats.org/officeDocument/2006/relationships" r:embed="rId2"/>
        <a:stretch>
          <a:fillRect/>
        </a:stretch>
      </xdr:blipFill>
      <xdr:spPr>
        <a:xfrm>
          <a:off x="13277022" y="0"/>
          <a:ext cx="1484245" cy="3940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63E7F-EA46-4202-AB50-982373BE6B57}">
  <dimension ref="B1:I10"/>
  <sheetViews>
    <sheetView zoomScale="125" workbookViewId="0">
      <selection activeCell="D17" sqref="D17"/>
    </sheetView>
  </sheetViews>
  <sheetFormatPr baseColWidth="10" defaultColWidth="8.83203125" defaultRowHeight="15" x14ac:dyDescent="0.2"/>
  <cols>
    <col min="1" max="1" width="3.6640625" customWidth="1"/>
    <col min="2" max="4" width="17.6640625" customWidth="1"/>
    <col min="5" max="9" width="13.6640625" customWidth="1"/>
    <col min="11" max="13" width="15.33203125" bestFit="1" customWidth="1"/>
  </cols>
  <sheetData>
    <row r="1" spans="2:9" ht="5" customHeight="1" x14ac:dyDescent="0.2"/>
    <row r="2" spans="2:9" ht="15" customHeight="1" x14ac:dyDescent="0.2">
      <c r="B2" s="148" t="s">
        <v>372</v>
      </c>
      <c r="C2" s="148"/>
      <c r="D2" s="148"/>
      <c r="E2" s="148"/>
      <c r="F2" s="148"/>
      <c r="G2" s="148"/>
      <c r="H2" s="148"/>
      <c r="I2" s="148"/>
    </row>
    <row r="3" spans="2:9" ht="15" customHeight="1" x14ac:dyDescent="0.2">
      <c r="B3" s="148"/>
      <c r="C3" s="148"/>
      <c r="D3" s="148"/>
      <c r="E3" s="148"/>
      <c r="F3" s="148"/>
      <c r="G3" s="148"/>
      <c r="H3" s="148"/>
      <c r="I3" s="148"/>
    </row>
    <row r="4" spans="2:9" ht="15" customHeight="1" x14ac:dyDescent="0.2">
      <c r="B4" s="148"/>
      <c r="C4" s="148"/>
      <c r="D4" s="148"/>
      <c r="E4" s="148"/>
      <c r="F4" s="148"/>
      <c r="G4" s="148"/>
      <c r="H4" s="148"/>
      <c r="I4" s="148"/>
    </row>
    <row r="5" spans="2:9" ht="15" customHeight="1" x14ac:dyDescent="0.2">
      <c r="B5" s="148"/>
      <c r="C5" s="148"/>
      <c r="D5" s="148"/>
      <c r="E5" s="148"/>
      <c r="F5" s="148"/>
      <c r="G5" s="148"/>
      <c r="H5" s="148"/>
      <c r="I5" s="148"/>
    </row>
    <row r="6" spans="2:9" ht="15" customHeight="1" x14ac:dyDescent="0.2">
      <c r="B6" s="148"/>
      <c r="C6" s="148"/>
      <c r="D6" s="148"/>
      <c r="E6" s="148"/>
      <c r="F6" s="148"/>
      <c r="G6" s="148"/>
      <c r="H6" s="148"/>
      <c r="I6" s="148"/>
    </row>
    <row r="7" spans="2:9" ht="15" customHeight="1" x14ac:dyDescent="0.2">
      <c r="B7" s="148"/>
      <c r="C7" s="148"/>
      <c r="D7" s="148"/>
      <c r="E7" s="148"/>
      <c r="F7" s="148"/>
      <c r="G7" s="148"/>
      <c r="H7" s="148"/>
      <c r="I7" s="148"/>
    </row>
    <row r="8" spans="2:9" ht="15" customHeight="1" x14ac:dyDescent="0.2">
      <c r="B8" s="148"/>
      <c r="C8" s="148"/>
      <c r="D8" s="148"/>
      <c r="E8" s="148"/>
      <c r="F8" s="148"/>
      <c r="G8" s="148"/>
      <c r="H8" s="148"/>
      <c r="I8" s="148"/>
    </row>
    <row r="9" spans="2:9" ht="15" customHeight="1" x14ac:dyDescent="0.2">
      <c r="B9" s="148"/>
      <c r="C9" s="148"/>
      <c r="D9" s="148"/>
      <c r="E9" s="148"/>
      <c r="F9" s="148"/>
      <c r="G9" s="148"/>
      <c r="H9" s="148"/>
      <c r="I9" s="148"/>
    </row>
    <row r="10" spans="2:9" ht="15" customHeight="1" x14ac:dyDescent="0.2">
      <c r="B10" s="140"/>
      <c r="C10" s="140"/>
      <c r="D10" s="140"/>
      <c r="E10" s="140"/>
      <c r="F10" s="140"/>
      <c r="G10" s="140"/>
      <c r="H10" s="140"/>
      <c r="I10" s="140"/>
    </row>
  </sheetData>
  <mergeCells count="1">
    <mergeCell ref="B2: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381E6-7A4B-4721-BD72-18BBDA92AFC5}">
  <dimension ref="A1:T290"/>
  <sheetViews>
    <sheetView showGridLines="0" zoomScale="79" zoomScaleNormal="115" workbookViewId="0">
      <selection activeCell="K2" sqref="K2"/>
    </sheetView>
  </sheetViews>
  <sheetFormatPr baseColWidth="10" defaultColWidth="8.83203125" defaultRowHeight="15" x14ac:dyDescent="0.2"/>
  <cols>
    <col min="1" max="1" width="3.6640625" customWidth="1"/>
    <col min="2" max="4" width="17.6640625" customWidth="1"/>
    <col min="5" max="9" width="13.6640625" customWidth="1"/>
    <col min="10" max="10" width="13.83203125" customWidth="1"/>
    <col min="11" max="16" width="13.6640625" customWidth="1"/>
    <col min="18" max="20" width="15.33203125" bestFit="1" customWidth="1"/>
  </cols>
  <sheetData>
    <row r="1" spans="2:16" ht="5" customHeight="1" x14ac:dyDescent="0.2"/>
    <row r="2" spans="2:16" ht="15" customHeight="1" x14ac:dyDescent="0.2">
      <c r="B2" s="150" t="s">
        <v>311</v>
      </c>
      <c r="C2" s="151" t="s">
        <v>191</v>
      </c>
      <c r="D2" s="152">
        <v>44720</v>
      </c>
      <c r="E2" s="153" t="s">
        <v>192</v>
      </c>
      <c r="F2" s="153"/>
      <c r="G2" s="153" t="str">
        <f ca="1">IF(COUNTIF(E16:E18,"BUY")=3,"BUY",IF(COUNTIF(E16:E18,"SELL")&gt;=2,"SELL","HOLD"))</f>
        <v>BUY</v>
      </c>
    </row>
    <row r="3" spans="2:16" ht="15" customHeight="1" x14ac:dyDescent="0.2">
      <c r="B3" s="150"/>
      <c r="C3" s="151"/>
      <c r="D3" s="153"/>
      <c r="E3" s="153"/>
      <c r="F3" s="153"/>
      <c r="G3" s="153"/>
    </row>
    <row r="4" spans="2:16" ht="15" customHeight="1" x14ac:dyDescent="0.2">
      <c r="B4" s="1" t="s">
        <v>202</v>
      </c>
      <c r="C4" s="2"/>
      <c r="D4" s="2"/>
      <c r="E4" s="3"/>
      <c r="F4" s="3"/>
      <c r="G4" s="3"/>
      <c r="H4" s="3"/>
      <c r="I4" s="3"/>
      <c r="J4" s="3"/>
      <c r="K4" s="3"/>
      <c r="L4" s="4"/>
      <c r="M4" s="3"/>
      <c r="N4" s="3"/>
      <c r="O4" s="3"/>
      <c r="P4" s="3"/>
    </row>
    <row r="5" spans="2:16" ht="15" customHeight="1" x14ac:dyDescent="0.2">
      <c r="B5" s="67" t="s">
        <v>193</v>
      </c>
      <c r="C5" s="67"/>
      <c r="D5" s="67"/>
      <c r="E5" s="67"/>
      <c r="G5" s="67" t="s">
        <v>240</v>
      </c>
      <c r="H5" s="67"/>
      <c r="I5" s="67"/>
      <c r="J5" s="67"/>
      <c r="K5" s="67"/>
    </row>
    <row r="6" spans="2:16" ht="15" customHeight="1" x14ac:dyDescent="0.2">
      <c r="B6" t="s">
        <v>194</v>
      </c>
      <c r="C6" t="s">
        <v>355</v>
      </c>
    </row>
    <row r="7" spans="2:16" ht="15" customHeight="1" x14ac:dyDescent="0.2">
      <c r="B7" t="s">
        <v>195</v>
      </c>
      <c r="C7" t="s">
        <v>356</v>
      </c>
    </row>
    <row r="8" spans="2:16" ht="15" customHeight="1" x14ac:dyDescent="0.2">
      <c r="B8" t="s">
        <v>196</v>
      </c>
      <c r="C8" t="s">
        <v>243</v>
      </c>
    </row>
    <row r="9" spans="2:16" ht="15" customHeight="1" x14ac:dyDescent="0.2">
      <c r="B9" t="s">
        <v>197</v>
      </c>
      <c r="C9" t="s">
        <v>357</v>
      </c>
    </row>
    <row r="10" spans="2:16" ht="15" customHeight="1" x14ac:dyDescent="0.2">
      <c r="B10" t="s">
        <v>198</v>
      </c>
      <c r="C10" t="s">
        <v>199</v>
      </c>
    </row>
    <row r="11" spans="2:16" ht="15" customHeight="1" x14ac:dyDescent="0.2"/>
    <row r="12" spans="2:16" ht="15" customHeight="1" x14ac:dyDescent="0.2">
      <c r="B12" s="67" t="s">
        <v>200</v>
      </c>
      <c r="C12" s="67"/>
      <c r="D12" s="67"/>
      <c r="E12" s="67"/>
    </row>
    <row r="13" spans="2:16" ht="15" customHeight="1" x14ac:dyDescent="0.2">
      <c r="B13" t="s">
        <v>201</v>
      </c>
      <c r="C13" s="41">
        <v>50.71</v>
      </c>
    </row>
    <row r="14" spans="2:16" ht="15" customHeight="1" x14ac:dyDescent="0.2"/>
    <row r="15" spans="2:16" ht="15" customHeight="1" x14ac:dyDescent="0.2">
      <c r="B15" s="24"/>
      <c r="C15" s="85" t="s">
        <v>245</v>
      </c>
      <c r="D15" s="24" t="s">
        <v>246</v>
      </c>
      <c r="E15" s="24" t="s">
        <v>192</v>
      </c>
    </row>
    <row r="16" spans="2:16" ht="15" customHeight="1" x14ac:dyDescent="0.2">
      <c r="B16" t="s">
        <v>247</v>
      </c>
      <c r="C16" s="86">
        <f ca="1">MAX(E21:E25)</f>
        <v>217.28535374946165</v>
      </c>
      <c r="D16" s="12">
        <f ca="1">C16/$C$13-1</f>
        <v>3.2848620341049424</v>
      </c>
      <c r="E16" s="61" t="str">
        <f ca="1">IF(D16&gt;10%,"BUY",IF(D16&lt;-10%,"SELL","HOLD"))</f>
        <v>BUY</v>
      </c>
    </row>
    <row r="17" spans="2:16" ht="15" customHeight="1" x14ac:dyDescent="0.2">
      <c r="B17" t="s">
        <v>248</v>
      </c>
      <c r="C17" s="86">
        <f ca="1">AVERAGE(E21:E25)</f>
        <v>159.33492483131818</v>
      </c>
      <c r="D17" s="12">
        <f t="shared" ref="D17:D18" ca="1" si="0">C17/$C$13-1</f>
        <v>2.1420809471764577</v>
      </c>
      <c r="E17" s="61" t="str">
        <f t="shared" ref="E17:E18" ca="1" si="1">IF(D17&gt;10%,"BUY",IF(D17&lt;-10%,"SELL","HOLD"))</f>
        <v>BUY</v>
      </c>
    </row>
    <row r="18" spans="2:16" ht="15" customHeight="1" x14ac:dyDescent="0.2">
      <c r="B18" t="s">
        <v>249</v>
      </c>
      <c r="C18" s="86">
        <f ca="1">MIN(E21:E25)</f>
        <v>66.453325829260038</v>
      </c>
      <c r="D18" s="12">
        <f t="shared" ca="1" si="0"/>
        <v>0.31045801280339247</v>
      </c>
      <c r="E18" s="61" t="str">
        <f t="shared" ca="1" si="1"/>
        <v>BUY</v>
      </c>
    </row>
    <row r="19" spans="2:16" ht="15" customHeight="1" x14ac:dyDescent="0.2"/>
    <row r="20" spans="2:16" ht="15" customHeight="1" x14ac:dyDescent="0.2">
      <c r="B20" s="67" t="s">
        <v>250</v>
      </c>
      <c r="C20" s="67"/>
      <c r="D20" s="67"/>
      <c r="E20" s="67"/>
    </row>
    <row r="21" spans="2:16" ht="15" customHeight="1" x14ac:dyDescent="0.2">
      <c r="B21" t="s">
        <v>251</v>
      </c>
      <c r="E21" s="41">
        <f ca="1">D34</f>
        <v>66.453325829260038</v>
      </c>
    </row>
    <row r="22" spans="2:16" ht="15" customHeight="1" x14ac:dyDescent="0.2">
      <c r="B22" t="s">
        <v>252</v>
      </c>
      <c r="E22" s="41">
        <f ca="1">D58</f>
        <v>118.14820335802345</v>
      </c>
    </row>
    <row r="23" spans="2:16" ht="15" customHeight="1" x14ac:dyDescent="0.2">
      <c r="B23" t="s">
        <v>253</v>
      </c>
      <c r="E23" s="41">
        <f>D76</f>
        <v>217.28535374946165</v>
      </c>
    </row>
    <row r="24" spans="2:16" ht="15" customHeight="1" x14ac:dyDescent="0.2">
      <c r="B24" t="s">
        <v>254</v>
      </c>
      <c r="E24" s="41">
        <f>D81</f>
        <v>207.58376338509373</v>
      </c>
    </row>
    <row r="25" spans="2:16" ht="15" customHeight="1" x14ac:dyDescent="0.2">
      <c r="B25" t="s">
        <v>255</v>
      </c>
      <c r="E25" s="41">
        <f>D85</f>
        <v>187.2039778347521</v>
      </c>
    </row>
    <row r="26" spans="2:16" ht="15" customHeight="1" x14ac:dyDescent="0.2"/>
    <row r="27" spans="2:16" x14ac:dyDescent="0.2">
      <c r="B27" s="1" t="s">
        <v>256</v>
      </c>
      <c r="C27" s="2"/>
      <c r="D27" s="2"/>
      <c r="E27" s="3"/>
      <c r="F27" s="3"/>
      <c r="G27" s="3"/>
      <c r="H27" s="3"/>
      <c r="I27" s="3"/>
      <c r="J27" s="3"/>
      <c r="K27" s="3"/>
      <c r="L27" s="3"/>
      <c r="M27" s="3"/>
      <c r="N27" s="3"/>
      <c r="O27" s="3"/>
      <c r="P27" s="3"/>
    </row>
    <row r="28" spans="2:16" x14ac:dyDescent="0.2">
      <c r="B28" s="44" t="s">
        <v>257</v>
      </c>
      <c r="C28" s="45"/>
      <c r="D28" s="45"/>
      <c r="E28" s="45"/>
      <c r="F28" s="45"/>
      <c r="G28" s="45"/>
      <c r="H28" s="45"/>
      <c r="I28" s="45"/>
      <c r="J28" s="87" t="s">
        <v>12</v>
      </c>
      <c r="K28" s="87" t="s">
        <v>13</v>
      </c>
      <c r="L28" s="87" t="s">
        <v>14</v>
      </c>
      <c r="M28" s="87" t="s">
        <v>15</v>
      </c>
      <c r="N28" s="87" t="s">
        <v>16</v>
      </c>
    </row>
    <row r="29" spans="2:16" x14ac:dyDescent="0.2">
      <c r="B29" t="s">
        <v>258</v>
      </c>
      <c r="E29" s="88"/>
      <c r="F29" s="88"/>
      <c r="G29" s="88"/>
      <c r="H29" s="88"/>
      <c r="I29" s="88"/>
      <c r="J29" s="117">
        <f ca="1">-J225/J149</f>
        <v>1.7892834691640904</v>
      </c>
      <c r="K29" s="117">
        <f t="shared" ref="K29:N29" ca="1" si="2">-K225/K149</f>
        <v>2.0591758579125266</v>
      </c>
      <c r="L29" s="117">
        <f t="shared" ca="1" si="2"/>
        <v>2.5172023308716165</v>
      </c>
      <c r="M29" s="117">
        <f t="shared" ca="1" si="2"/>
        <v>2.9225210793316578</v>
      </c>
      <c r="N29" s="117">
        <f t="shared" ca="1" si="2"/>
        <v>3.4629220502265743</v>
      </c>
    </row>
    <row r="30" spans="2:16" x14ac:dyDescent="0.2">
      <c r="B30" t="s">
        <v>259</v>
      </c>
      <c r="D30" s="5">
        <v>0.01</v>
      </c>
      <c r="F30" s="6"/>
      <c r="G30" s="6"/>
      <c r="H30" s="6"/>
      <c r="I30" s="6"/>
      <c r="J30" s="89"/>
      <c r="K30" s="89"/>
      <c r="L30" s="89"/>
      <c r="M30" s="89"/>
      <c r="N30" s="89"/>
    </row>
    <row r="31" spans="2:16" x14ac:dyDescent="0.2">
      <c r="B31" t="s">
        <v>260</v>
      </c>
      <c r="D31" s="145">
        <f>'CAPM Models'!X14</f>
        <v>5.7391169818967136E-2</v>
      </c>
    </row>
    <row r="32" spans="2:16" x14ac:dyDescent="0.2">
      <c r="B32" t="s">
        <v>261</v>
      </c>
      <c r="D32" s="90"/>
      <c r="N32" s="117">
        <f ca="1">(N29*(1+D30))/(D31-D30)</f>
        <v>73.801750074737171</v>
      </c>
    </row>
    <row r="33" spans="2:16" ht="16" thickBot="1" x14ac:dyDescent="0.25">
      <c r="B33" t="s">
        <v>262</v>
      </c>
      <c r="E33" s="77"/>
      <c r="F33" s="77"/>
      <c r="G33" s="77"/>
      <c r="H33" s="77"/>
      <c r="I33" s="77"/>
      <c r="J33" s="118">
        <f ca="1">J29</f>
        <v>1.7892834691640904</v>
      </c>
      <c r="K33" s="118">
        <f t="shared" ref="K33:M33" ca="1" si="3">K29</f>
        <v>2.0591758579125266</v>
      </c>
      <c r="L33" s="118">
        <f t="shared" ca="1" si="3"/>
        <v>2.5172023308716165</v>
      </c>
      <c r="M33" s="118">
        <f t="shared" ca="1" si="3"/>
        <v>2.9225210793316578</v>
      </c>
      <c r="N33" s="118">
        <f ca="1">N29+N32</f>
        <v>77.264672124963752</v>
      </c>
    </row>
    <row r="34" spans="2:16" ht="16" thickBot="1" x14ac:dyDescent="0.25">
      <c r="B34" s="91" t="s">
        <v>172</v>
      </c>
      <c r="C34" s="92"/>
      <c r="D34" s="120">
        <f ca="1">NPV(D31,J33:N33)</f>
        <v>66.453325829260038</v>
      </c>
    </row>
    <row r="36" spans="2:16" x14ac:dyDescent="0.2">
      <c r="B36" s="44" t="s">
        <v>263</v>
      </c>
      <c r="C36" s="45"/>
      <c r="D36" s="45"/>
      <c r="E36" s="45"/>
      <c r="F36" s="45"/>
      <c r="G36" s="44" t="s">
        <v>264</v>
      </c>
      <c r="H36" s="45"/>
      <c r="I36" s="45"/>
      <c r="J36" s="45"/>
      <c r="K36" s="45"/>
      <c r="L36" s="44" t="s">
        <v>265</v>
      </c>
      <c r="M36" s="45"/>
      <c r="N36" s="45"/>
      <c r="O36" s="45"/>
      <c r="P36" s="45" t="s">
        <v>266</v>
      </c>
    </row>
    <row r="37" spans="2:16" x14ac:dyDescent="0.2">
      <c r="B37" t="s">
        <v>267</v>
      </c>
      <c r="E37" s="121">
        <f>I149</f>
        <v>4059</v>
      </c>
      <c r="G37" t="s">
        <v>268</v>
      </c>
      <c r="J37" s="124">
        <f>E39/SUM($E$39:$E$42)</f>
        <v>0.84380540073952304</v>
      </c>
      <c r="L37" t="s">
        <v>269</v>
      </c>
      <c r="O37" s="119">
        <f>D31</f>
        <v>5.7391169818967136E-2</v>
      </c>
      <c r="P37" s="5"/>
    </row>
    <row r="38" spans="2:16" x14ac:dyDescent="0.2">
      <c r="B38" t="s">
        <v>270</v>
      </c>
      <c r="E38" s="117">
        <f>C13</f>
        <v>50.71</v>
      </c>
      <c r="G38" t="s">
        <v>271</v>
      </c>
      <c r="J38" s="124">
        <f t="shared" ref="J38:J39" si="4">E40/SUM($E$39:$E$42)</f>
        <v>0</v>
      </c>
      <c r="L38" t="s">
        <v>272</v>
      </c>
      <c r="O38" s="119">
        <v>0</v>
      </c>
      <c r="P38" s="5"/>
    </row>
    <row r="39" spans="2:16" x14ac:dyDescent="0.2">
      <c r="B39" t="s">
        <v>273</v>
      </c>
      <c r="E39" s="122">
        <f>E37*E38</f>
        <v>205831.89</v>
      </c>
      <c r="G39" t="s">
        <v>274</v>
      </c>
      <c r="J39" s="124">
        <f t="shared" si="4"/>
        <v>0.15617410181956193</v>
      </c>
      <c r="L39" t="s">
        <v>275</v>
      </c>
      <c r="O39" s="119">
        <f>I271</f>
        <v>1.4738557250777662E-2</v>
      </c>
      <c r="P39" s="5"/>
    </row>
    <row r="40" spans="2:16" x14ac:dyDescent="0.2">
      <c r="B40" t="s">
        <v>276</v>
      </c>
      <c r="E40" s="117">
        <v>0</v>
      </c>
      <c r="G40" t="s">
        <v>277</v>
      </c>
      <c r="J40" s="124">
        <f>E42/SUM($E$39:$E$42)</f>
        <v>2.0497440914999204E-5</v>
      </c>
      <c r="L40" t="s">
        <v>278</v>
      </c>
      <c r="O40" s="119">
        <f>O39*(1-E43)</f>
        <v>1.2527773663161013E-2</v>
      </c>
      <c r="P40" s="5"/>
    </row>
    <row r="41" spans="2:16" x14ac:dyDescent="0.2">
      <c r="B41" t="s">
        <v>279</v>
      </c>
      <c r="E41" s="122">
        <f>I169+I172</f>
        <v>38096</v>
      </c>
      <c r="L41" t="s">
        <v>280</v>
      </c>
      <c r="O41" s="119">
        <f>'CAPM Models'!X12</f>
        <v>3.0499999999999999E-2</v>
      </c>
      <c r="P41" s="5" t="s">
        <v>374</v>
      </c>
    </row>
    <row r="42" spans="2:16" x14ac:dyDescent="0.2">
      <c r="B42" t="s">
        <v>281</v>
      </c>
      <c r="E42" s="122">
        <f>I168</f>
        <v>5</v>
      </c>
      <c r="L42" t="s">
        <v>282</v>
      </c>
      <c r="O42" s="119">
        <f>O41*(1-E43)</f>
        <v>2.5925E-2</v>
      </c>
      <c r="P42" s="5"/>
    </row>
    <row r="43" spans="2:16" ht="16" thickBot="1" x14ac:dyDescent="0.25">
      <c r="B43" t="s">
        <v>283</v>
      </c>
      <c r="E43" s="123">
        <f>J108</f>
        <v>0.15</v>
      </c>
      <c r="G43" s="43"/>
      <c r="H43" s="15"/>
      <c r="P43" s="5"/>
    </row>
    <row r="44" spans="2:16" ht="16" thickBot="1" x14ac:dyDescent="0.25">
      <c r="B44" s="91" t="s">
        <v>284</v>
      </c>
      <c r="C44" s="93"/>
      <c r="D44" s="125">
        <f>J37*O37+J38*O38+J39*O40+J40*O42</f>
        <v>5.0384024243802242E-2</v>
      </c>
      <c r="H44" s="43"/>
    </row>
    <row r="46" spans="2:16" x14ac:dyDescent="0.2">
      <c r="B46" s="44" t="s">
        <v>285</v>
      </c>
      <c r="C46" s="45"/>
      <c r="D46" s="45"/>
      <c r="E46" s="45"/>
      <c r="F46" s="45"/>
      <c r="G46" s="45"/>
      <c r="H46" s="45"/>
      <c r="I46" s="45"/>
      <c r="J46" s="87" t="s">
        <v>12</v>
      </c>
      <c r="K46" s="87" t="s">
        <v>13</v>
      </c>
      <c r="L46" s="87" t="s">
        <v>14</v>
      </c>
      <c r="M46" s="87" t="s">
        <v>15</v>
      </c>
      <c r="N46" s="87" t="s">
        <v>16</v>
      </c>
      <c r="O46" s="45"/>
      <c r="P46" s="45"/>
    </row>
    <row r="47" spans="2:16" x14ac:dyDescent="0.2">
      <c r="B47" t="s">
        <v>286</v>
      </c>
      <c r="E47" s="52"/>
      <c r="F47" s="52"/>
      <c r="G47" s="52"/>
      <c r="H47" s="52"/>
      <c r="I47" s="52"/>
      <c r="J47" s="128">
        <f ca="1">J202+J205</f>
        <v>23341.398981391249</v>
      </c>
      <c r="K47" s="128">
        <f t="shared" ref="K47:M47" ca="1" si="5">K202+K205</f>
        <v>18462.032064304214</v>
      </c>
      <c r="L47" s="128">
        <f t="shared" ca="1" si="5"/>
        <v>22161.172449414102</v>
      </c>
      <c r="M47" s="128">
        <f t="shared" ca="1" si="5"/>
        <v>23035.018327091624</v>
      </c>
      <c r="N47" s="128">
        <f ca="1">N202+N205</f>
        <v>24019.749369061799</v>
      </c>
    </row>
    <row r="48" spans="2:16" x14ac:dyDescent="0.2">
      <c r="B48" t="s">
        <v>287</v>
      </c>
      <c r="D48" s="5">
        <v>5.0000000000000001E-3</v>
      </c>
    </row>
    <row r="49" spans="2:16" x14ac:dyDescent="0.2">
      <c r="B49" t="s">
        <v>288</v>
      </c>
      <c r="D49" s="119">
        <f>D44</f>
        <v>5.0384024243802242E-2</v>
      </c>
    </row>
    <row r="50" spans="2:16" x14ac:dyDescent="0.2">
      <c r="B50" t="s">
        <v>289</v>
      </c>
      <c r="N50" s="122">
        <f ca="1">(N47*(1+D48))/(D49-D48)</f>
        <v>531901.88658079843</v>
      </c>
    </row>
    <row r="51" spans="2:16" x14ac:dyDescent="0.2">
      <c r="B51" t="s">
        <v>262</v>
      </c>
      <c r="E51" s="52"/>
      <c r="F51" s="52"/>
      <c r="G51" s="52"/>
      <c r="H51" s="52"/>
      <c r="I51" s="52"/>
      <c r="J51" s="128">
        <f ca="1">J47</f>
        <v>23341.398981391249</v>
      </c>
      <c r="K51" s="128">
        <f t="shared" ref="K51:M51" ca="1" si="6">K47</f>
        <v>18462.032064304214</v>
      </c>
      <c r="L51" s="128">
        <f t="shared" ca="1" si="6"/>
        <v>22161.172449414102</v>
      </c>
      <c r="M51" s="128">
        <f t="shared" ca="1" si="6"/>
        <v>23035.018327091624</v>
      </c>
      <c r="N51" s="128">
        <f ca="1">N47+N50</f>
        <v>555921.63594986021</v>
      </c>
    </row>
    <row r="52" spans="2:16" x14ac:dyDescent="0.2">
      <c r="B52" t="s">
        <v>290</v>
      </c>
      <c r="D52" s="126">
        <f ca="1">NPV(D49,J51:N51)</f>
        <v>511784.55743021722</v>
      </c>
    </row>
    <row r="53" spans="2:16" x14ac:dyDescent="0.2">
      <c r="B53" t="s">
        <v>291</v>
      </c>
      <c r="D53" s="9">
        <v>0.7</v>
      </c>
    </row>
    <row r="54" spans="2:16" x14ac:dyDescent="0.2">
      <c r="B54" t="s">
        <v>292</v>
      </c>
      <c r="D54" s="121">
        <f>I154*D53</f>
        <v>5880</v>
      </c>
    </row>
    <row r="55" spans="2:16" x14ac:dyDescent="0.2">
      <c r="B55" t="s">
        <v>293</v>
      </c>
      <c r="D55" s="122">
        <f ca="1">D52+D54</f>
        <v>517664.55743021722</v>
      </c>
    </row>
    <row r="56" spans="2:16" x14ac:dyDescent="0.2">
      <c r="B56" t="s">
        <v>294</v>
      </c>
      <c r="D56" s="121">
        <f>E40+E41+E42</f>
        <v>38101</v>
      </c>
    </row>
    <row r="57" spans="2:16" ht="16" thickBot="1" x14ac:dyDescent="0.25">
      <c r="B57" t="s">
        <v>295</v>
      </c>
      <c r="D57" s="121">
        <f ca="1">D55-D56</f>
        <v>479563.55743021722</v>
      </c>
    </row>
    <row r="58" spans="2:16" ht="16" thickBot="1" x14ac:dyDescent="0.25">
      <c r="B58" s="91" t="s">
        <v>172</v>
      </c>
      <c r="C58" s="92"/>
      <c r="D58" s="127">
        <f ca="1">D57/E37</f>
        <v>118.14820335802345</v>
      </c>
    </row>
    <row r="60" spans="2:16" x14ac:dyDescent="0.2">
      <c r="B60" s="44" t="s">
        <v>296</v>
      </c>
      <c r="C60" s="45"/>
      <c r="D60" s="45"/>
      <c r="E60" s="45"/>
      <c r="F60" s="45"/>
      <c r="G60" s="45"/>
      <c r="H60" s="45"/>
      <c r="I60" s="45"/>
      <c r="J60" s="45"/>
      <c r="K60" s="45"/>
      <c r="L60" s="45"/>
      <c r="M60" s="45"/>
      <c r="N60" s="45"/>
      <c r="O60" s="45"/>
      <c r="P60" s="45"/>
    </row>
    <row r="61" spans="2:16" x14ac:dyDescent="0.2">
      <c r="D61" s="149" t="s">
        <v>297</v>
      </c>
      <c r="E61" s="149"/>
      <c r="F61" s="149"/>
      <c r="G61" s="154" t="s">
        <v>298</v>
      </c>
      <c r="H61" s="149"/>
      <c r="I61" s="155"/>
      <c r="J61" s="149" t="s">
        <v>256</v>
      </c>
      <c r="K61" s="149"/>
      <c r="L61" s="149"/>
    </row>
    <row r="62" spans="2:16" x14ac:dyDescent="0.2">
      <c r="D62" s="94" t="s">
        <v>299</v>
      </c>
      <c r="E62" s="94" t="s">
        <v>300</v>
      </c>
      <c r="F62" s="94" t="s">
        <v>301</v>
      </c>
      <c r="G62" s="95" t="s">
        <v>302</v>
      </c>
      <c r="H62" s="94" t="s">
        <v>303</v>
      </c>
      <c r="I62" s="96" t="s">
        <v>304</v>
      </c>
      <c r="J62" s="94" t="s">
        <v>305</v>
      </c>
      <c r="K62" s="94" t="s">
        <v>306</v>
      </c>
      <c r="L62" s="94" t="s">
        <v>307</v>
      </c>
    </row>
    <row r="63" spans="2:16" x14ac:dyDescent="0.2">
      <c r="B63" t="s">
        <v>308</v>
      </c>
      <c r="D63" s="41">
        <v>101.9</v>
      </c>
      <c r="E63" s="97">
        <v>165715</v>
      </c>
      <c r="F63" s="97">
        <v>284365</v>
      </c>
      <c r="G63" s="98">
        <v>26434</v>
      </c>
      <c r="H63" s="99">
        <v>14116</v>
      </c>
      <c r="I63" s="100">
        <v>3162</v>
      </c>
      <c r="J63" s="101">
        <f>F63/G63</f>
        <v>10.757547098433836</v>
      </c>
      <c r="K63" s="101">
        <f>F63/H63</f>
        <v>20.144871068291302</v>
      </c>
      <c r="L63" s="101">
        <f>E63/I63</f>
        <v>52.408285895003161</v>
      </c>
      <c r="M63" s="42"/>
    </row>
    <row r="64" spans="2:16" x14ac:dyDescent="0.2">
      <c r="B64" t="s">
        <v>309</v>
      </c>
      <c r="D64" s="41">
        <v>138.96</v>
      </c>
      <c r="E64" s="97">
        <v>158921</v>
      </c>
      <c r="F64" s="97">
        <v>274666</v>
      </c>
      <c r="G64" s="98">
        <v>33566</v>
      </c>
      <c r="H64" s="99">
        <v>11376</v>
      </c>
      <c r="I64" s="100">
        <v>9043</v>
      </c>
      <c r="J64" s="101">
        <f t="shared" ref="J64:J68" si="7">F64/G64</f>
        <v>8.1828636119883207</v>
      </c>
      <c r="K64" s="101">
        <f t="shared" ref="K64:K68" si="8">F64/H64</f>
        <v>24.144338959212376</v>
      </c>
      <c r="L64" s="101">
        <f t="shared" ref="L64:L68" si="9">E64/I64</f>
        <v>17.573924582550038</v>
      </c>
      <c r="M64" s="42"/>
    </row>
    <row r="65" spans="2:13" x14ac:dyDescent="0.2">
      <c r="B65" t="s">
        <v>310</v>
      </c>
      <c r="D65" s="41">
        <v>177.07</v>
      </c>
      <c r="E65" s="97">
        <v>47740</v>
      </c>
      <c r="F65" s="97">
        <v>98312</v>
      </c>
      <c r="G65" s="98">
        <v>11063</v>
      </c>
      <c r="H65" s="99">
        <v>3845</v>
      </c>
      <c r="I65" s="100">
        <v>1871</v>
      </c>
      <c r="J65" s="101">
        <f t="shared" si="7"/>
        <v>8.8865587996022786</v>
      </c>
      <c r="K65" s="101">
        <f t="shared" si="8"/>
        <v>25.568790637191157</v>
      </c>
      <c r="L65" s="101">
        <f t="shared" si="9"/>
        <v>25.515766969535008</v>
      </c>
      <c r="M65" s="42"/>
    </row>
    <row r="66" spans="2:13" x14ac:dyDescent="0.2">
      <c r="B66" t="s">
        <v>348</v>
      </c>
      <c r="D66" s="41">
        <v>86.39</v>
      </c>
      <c r="E66" s="97">
        <v>47687</v>
      </c>
      <c r="F66" s="97">
        <v>55374</v>
      </c>
      <c r="G66" s="98">
        <v>6821</v>
      </c>
      <c r="H66" s="99">
        <v>2253</v>
      </c>
      <c r="I66" s="100">
        <v>1286</v>
      </c>
      <c r="J66" s="101">
        <f t="shared" si="7"/>
        <v>8.1181644920099689</v>
      </c>
      <c r="K66" s="101">
        <f t="shared" si="8"/>
        <v>24.577896138482025</v>
      </c>
      <c r="L66" s="101">
        <f t="shared" si="9"/>
        <v>37.081648522550545</v>
      </c>
      <c r="M66" s="42"/>
    </row>
    <row r="67" spans="2:13" x14ac:dyDescent="0.2">
      <c r="B67" t="s">
        <v>349</v>
      </c>
      <c r="D67" s="41">
        <v>294.92</v>
      </c>
      <c r="E67" s="97">
        <v>736120</v>
      </c>
      <c r="F67" s="97">
        <v>768340</v>
      </c>
      <c r="G67" s="98">
        <v>26914</v>
      </c>
      <c r="H67" s="99">
        <v>10652</v>
      </c>
      <c r="I67" s="100">
        <v>9752</v>
      </c>
      <c r="J67" s="101">
        <f t="shared" si="7"/>
        <v>28.547967600505313</v>
      </c>
      <c r="K67" s="101">
        <f t="shared" si="8"/>
        <v>72.131055200901244</v>
      </c>
      <c r="L67" s="101">
        <f t="shared" si="9"/>
        <v>75.484003281378179</v>
      </c>
      <c r="M67" s="42"/>
    </row>
    <row r="68" spans="2:13" x14ac:dyDescent="0.2">
      <c r="B68" t="s">
        <v>350</v>
      </c>
      <c r="D68" s="102">
        <v>92.92</v>
      </c>
      <c r="E68" s="103">
        <v>104070</v>
      </c>
      <c r="F68" s="103">
        <v>111649</v>
      </c>
      <c r="G68" s="104">
        <v>22705</v>
      </c>
      <c r="H68" s="103">
        <v>7298</v>
      </c>
      <c r="I68" s="105">
        <v>4861</v>
      </c>
      <c r="J68" s="106">
        <f t="shared" si="7"/>
        <v>4.9173750275269761</v>
      </c>
      <c r="K68" s="107">
        <f t="shared" si="8"/>
        <v>15.298574952041655</v>
      </c>
      <c r="L68" s="107">
        <f t="shared" si="9"/>
        <v>21.409175066858673</v>
      </c>
      <c r="M68" s="42"/>
    </row>
    <row r="69" spans="2:13" x14ac:dyDescent="0.2">
      <c r="B69" t="s">
        <v>6</v>
      </c>
      <c r="J69" s="129">
        <f>AVERAGE(J63:J68)</f>
        <v>11.56841277167778</v>
      </c>
      <c r="K69" s="129">
        <f t="shared" ref="K69:L69" si="10">AVERAGE(K63:K68)</f>
        <v>30.310921159353295</v>
      </c>
      <c r="L69" s="129">
        <f t="shared" si="10"/>
        <v>38.245467386312605</v>
      </c>
    </row>
    <row r="71" spans="2:13" x14ac:dyDescent="0.2">
      <c r="B71" t="s">
        <v>347</v>
      </c>
      <c r="C71" s="77"/>
      <c r="D71" s="130">
        <f>C13</f>
        <v>50.71</v>
      </c>
      <c r="E71" s="43"/>
      <c r="F71" s="15"/>
      <c r="G71" s="122">
        <f>I132</f>
        <v>79024</v>
      </c>
      <c r="H71" s="122">
        <f>I138+I191+I192</f>
        <v>28861</v>
      </c>
      <c r="I71" s="122">
        <f>I144</f>
        <v>19868</v>
      </c>
      <c r="J71" s="108"/>
      <c r="K71" s="108"/>
    </row>
    <row r="72" spans="2:13" x14ac:dyDescent="0.2">
      <c r="C72" s="77"/>
      <c r="D72" s="43"/>
      <c r="E72" s="43"/>
      <c r="F72" s="22"/>
      <c r="G72" s="22"/>
      <c r="H72" s="22"/>
      <c r="I72" s="101"/>
      <c r="J72" s="101"/>
      <c r="K72" s="101"/>
    </row>
    <row r="73" spans="2:13" x14ac:dyDescent="0.2">
      <c r="B73" s="27" t="s">
        <v>313</v>
      </c>
      <c r="C73" s="77"/>
      <c r="D73" s="43"/>
      <c r="E73" s="43"/>
      <c r="F73" s="22"/>
      <c r="G73" s="22"/>
      <c r="H73" s="22"/>
      <c r="I73" s="101"/>
      <c r="J73" s="101"/>
      <c r="K73" s="101"/>
    </row>
    <row r="74" spans="2:13" x14ac:dyDescent="0.2">
      <c r="B74" t="s">
        <v>314</v>
      </c>
      <c r="D74" s="122">
        <f>G71*J69</f>
        <v>914182.25086906482</v>
      </c>
    </row>
    <row r="75" spans="2:13" ht="16" thickBot="1" x14ac:dyDescent="0.25">
      <c r="B75" t="s">
        <v>315</v>
      </c>
      <c r="D75" s="121">
        <f>D74+D54-D56</f>
        <v>881961.25086906482</v>
      </c>
    </row>
    <row r="76" spans="2:13" ht="16" thickBot="1" x14ac:dyDescent="0.25">
      <c r="B76" s="91" t="s">
        <v>172</v>
      </c>
      <c r="C76" s="92"/>
      <c r="D76" s="127">
        <f>D75/E37</f>
        <v>217.28535374946165</v>
      </c>
    </row>
    <row r="78" spans="2:13" x14ac:dyDescent="0.2">
      <c r="B78" s="27" t="s">
        <v>316</v>
      </c>
    </row>
    <row r="79" spans="2:13" x14ac:dyDescent="0.2">
      <c r="B79" t="s">
        <v>314</v>
      </c>
      <c r="D79" s="122">
        <f>H71*K69</f>
        <v>874803.49558009545</v>
      </c>
    </row>
    <row r="80" spans="2:13" ht="16" thickBot="1" x14ac:dyDescent="0.25">
      <c r="B80" t="s">
        <v>315</v>
      </c>
      <c r="D80" s="121">
        <f>D79+D54-D56</f>
        <v>842582.49558009545</v>
      </c>
    </row>
    <row r="81" spans="2:16" ht="16" thickBot="1" x14ac:dyDescent="0.25">
      <c r="B81" s="91" t="s">
        <v>172</v>
      </c>
      <c r="C81" s="92"/>
      <c r="D81" s="127">
        <f>D80/E37</f>
        <v>207.58376338509373</v>
      </c>
    </row>
    <row r="82" spans="2:16" x14ac:dyDescent="0.2">
      <c r="B82" s="27"/>
      <c r="D82" s="109"/>
    </row>
    <row r="83" spans="2:16" x14ac:dyDescent="0.2">
      <c r="B83" s="27" t="s">
        <v>317</v>
      </c>
    </row>
    <row r="84" spans="2:16" ht="16" thickBot="1" x14ac:dyDescent="0.25">
      <c r="B84" t="s">
        <v>314</v>
      </c>
      <c r="D84" s="122">
        <f>I71*L69</f>
        <v>759860.94603125879</v>
      </c>
    </row>
    <row r="85" spans="2:16" ht="16" thickBot="1" x14ac:dyDescent="0.25">
      <c r="B85" s="91" t="s">
        <v>172</v>
      </c>
      <c r="C85" s="92"/>
      <c r="D85" s="127">
        <f>D84/E37</f>
        <v>187.2039778347521</v>
      </c>
      <c r="E85" s="42"/>
    </row>
    <row r="86" spans="2:16" ht="15" customHeight="1" x14ac:dyDescent="0.2"/>
    <row r="87" spans="2:16" x14ac:dyDescent="0.2">
      <c r="B87" s="1" t="s">
        <v>361</v>
      </c>
      <c r="C87" s="2"/>
      <c r="D87" s="2"/>
      <c r="E87" s="3" t="s">
        <v>1</v>
      </c>
      <c r="F87" s="3" t="s">
        <v>2</v>
      </c>
      <c r="G87" s="3" t="s">
        <v>3</v>
      </c>
      <c r="H87" s="3" t="s">
        <v>4</v>
      </c>
      <c r="I87" s="3" t="s">
        <v>5</v>
      </c>
      <c r="J87" s="3" t="s">
        <v>12</v>
      </c>
      <c r="K87" s="3" t="s">
        <v>13</v>
      </c>
      <c r="L87" s="3" t="s">
        <v>14</v>
      </c>
      <c r="M87" s="3" t="s">
        <v>15</v>
      </c>
      <c r="N87" s="3" t="s">
        <v>16</v>
      </c>
      <c r="O87" s="3"/>
      <c r="P87" s="3"/>
    </row>
    <row r="89" spans="2:16" x14ac:dyDescent="0.2">
      <c r="B89" t="s">
        <v>363</v>
      </c>
      <c r="E89" s="143">
        <f>(E158-E156)/E171</f>
        <v>0.68583893002697893</v>
      </c>
      <c r="F89" s="143">
        <f t="shared" ref="F89:N89" si="11">(F158-F156)/F171</f>
        <v>0.74672200168410918</v>
      </c>
      <c r="G89" s="143">
        <f t="shared" si="11"/>
        <v>0.67135813536530708</v>
      </c>
      <c r="H89" s="143">
        <f t="shared" si="11"/>
        <v>0.8454391209501495</v>
      </c>
      <c r="I89" s="143">
        <f t="shared" si="11"/>
        <v>0.98059136261015223</v>
      </c>
      <c r="J89" s="143">
        <f t="shared" ca="1" si="11"/>
        <v>1.2456884350045949</v>
      </c>
      <c r="K89" s="143">
        <f t="shared" ca="1" si="11"/>
        <v>1.1319279202034718</v>
      </c>
      <c r="L89" s="143">
        <f t="shared" ca="1" si="11"/>
        <v>1.0196001129267016</v>
      </c>
      <c r="M89" s="143">
        <f t="shared" ca="1" si="11"/>
        <v>0.95380972704704359</v>
      </c>
      <c r="N89" s="143">
        <f t="shared" ca="1" si="11"/>
        <v>0.85137577252549457</v>
      </c>
    </row>
    <row r="90" spans="2:16" x14ac:dyDescent="0.2">
      <c r="B90" t="s">
        <v>364</v>
      </c>
      <c r="E90" s="143">
        <f>(E168+E169+E172)/E163</f>
        <v>0.23795704650337238</v>
      </c>
      <c r="F90" s="143">
        <f t="shared" ref="F90:N90" si="12">(F168+F169+F172)/F163</f>
        <v>0.22179495809632796</v>
      </c>
      <c r="G90" s="143">
        <f t="shared" si="12"/>
        <v>0.22480175494353019</v>
      </c>
      <c r="H90" s="143">
        <f t="shared" si="12"/>
        <v>0.25070077205451902</v>
      </c>
      <c r="I90" s="143">
        <f t="shared" si="12"/>
        <v>0.2405350976319594</v>
      </c>
      <c r="J90" s="143">
        <f t="shared" ca="1" si="12"/>
        <v>0.23779481244317893</v>
      </c>
      <c r="K90" s="143">
        <f t="shared" ca="1" si="12"/>
        <v>0.23426604431846149</v>
      </c>
      <c r="L90" s="143">
        <f t="shared" ca="1" si="12"/>
        <v>0.22862978871215489</v>
      </c>
      <c r="M90" s="143">
        <f t="shared" ca="1" si="12"/>
        <v>0.22301386585354582</v>
      </c>
      <c r="N90" s="143">
        <f t="shared" ca="1" si="12"/>
        <v>0.21741805515783807</v>
      </c>
    </row>
    <row r="91" spans="2:16" x14ac:dyDescent="0.2">
      <c r="B91" t="s">
        <v>365</v>
      </c>
      <c r="E91" s="143">
        <f>E138/E140</f>
        <v>27.941176470588236</v>
      </c>
      <c r="F91" s="143">
        <f t="shared" ref="F91:N91" si="13">F138/F140</f>
        <v>49.820512820512818</v>
      </c>
      <c r="G91" s="143">
        <f t="shared" si="13"/>
        <v>45.061349693251536</v>
      </c>
      <c r="H91" s="143">
        <f t="shared" si="13"/>
        <v>37.643879173290941</v>
      </c>
      <c r="I91" s="143">
        <f t="shared" si="13"/>
        <v>32.589614740368511</v>
      </c>
      <c r="J91" s="143">
        <f t="shared" ca="1" si="13"/>
        <v>37.794466426199712</v>
      </c>
      <c r="K91" s="143">
        <f t="shared" ca="1" si="13"/>
        <v>41.42940422520536</v>
      </c>
      <c r="L91" s="143">
        <f t="shared" ca="1" si="13"/>
        <v>44.67420978320169</v>
      </c>
      <c r="M91" s="143">
        <f t="shared" ca="1" si="13"/>
        <v>47.339391043863507</v>
      </c>
      <c r="N91" s="143">
        <f t="shared" ca="1" si="13"/>
        <v>50.163572120899339</v>
      </c>
    </row>
    <row r="92" spans="2:16" x14ac:dyDescent="0.2">
      <c r="B92" t="s">
        <v>366</v>
      </c>
      <c r="E92" s="143">
        <f>E133/E156</f>
        <v>3.3886581698410425</v>
      </c>
      <c r="F92" s="143">
        <f t="shared" ref="F92:N92" si="14">F133/F156</f>
        <v>3.7379015579760098</v>
      </c>
      <c r="G92" s="143">
        <f t="shared" si="14"/>
        <v>3.4109103385178408</v>
      </c>
      <c r="H92" s="143">
        <f t="shared" si="14"/>
        <v>4.0649104070250388</v>
      </c>
      <c r="I92" s="143">
        <f t="shared" si="14"/>
        <v>3.2673533778767632</v>
      </c>
      <c r="J92" s="143">
        <f t="shared" si="14"/>
        <v>3.2673533778767632</v>
      </c>
      <c r="K92" s="143">
        <f t="shared" si="14"/>
        <v>3.2673533778767627</v>
      </c>
      <c r="L92" s="143">
        <f t="shared" si="14"/>
        <v>3.2673533778767632</v>
      </c>
      <c r="M92" s="143">
        <f t="shared" si="14"/>
        <v>3.2673533778767632</v>
      </c>
      <c r="N92" s="143">
        <f t="shared" si="14"/>
        <v>3.2673533778767632</v>
      </c>
    </row>
    <row r="93" spans="2:16" x14ac:dyDescent="0.2">
      <c r="B93" t="s">
        <v>367</v>
      </c>
      <c r="E93" s="143">
        <f>E132/E159</f>
        <v>1.5266973168892457</v>
      </c>
      <c r="F93" s="143">
        <f t="shared" ref="F93:N93" si="15">F132/F159</f>
        <v>1.4465860829794186</v>
      </c>
      <c r="G93" s="143">
        <f t="shared" si="15"/>
        <v>1.2993355721662514</v>
      </c>
      <c r="H93" s="143">
        <f t="shared" si="15"/>
        <v>1.3761310617842499</v>
      </c>
      <c r="I93" s="143">
        <f t="shared" si="15"/>
        <v>1.2494900782670566</v>
      </c>
      <c r="J93" s="143">
        <f t="shared" si="15"/>
        <v>1.3718567759503395</v>
      </c>
      <c r="K93" s="143">
        <f t="shared" si="15"/>
        <v>1.3718567759503395</v>
      </c>
      <c r="L93" s="143">
        <f t="shared" si="15"/>
        <v>1.3718567759503395</v>
      </c>
      <c r="M93" s="143">
        <f t="shared" si="15"/>
        <v>1.3718567759503395</v>
      </c>
      <c r="N93" s="143">
        <f t="shared" si="15"/>
        <v>1.3718567759503393</v>
      </c>
    </row>
    <row r="94" spans="2:16" x14ac:dyDescent="0.2">
      <c r="B94" t="s">
        <v>368</v>
      </c>
      <c r="E94" s="143">
        <f>E144/E132</f>
        <v>0.15297716734914996</v>
      </c>
      <c r="F94" s="143">
        <f t="shared" ref="F94:N94" si="16">F144/F132</f>
        <v>0.29715729448961159</v>
      </c>
      <c r="G94" s="143">
        <f t="shared" si="16"/>
        <v>0.2924755089279511</v>
      </c>
      <c r="H94" s="143">
        <f t="shared" si="16"/>
        <v>0.26839354283586114</v>
      </c>
      <c r="I94" s="143">
        <f t="shared" si="16"/>
        <v>0.25141729094958493</v>
      </c>
      <c r="J94" s="143">
        <f t="shared" ca="1" si="16"/>
        <v>0.25318339114650917</v>
      </c>
      <c r="K94" s="143">
        <f t="shared" ca="1" si="16"/>
        <v>0.25554240881353796</v>
      </c>
      <c r="L94" s="143">
        <f t="shared" ca="1" si="16"/>
        <v>0.26962181438871635</v>
      </c>
      <c r="M94" s="143">
        <f t="shared" ca="1" si="16"/>
        <v>0.26647380232003803</v>
      </c>
      <c r="N94" s="143">
        <f t="shared" ca="1" si="16"/>
        <v>0.26394562416779499</v>
      </c>
    </row>
    <row r="95" spans="2:16" x14ac:dyDescent="0.2">
      <c r="B95" t="s">
        <v>369</v>
      </c>
      <c r="E95" s="143">
        <f>(E132-E133)/E132</f>
        <v>0.62296649192970155</v>
      </c>
      <c r="F95" s="143">
        <f t="shared" ref="F95:N95" si="17">(F132-F133)/F132</f>
        <v>0.61733570460704612</v>
      </c>
      <c r="G95" s="143">
        <f t="shared" si="17"/>
        <v>0.5855624261793928</v>
      </c>
      <c r="H95" s="143">
        <f t="shared" si="17"/>
        <v>0.5600832188218372</v>
      </c>
      <c r="I95" s="143">
        <f t="shared" si="17"/>
        <v>0.5544518121077141</v>
      </c>
      <c r="J95" s="143">
        <f t="shared" si="17"/>
        <v>0.58807993072913833</v>
      </c>
      <c r="K95" s="143">
        <f t="shared" si="17"/>
        <v>0.58807993072913833</v>
      </c>
      <c r="L95" s="143">
        <f t="shared" si="17"/>
        <v>0.58807993072913833</v>
      </c>
      <c r="M95" s="143">
        <f t="shared" si="17"/>
        <v>0.58807993072913833</v>
      </c>
      <c r="N95" s="143">
        <f t="shared" si="17"/>
        <v>0.58807993072913833</v>
      </c>
    </row>
    <row r="96" spans="2:16" x14ac:dyDescent="0.2">
      <c r="B96" t="s">
        <v>370</v>
      </c>
      <c r="E96" s="143">
        <f>E144/E163</f>
        <v>8.5205892793752222E-2</v>
      </c>
      <c r="F96" s="143">
        <f t="shared" ref="F96:N96" si="18">F144/F163</f>
        <v>0.17714819427148193</v>
      </c>
      <c r="G96" s="143">
        <f t="shared" si="18"/>
        <v>0.16315393738324277</v>
      </c>
      <c r="H96" s="143">
        <f t="shared" si="18"/>
        <v>0.14393548076062176</v>
      </c>
      <c r="I96" s="143">
        <f t="shared" si="18"/>
        <v>0.12542850108269518</v>
      </c>
      <c r="J96" s="143">
        <f t="shared" ca="1" si="18"/>
        <v>0.13233752471253091</v>
      </c>
      <c r="K96" s="143">
        <f t="shared" ca="1" si="18"/>
        <v>0.13943876734996688</v>
      </c>
      <c r="L96" s="143">
        <f t="shared" ca="1" si="18"/>
        <v>0.15214750535761298</v>
      </c>
      <c r="M96" s="143">
        <f t="shared" ca="1" si="18"/>
        <v>0.15542796713791501</v>
      </c>
      <c r="N96" s="143">
        <f t="shared" ca="1" si="18"/>
        <v>0.15904449541774179</v>
      </c>
    </row>
    <row r="97" spans="1:16" x14ac:dyDescent="0.2">
      <c r="B97" t="s">
        <v>371</v>
      </c>
      <c r="E97" s="143">
        <f>E144/E181</f>
        <v>0.16186189223818195</v>
      </c>
      <c r="F97" s="143">
        <f t="shared" ref="F97:N97" si="19">F144/F181</f>
        <v>0.31964836099175559</v>
      </c>
      <c r="G97" s="143">
        <f t="shared" si="19"/>
        <v>0.300076986684155</v>
      </c>
      <c r="H97" s="143">
        <f t="shared" si="19"/>
        <v>0.28572405118670019</v>
      </c>
      <c r="I97" s="143">
        <f t="shared" si="19"/>
        <v>0.23268451502588247</v>
      </c>
      <c r="J97" s="143">
        <f t="shared" ca="1" si="19"/>
        <v>0.24353422808939473</v>
      </c>
      <c r="K97" s="143">
        <f t="shared" ca="1" si="19"/>
        <v>0.25535213943187296</v>
      </c>
      <c r="L97" s="143">
        <f t="shared" ca="1" si="19"/>
        <v>0.27958209612138007</v>
      </c>
      <c r="M97" s="143">
        <f t="shared" ca="1" si="19"/>
        <v>0.28667629545666407</v>
      </c>
      <c r="N97" s="143">
        <f t="shared" ca="1" si="19"/>
        <v>0.29452519864423043</v>
      </c>
    </row>
    <row r="98" spans="1:16" x14ac:dyDescent="0.2">
      <c r="B98" t="s">
        <v>362</v>
      </c>
      <c r="E98" s="143">
        <f>((E156/E133)*365)+((E155/E132)*365)-((E166/E133)*365)</f>
        <v>95.156776871436847</v>
      </c>
      <c r="F98" s="143">
        <f t="shared" ref="F98:N98" si="20">((F156/F133)*365)+((F155/F132)*365)-((F166/F133)*365)</f>
        <v>80.796109648315223</v>
      </c>
      <c r="G98" s="143">
        <f t="shared" si="20"/>
        <v>95.336621724412112</v>
      </c>
      <c r="H98" s="143">
        <f t="shared" si="20"/>
        <v>62.11569690941058</v>
      </c>
      <c r="I98" s="143">
        <f t="shared" si="20"/>
        <v>95.814435590545941</v>
      </c>
      <c r="J98" s="143">
        <f t="shared" si="20"/>
        <v>95.814435590545941</v>
      </c>
      <c r="K98" s="143">
        <f t="shared" si="20"/>
        <v>95.814435590545941</v>
      </c>
      <c r="L98" s="143">
        <f t="shared" si="20"/>
        <v>95.814435590545941</v>
      </c>
      <c r="M98" s="143">
        <f t="shared" si="20"/>
        <v>95.814435590545941</v>
      </c>
      <c r="N98" s="143">
        <f t="shared" si="20"/>
        <v>95.814435590545941</v>
      </c>
    </row>
    <row r="100" spans="1:16" x14ac:dyDescent="0.2">
      <c r="A100" t="s">
        <v>10</v>
      </c>
      <c r="B100" s="1" t="s">
        <v>0</v>
      </c>
      <c r="C100" s="2"/>
      <c r="D100" s="2"/>
      <c r="E100" s="3" t="s">
        <v>1</v>
      </c>
      <c r="F100" s="3" t="s">
        <v>2</v>
      </c>
      <c r="G100" s="3" t="s">
        <v>3</v>
      </c>
      <c r="H100" s="3" t="s">
        <v>4</v>
      </c>
      <c r="I100" s="3" t="s">
        <v>5</v>
      </c>
      <c r="J100" s="3" t="s">
        <v>6</v>
      </c>
      <c r="K100" s="3"/>
      <c r="L100" s="4" t="s">
        <v>7</v>
      </c>
      <c r="M100" s="3"/>
      <c r="N100" s="3"/>
      <c r="O100" s="3"/>
      <c r="P100" s="3"/>
    </row>
    <row r="101" spans="1:16" x14ac:dyDescent="0.2">
      <c r="B101" t="s">
        <v>8</v>
      </c>
      <c r="D101" s="5"/>
      <c r="E101" s="123">
        <f>E131</f>
        <v>5.6800000000000003E-2</v>
      </c>
      <c r="F101" s="123">
        <f t="shared" ref="F101:I101" si="21">F131</f>
        <v>0.12885390608817571</v>
      </c>
      <c r="G101" s="123">
        <f t="shared" si="21"/>
        <v>1.576614724480585E-2</v>
      </c>
      <c r="H101" s="123">
        <f t="shared" si="21"/>
        <v>8.2012089210032668E-2</v>
      </c>
      <c r="I101" s="123">
        <f t="shared" si="21"/>
        <v>1.4858669269395275E-2</v>
      </c>
      <c r="J101" s="131">
        <f>AVERAGE(E101:I101)</f>
        <v>5.9658162362481906E-2</v>
      </c>
      <c r="K101" s="7"/>
      <c r="L101" s="8" t="s">
        <v>9</v>
      </c>
      <c r="M101" s="7"/>
      <c r="N101" s="7"/>
      <c r="O101" s="7"/>
      <c r="P101" s="7"/>
    </row>
    <row r="102" spans="1:16" x14ac:dyDescent="0.2">
      <c r="B102" t="s">
        <v>159</v>
      </c>
      <c r="E102" s="123">
        <f>E133/E132</f>
        <v>0.37703350807029845</v>
      </c>
      <c r="F102" s="123">
        <f t="shared" ref="F102:I102" si="22">F133/F132</f>
        <v>0.38266429539295393</v>
      </c>
      <c r="G102" s="123">
        <f t="shared" si="22"/>
        <v>0.41443757382060725</v>
      </c>
      <c r="H102" s="123">
        <f t="shared" si="22"/>
        <v>0.43991678117816274</v>
      </c>
      <c r="I102" s="123">
        <f t="shared" si="22"/>
        <v>0.4455481878922859</v>
      </c>
      <c r="J102" s="131">
        <f>AVERAGE(E102:I102)</f>
        <v>0.41192006927086167</v>
      </c>
      <c r="K102" s="7"/>
      <c r="L102" s="8" t="s">
        <v>132</v>
      </c>
      <c r="M102" s="7"/>
      <c r="N102" s="7"/>
      <c r="O102" s="7"/>
      <c r="P102" s="7"/>
    </row>
    <row r="103" spans="1:16" x14ac:dyDescent="0.2">
      <c r="B103" t="s">
        <v>185</v>
      </c>
      <c r="E103" s="123">
        <f>E136/E132</f>
        <v>0.12767482991029461</v>
      </c>
      <c r="F103" s="123">
        <f t="shared" ref="F103:I103" si="23">F136/F132</f>
        <v>9.7081074977416443E-2</v>
      </c>
      <c r="G103" s="123">
        <f t="shared" si="23"/>
        <v>9.3698325574932254E-2</v>
      </c>
      <c r="H103" s="123">
        <f t="shared" si="23"/>
        <v>8.1908895937945467E-2</v>
      </c>
      <c r="I103" s="123">
        <f t="shared" si="23"/>
        <v>0.11602804211378821</v>
      </c>
      <c r="J103" s="131">
        <f>AVERAGE(E103:I103)</f>
        <v>0.10327823370287541</v>
      </c>
      <c r="K103" s="10"/>
      <c r="L103" s="11" t="s">
        <v>135</v>
      </c>
      <c r="M103" s="12"/>
      <c r="N103" s="12"/>
      <c r="O103" s="12"/>
      <c r="P103" s="12"/>
    </row>
    <row r="104" spans="1:16" x14ac:dyDescent="0.2">
      <c r="B104" t="s">
        <v>186</v>
      </c>
      <c r="E104" s="123">
        <f>E137/E132</f>
        <v>0.20769267538758146</v>
      </c>
      <c r="F104" s="123">
        <f t="shared" ref="F104:I104" si="24">F137/F132</f>
        <v>0.19115571364046974</v>
      </c>
      <c r="G104" s="123">
        <f t="shared" si="24"/>
        <v>0.18567359132911831</v>
      </c>
      <c r="H104" s="123">
        <f t="shared" si="24"/>
        <v>0.17409172049777183</v>
      </c>
      <c r="I104" s="123">
        <f t="shared" si="24"/>
        <v>0.19222008503745697</v>
      </c>
      <c r="J104" s="131">
        <f>AVERAGE(E104:I104)</f>
        <v>0.19016675717847967</v>
      </c>
      <c r="K104" s="10"/>
      <c r="L104" s="11" t="s">
        <v>133</v>
      </c>
      <c r="M104" s="12"/>
      <c r="N104" s="12"/>
      <c r="O104" s="12"/>
      <c r="P104" s="12"/>
    </row>
    <row r="105" spans="1:16" x14ac:dyDescent="0.2">
      <c r="B105" t="s">
        <v>136</v>
      </c>
      <c r="E105" s="9"/>
      <c r="F105" s="9"/>
      <c r="G105" s="9"/>
      <c r="H105" s="9"/>
      <c r="I105" s="9"/>
      <c r="J105" s="8"/>
      <c r="K105" s="10"/>
      <c r="L105" s="11" t="s">
        <v>137</v>
      </c>
      <c r="M105" s="12"/>
      <c r="N105" s="12"/>
      <c r="O105" s="12"/>
      <c r="P105" s="12"/>
    </row>
    <row r="106" spans="1:16" x14ac:dyDescent="0.2">
      <c r="B106" t="s">
        <v>138</v>
      </c>
      <c r="E106" s="9"/>
      <c r="F106" s="9"/>
      <c r="G106" s="9"/>
      <c r="H106" s="9"/>
      <c r="I106" s="9"/>
      <c r="J106" s="8"/>
      <c r="K106" s="10"/>
      <c r="L106" s="11" t="s">
        <v>139</v>
      </c>
      <c r="M106" s="12"/>
      <c r="N106" s="12"/>
      <c r="O106" s="12"/>
      <c r="P106" s="12"/>
    </row>
    <row r="107" spans="1:16" x14ac:dyDescent="0.2">
      <c r="B107" t="s">
        <v>140</v>
      </c>
      <c r="E107" s="132">
        <f>E141</f>
        <v>2507</v>
      </c>
      <c r="F107" s="132">
        <f t="shared" ref="F107:I107" si="25">F141</f>
        <v>31</v>
      </c>
      <c r="G107" s="132">
        <f t="shared" si="25"/>
        <v>2029</v>
      </c>
      <c r="H107" s="132">
        <f t="shared" si="25"/>
        <v>1757</v>
      </c>
      <c r="I107" s="132">
        <f t="shared" si="25"/>
        <v>2700</v>
      </c>
      <c r="J107" s="133">
        <f>AVERAGE(E107:I107)</f>
        <v>1804.8</v>
      </c>
      <c r="K107" s="10"/>
      <c r="L107" s="11" t="s">
        <v>141</v>
      </c>
      <c r="M107" s="12"/>
      <c r="N107" s="12"/>
      <c r="O107" s="12"/>
      <c r="P107" s="12"/>
    </row>
    <row r="108" spans="1:16" x14ac:dyDescent="0.2">
      <c r="B108" t="s">
        <v>142</v>
      </c>
      <c r="E108" s="9"/>
      <c r="F108" s="9"/>
      <c r="G108" s="9"/>
      <c r="H108" s="9"/>
      <c r="I108" s="9"/>
      <c r="J108" s="8">
        <v>0.15</v>
      </c>
      <c r="K108" s="10"/>
      <c r="L108" s="11" t="s">
        <v>143</v>
      </c>
      <c r="M108" s="12"/>
      <c r="N108" s="12"/>
      <c r="O108" s="12"/>
      <c r="P108" s="12"/>
    </row>
    <row r="109" spans="1:16" x14ac:dyDescent="0.2">
      <c r="B109" t="s">
        <v>188</v>
      </c>
      <c r="E109" s="9"/>
      <c r="F109" s="9"/>
      <c r="G109" s="9"/>
      <c r="H109" s="9"/>
      <c r="I109" s="9"/>
      <c r="J109" s="8">
        <v>0.05</v>
      </c>
      <c r="K109" s="10"/>
      <c r="L109" s="11" t="s">
        <v>189</v>
      </c>
      <c r="M109" s="12"/>
      <c r="N109" s="12"/>
      <c r="O109" s="12"/>
      <c r="P109" s="12"/>
    </row>
    <row r="110" spans="1:16" x14ac:dyDescent="0.2">
      <c r="B110" t="s">
        <v>220</v>
      </c>
      <c r="E110" s="9"/>
      <c r="F110" s="9"/>
      <c r="G110" s="9"/>
      <c r="H110" s="9"/>
      <c r="I110" s="9"/>
      <c r="J110" s="8"/>
      <c r="K110" s="10"/>
      <c r="L110" s="11" t="s">
        <v>167</v>
      </c>
      <c r="M110" s="12"/>
      <c r="N110" s="12"/>
      <c r="O110" s="12"/>
      <c r="P110" s="12"/>
    </row>
    <row r="111" spans="1:16" x14ac:dyDescent="0.2">
      <c r="B111" t="s">
        <v>221</v>
      </c>
      <c r="E111" s="9"/>
      <c r="F111" s="9"/>
      <c r="G111" s="9"/>
      <c r="H111" s="9"/>
      <c r="I111" s="9"/>
      <c r="J111" s="8"/>
      <c r="K111" s="10"/>
      <c r="L111" s="11" t="s">
        <v>146</v>
      </c>
      <c r="M111" s="12"/>
      <c r="N111" s="12"/>
      <c r="O111" s="12"/>
      <c r="P111" s="12"/>
    </row>
    <row r="112" spans="1:16" x14ac:dyDescent="0.2">
      <c r="B112" t="s">
        <v>222</v>
      </c>
      <c r="E112" s="9"/>
      <c r="F112" s="9"/>
      <c r="G112" s="9"/>
      <c r="H112" s="9"/>
      <c r="I112" s="9"/>
      <c r="J112" s="8"/>
      <c r="K112" s="10"/>
      <c r="L112" s="11" t="s">
        <v>148</v>
      </c>
      <c r="M112" s="12"/>
      <c r="N112" s="12"/>
      <c r="O112" s="12"/>
      <c r="P112" s="12"/>
    </row>
    <row r="113" spans="1:16" x14ac:dyDescent="0.2">
      <c r="B113" t="s">
        <v>223</v>
      </c>
      <c r="E113" s="123">
        <f>(E238+E239)/E132</f>
        <v>0.74014117047210848</v>
      </c>
      <c r="F113" s="123">
        <f t="shared" ref="F113:I113" si="26">(F238+F239)/F132</f>
        <v>0.7767615176151762</v>
      </c>
      <c r="G113" s="123">
        <f t="shared" si="26"/>
        <v>0.88049746404502194</v>
      </c>
      <c r="H113" s="123">
        <f t="shared" si="26"/>
        <v>0.7822055556269023</v>
      </c>
      <c r="I113" s="123">
        <f t="shared" si="26"/>
        <v>0.89711986232030771</v>
      </c>
      <c r="J113" s="134">
        <f>AVERAGE(E113:I113)</f>
        <v>0.81534511401590337</v>
      </c>
      <c r="K113" s="10"/>
      <c r="L113" s="11" t="s">
        <v>206</v>
      </c>
      <c r="M113" s="12"/>
      <c r="N113" s="12"/>
      <c r="O113" s="12"/>
      <c r="P113" s="12"/>
    </row>
    <row r="114" spans="1:16" x14ac:dyDescent="0.2">
      <c r="B114" t="s">
        <v>224</v>
      </c>
      <c r="E114" s="123">
        <f>E240/(E238+E239)</f>
        <v>-0.11502195815034874</v>
      </c>
      <c r="F114" s="123">
        <f t="shared" ref="F114:I114" si="27">F240/(F238+F239)</f>
        <v>-0.11004506468963512</v>
      </c>
      <c r="G114" s="123">
        <f t="shared" si="27"/>
        <v>-0.12592124990136511</v>
      </c>
      <c r="H114" s="123">
        <f t="shared" si="27"/>
        <v>-7.0992316280291581E-2</v>
      </c>
      <c r="I114" s="123">
        <f t="shared" si="27"/>
        <v>-0.10789347476514233</v>
      </c>
      <c r="J114" s="134">
        <f>AVERAGE(E114:I114)</f>
        <v>-0.10597481275735658</v>
      </c>
      <c r="K114" s="10"/>
      <c r="L114" s="11" t="s">
        <v>177</v>
      </c>
      <c r="M114" s="12"/>
      <c r="N114" s="12"/>
      <c r="O114" s="12"/>
      <c r="P114" s="12"/>
    </row>
    <row r="115" spans="1:16" x14ac:dyDescent="0.2">
      <c r="B115" t="s">
        <v>225</v>
      </c>
      <c r="E115" s="9"/>
      <c r="F115" s="9"/>
      <c r="G115" s="9"/>
      <c r="H115" s="9"/>
      <c r="I115" s="9"/>
      <c r="J115" s="8"/>
      <c r="K115" s="10"/>
      <c r="L115" s="11" t="s">
        <v>145</v>
      </c>
      <c r="M115" s="12"/>
      <c r="N115" s="12"/>
      <c r="O115" s="12"/>
      <c r="P115" s="12"/>
    </row>
    <row r="116" spans="1:16" x14ac:dyDescent="0.2">
      <c r="B116" t="s">
        <v>226</v>
      </c>
      <c r="E116" s="9"/>
      <c r="F116" s="9"/>
      <c r="G116" s="9"/>
      <c r="H116" s="9"/>
      <c r="I116" s="9"/>
      <c r="J116" s="8"/>
      <c r="K116" s="10"/>
      <c r="L116" s="11" t="s">
        <v>178</v>
      </c>
      <c r="M116" s="12"/>
      <c r="N116" s="12"/>
      <c r="O116" s="12"/>
      <c r="P116" s="12"/>
    </row>
    <row r="117" spans="1:16" x14ac:dyDescent="0.2">
      <c r="B117" t="s">
        <v>227</v>
      </c>
      <c r="E117" s="123">
        <f>E247/(E245+E246)</f>
        <v>-7.3214424799439206E-3</v>
      </c>
      <c r="F117" s="123">
        <f t="shared" ref="F117:I117" si="28">F247/(F245+F246)</f>
        <v>-0.10033444816053512</v>
      </c>
      <c r="G117" s="123">
        <f t="shared" si="28"/>
        <v>-8.5325673734899049E-2</v>
      </c>
      <c r="H117" s="123">
        <f t="shared" si="28"/>
        <v>-0.16634340075736584</v>
      </c>
      <c r="I117" s="123">
        <f t="shared" si="28"/>
        <v>-0.19454908043430091</v>
      </c>
      <c r="J117" s="134">
        <f>AVERAGE(E117:I117)</f>
        <v>-0.11077480911340895</v>
      </c>
      <c r="K117" s="10"/>
      <c r="L117" s="11" t="s">
        <v>179</v>
      </c>
      <c r="M117" s="12"/>
      <c r="N117" s="12"/>
      <c r="O117" s="12"/>
      <c r="P117" s="12"/>
    </row>
    <row r="118" spans="1:16" x14ac:dyDescent="0.2">
      <c r="B118" t="s">
        <v>228</v>
      </c>
      <c r="E118" s="9"/>
      <c r="F118" s="9"/>
      <c r="G118" s="9"/>
      <c r="H118" s="9"/>
      <c r="I118" s="9"/>
      <c r="J118" s="8"/>
      <c r="K118" s="10"/>
      <c r="L118" s="11" t="s">
        <v>150</v>
      </c>
      <c r="M118" s="12"/>
      <c r="N118" s="12"/>
      <c r="O118" s="12"/>
      <c r="P118" s="12"/>
    </row>
    <row r="119" spans="1:16" x14ac:dyDescent="0.2">
      <c r="B119" t="s">
        <v>229</v>
      </c>
      <c r="E119" s="9"/>
      <c r="F119" s="9"/>
      <c r="G119" s="9"/>
      <c r="H119" s="9"/>
      <c r="I119" s="9"/>
      <c r="J119" s="8"/>
      <c r="K119" s="10"/>
      <c r="L119" s="11" t="s">
        <v>152</v>
      </c>
      <c r="M119" s="12"/>
      <c r="N119" s="12"/>
      <c r="O119" s="12"/>
      <c r="P119" s="12"/>
    </row>
    <row r="120" spans="1:16" x14ac:dyDescent="0.2">
      <c r="B120" t="s">
        <v>230</v>
      </c>
      <c r="E120" s="9"/>
      <c r="F120" s="9"/>
      <c r="G120" s="9"/>
      <c r="H120" s="9"/>
      <c r="I120" s="9"/>
      <c r="J120" s="8"/>
      <c r="K120" s="10"/>
      <c r="L120" s="11" t="s">
        <v>154</v>
      </c>
      <c r="M120" s="12"/>
      <c r="N120" s="12"/>
      <c r="O120" s="12"/>
      <c r="P120" s="12"/>
    </row>
    <row r="121" spans="1:16" x14ac:dyDescent="0.2">
      <c r="B121" t="s">
        <v>231</v>
      </c>
      <c r="E121" s="9"/>
      <c r="F121" s="9"/>
      <c r="G121" s="9"/>
      <c r="H121" s="9"/>
      <c r="I121" s="9"/>
      <c r="J121" s="8"/>
      <c r="K121" s="10"/>
      <c r="L121" s="11" t="s">
        <v>145</v>
      </c>
      <c r="M121" s="12"/>
      <c r="N121" s="12"/>
      <c r="O121" s="12"/>
      <c r="P121" s="12"/>
    </row>
    <row r="122" spans="1:16" x14ac:dyDescent="0.2">
      <c r="B122" t="s">
        <v>232</v>
      </c>
      <c r="E122" s="123">
        <f>E225/E224</f>
        <v>-0.52827830434329759</v>
      </c>
      <c r="F122" s="123">
        <f t="shared" ref="F122:I122" si="29">F225/F224</f>
        <v>-0.26319289412435282</v>
      </c>
      <c r="G122" s="123">
        <f t="shared" si="29"/>
        <v>-0.26501330292664388</v>
      </c>
      <c r="H122" s="123">
        <f t="shared" si="29"/>
        <v>-0.26642423082444139</v>
      </c>
      <c r="I122" s="123">
        <f t="shared" si="29"/>
        <v>-0.2840748943023958</v>
      </c>
      <c r="J122" s="131">
        <f>AVERAGE(E122:I122)</f>
        <v>-0.32139672530422631</v>
      </c>
      <c r="K122" s="10"/>
      <c r="L122" s="11" t="s">
        <v>160</v>
      </c>
      <c r="M122" s="12"/>
      <c r="N122" s="12"/>
      <c r="O122" s="12"/>
      <c r="P122" s="12"/>
    </row>
    <row r="123" spans="1:16" x14ac:dyDescent="0.2">
      <c r="B123" t="s">
        <v>233</v>
      </c>
      <c r="E123" s="123">
        <f>E226/E224</f>
        <v>-0.33256952400791584</v>
      </c>
      <c r="F123" s="123">
        <f t="shared" ref="F123:I123" si="30">F226/F224</f>
        <v>-0.46772431482449056</v>
      </c>
      <c r="G123" s="123">
        <f t="shared" si="30"/>
        <v>-0.57577917141771184</v>
      </c>
      <c r="H123" s="123">
        <f t="shared" si="30"/>
        <v>-0.60404804057610417</v>
      </c>
      <c r="I123" s="123">
        <f t="shared" si="30"/>
        <v>-0.11208979263136702</v>
      </c>
      <c r="J123" s="131">
        <f>-0.95-J122</f>
        <v>-0.62860327469577371</v>
      </c>
      <c r="K123" s="10" t="s">
        <v>373</v>
      </c>
      <c r="L123" s="11" t="s">
        <v>162</v>
      </c>
      <c r="M123" s="12"/>
      <c r="N123" s="12"/>
      <c r="O123" s="12"/>
      <c r="P123" s="12"/>
    </row>
    <row r="124" spans="1:16" x14ac:dyDescent="0.2">
      <c r="B124" t="s">
        <v>234</v>
      </c>
      <c r="E124" s="135">
        <f>E233</f>
        <v>701</v>
      </c>
      <c r="F124" s="135">
        <f t="shared" ref="F124:I124" si="31">F233</f>
        <v>435</v>
      </c>
      <c r="G124" s="135">
        <f t="shared" si="31"/>
        <v>663</v>
      </c>
      <c r="H124" s="135">
        <f t="shared" si="31"/>
        <v>140</v>
      </c>
      <c r="I124" s="135">
        <f t="shared" si="31"/>
        <v>245</v>
      </c>
      <c r="J124" s="135">
        <f>AVERAGE(E124:I124)</f>
        <v>436.8</v>
      </c>
      <c r="K124" s="10"/>
      <c r="L124" s="11" t="s">
        <v>164</v>
      </c>
      <c r="M124" s="12"/>
      <c r="N124" s="12"/>
      <c r="O124" s="12"/>
      <c r="P124" s="12"/>
    </row>
    <row r="125" spans="1:16" x14ac:dyDescent="0.2">
      <c r="B125" t="s">
        <v>235</v>
      </c>
      <c r="E125" s="135">
        <f>E232</f>
        <v>0</v>
      </c>
      <c r="F125" s="135">
        <f t="shared" ref="F125:I125" si="32">F232</f>
        <v>447</v>
      </c>
      <c r="G125" s="135">
        <f t="shared" si="32"/>
        <v>265</v>
      </c>
      <c r="H125" s="135">
        <f t="shared" si="32"/>
        <v>155</v>
      </c>
      <c r="I125" s="135">
        <f t="shared" si="32"/>
        <v>0</v>
      </c>
      <c r="J125" s="135">
        <f>AVERAGE(E125:I125)</f>
        <v>173.4</v>
      </c>
      <c r="K125" s="10"/>
      <c r="L125" s="11" t="s">
        <v>166</v>
      </c>
      <c r="M125" s="12"/>
      <c r="N125" s="12"/>
      <c r="O125" s="12"/>
      <c r="P125" s="12"/>
    </row>
    <row r="126" spans="1:16" x14ac:dyDescent="0.2">
      <c r="B126" t="s">
        <v>236</v>
      </c>
      <c r="E126" s="123">
        <f>E154/E132</f>
        <v>5.4699574576568252E-2</v>
      </c>
      <c r="F126" s="123">
        <f t="shared" ref="F126:I126" si="33">F154/F132</f>
        <v>3.5724367660343273E-2</v>
      </c>
      <c r="G126" s="123">
        <f t="shared" si="33"/>
        <v>7.78989786701869E-2</v>
      </c>
      <c r="H126" s="123">
        <f t="shared" si="33"/>
        <v>7.70673070748841E-2</v>
      </c>
      <c r="I126" s="123">
        <f t="shared" si="33"/>
        <v>0.10629682121887021</v>
      </c>
      <c r="J126" s="134">
        <f>I126</f>
        <v>0.10629682121887021</v>
      </c>
      <c r="K126" s="10"/>
      <c r="L126" s="11" t="s">
        <v>184</v>
      </c>
      <c r="M126" s="12"/>
      <c r="N126" s="12"/>
      <c r="O126" s="12"/>
      <c r="P126" s="12"/>
    </row>
    <row r="127" spans="1:16" x14ac:dyDescent="0.2">
      <c r="E127" s="9"/>
      <c r="F127" s="9"/>
      <c r="G127" s="9"/>
      <c r="H127" s="9"/>
      <c r="I127" s="9"/>
      <c r="J127" s="11"/>
      <c r="K127" s="10"/>
      <c r="L127" s="11"/>
      <c r="M127" s="12"/>
      <c r="N127" s="12"/>
      <c r="O127" s="12"/>
      <c r="P127" s="12"/>
    </row>
    <row r="128" spans="1:16" x14ac:dyDescent="0.2">
      <c r="A128" t="s">
        <v>10</v>
      </c>
      <c r="B128" s="1" t="s">
        <v>11</v>
      </c>
      <c r="C128" s="2"/>
      <c r="D128" s="2"/>
      <c r="E128" s="3" t="s">
        <v>1</v>
      </c>
      <c r="F128" s="3" t="s">
        <v>2</v>
      </c>
      <c r="G128" s="3" t="s">
        <v>3</v>
      </c>
      <c r="H128" s="3" t="s">
        <v>4</v>
      </c>
      <c r="I128" s="3" t="s">
        <v>5</v>
      </c>
      <c r="J128" s="3" t="s">
        <v>12</v>
      </c>
      <c r="K128" s="3" t="s">
        <v>13</v>
      </c>
      <c r="L128" s="3" t="s">
        <v>14</v>
      </c>
      <c r="M128" s="3" t="s">
        <v>15</v>
      </c>
      <c r="N128" s="3" t="s">
        <v>16</v>
      </c>
      <c r="O128" s="3"/>
      <c r="P128" s="3"/>
    </row>
    <row r="129" spans="2:20" x14ac:dyDescent="0.2">
      <c r="B129" s="17"/>
      <c r="E129" s="18"/>
      <c r="F129" s="18"/>
      <c r="G129" s="18"/>
      <c r="H129" s="18"/>
      <c r="I129" s="18"/>
      <c r="J129" s="18"/>
      <c r="K129" s="18"/>
      <c r="L129" s="18"/>
      <c r="M129" s="18"/>
      <c r="N129" s="18"/>
      <c r="O129" s="18"/>
      <c r="P129" s="18"/>
    </row>
    <row r="130" spans="2:20" x14ac:dyDescent="0.2">
      <c r="B130" s="19" t="s">
        <v>17</v>
      </c>
      <c r="E130" s="20">
        <v>62761</v>
      </c>
      <c r="F130" s="20">
        <v>70848</v>
      </c>
      <c r="G130" s="20">
        <v>71965</v>
      </c>
      <c r="H130" s="20">
        <v>77867</v>
      </c>
      <c r="I130" s="20">
        <v>79024</v>
      </c>
      <c r="J130" s="21">
        <f>I130*(1+$J$101)</f>
        <v>83738.426622532774</v>
      </c>
      <c r="K130" s="21">
        <f t="shared" ref="K130:N130" si="34">J130*(1+$J$101)</f>
        <v>88734.107273958609</v>
      </c>
      <c r="L130" s="21">
        <f t="shared" si="34"/>
        <v>94027.821052798317</v>
      </c>
      <c r="M130" s="21">
        <f t="shared" si="34"/>
        <v>99637.348067756553</v>
      </c>
      <c r="N130" s="21">
        <f t="shared" si="34"/>
        <v>105581.52915614989</v>
      </c>
      <c r="O130" s="15"/>
      <c r="P130" s="22"/>
    </row>
    <row r="131" spans="2:20" x14ac:dyDescent="0.2">
      <c r="B131" s="23" t="s">
        <v>18</v>
      </c>
      <c r="C131" s="24"/>
      <c r="D131" s="24"/>
      <c r="E131" s="25">
        <v>5.6800000000000003E-2</v>
      </c>
      <c r="F131" s="26">
        <f>F130/E130-1</f>
        <v>0.12885390608817571</v>
      </c>
      <c r="G131" s="26">
        <f t="shared" ref="G131:N131" si="35">G130/F130-1</f>
        <v>1.576614724480585E-2</v>
      </c>
      <c r="H131" s="26">
        <f t="shared" si="35"/>
        <v>8.2012089210032668E-2</v>
      </c>
      <c r="I131" s="26">
        <f t="shared" si="35"/>
        <v>1.4858669269395275E-2</v>
      </c>
      <c r="J131" s="26">
        <f t="shared" si="35"/>
        <v>5.9658162362481892E-2</v>
      </c>
      <c r="K131" s="26">
        <f t="shared" si="35"/>
        <v>5.9658162362481892E-2</v>
      </c>
      <c r="L131" s="26">
        <f t="shared" si="35"/>
        <v>5.9658162362481892E-2</v>
      </c>
      <c r="M131" s="26">
        <f t="shared" si="35"/>
        <v>5.9658162362481892E-2</v>
      </c>
      <c r="N131" s="26">
        <f t="shared" si="35"/>
        <v>5.9658162362481892E-2</v>
      </c>
      <c r="O131" s="15"/>
      <c r="P131" s="22"/>
    </row>
    <row r="132" spans="2:20" x14ac:dyDescent="0.2">
      <c r="B132" s="27" t="s">
        <v>19</v>
      </c>
      <c r="E132" s="28">
        <f>E130</f>
        <v>62761</v>
      </c>
      <c r="F132" s="28">
        <f t="shared" ref="F132:N132" si="36">F130</f>
        <v>70848</v>
      </c>
      <c r="G132" s="28">
        <f t="shared" si="36"/>
        <v>71965</v>
      </c>
      <c r="H132" s="28">
        <f t="shared" si="36"/>
        <v>77867</v>
      </c>
      <c r="I132" s="28">
        <f t="shared" si="36"/>
        <v>79024</v>
      </c>
      <c r="J132" s="28">
        <f t="shared" si="36"/>
        <v>83738.426622532774</v>
      </c>
      <c r="K132" s="28">
        <f t="shared" si="36"/>
        <v>88734.107273958609</v>
      </c>
      <c r="L132" s="28">
        <f t="shared" si="36"/>
        <v>94027.821052798317</v>
      </c>
      <c r="M132" s="28">
        <f t="shared" si="36"/>
        <v>99637.348067756553</v>
      </c>
      <c r="N132" s="28">
        <f t="shared" si="36"/>
        <v>105581.52915614989</v>
      </c>
      <c r="O132" s="28"/>
      <c r="P132" s="29"/>
    </row>
    <row r="133" spans="2:20" x14ac:dyDescent="0.2">
      <c r="B133" t="s">
        <v>20</v>
      </c>
      <c r="E133" s="30">
        <v>23663</v>
      </c>
      <c r="F133" s="30">
        <v>27111</v>
      </c>
      <c r="G133" s="30">
        <v>29825</v>
      </c>
      <c r="H133" s="30">
        <v>34255</v>
      </c>
      <c r="I133" s="30">
        <v>35209</v>
      </c>
      <c r="J133" s="31">
        <f>J132*$J$102</f>
        <v>34493.538494986664</v>
      </c>
      <c r="K133" s="31">
        <f t="shared" ref="K133:N133" si="37">K132*$J$102</f>
        <v>36551.359614977104</v>
      </c>
      <c r="L133" s="31">
        <f t="shared" si="37"/>
        <v>38731.946561456869</v>
      </c>
      <c r="M133" s="31">
        <f t="shared" si="37"/>
        <v>41042.623318035236</v>
      </c>
      <c r="N133" s="31">
        <f t="shared" si="37"/>
        <v>43491.150803724762</v>
      </c>
      <c r="P133" s="32"/>
    </row>
    <row r="134" spans="2:20" x14ac:dyDescent="0.2">
      <c r="B134" s="23" t="s">
        <v>18</v>
      </c>
      <c r="C134" s="24"/>
      <c r="D134" s="24"/>
      <c r="E134" s="25">
        <v>2.1399999999999999E-2</v>
      </c>
      <c r="F134" s="26">
        <f>F133/E133-1</f>
        <v>0.1457127160545999</v>
      </c>
      <c r="G134" s="26">
        <f t="shared" ref="G134:N134" si="38">G133/F133-1</f>
        <v>0.10010696765150673</v>
      </c>
      <c r="H134" s="26">
        <f t="shared" si="38"/>
        <v>0.14853310980720869</v>
      </c>
      <c r="I134" s="26">
        <f t="shared" si="38"/>
        <v>2.7849948912567424E-2</v>
      </c>
      <c r="J134" s="26">
        <f t="shared" si="38"/>
        <v>-2.0320415377129031E-2</v>
      </c>
      <c r="K134" s="26">
        <f t="shared" si="38"/>
        <v>5.9658162362482114E-2</v>
      </c>
      <c r="L134" s="26">
        <f t="shared" si="38"/>
        <v>5.9658162362481892E-2</v>
      </c>
      <c r="M134" s="26">
        <f t="shared" si="38"/>
        <v>5.9658162362481892E-2</v>
      </c>
      <c r="N134" s="26">
        <f t="shared" si="38"/>
        <v>5.965816236248167E-2</v>
      </c>
      <c r="O134" s="31"/>
      <c r="P134" s="32"/>
    </row>
    <row r="135" spans="2:20" x14ac:dyDescent="0.2">
      <c r="B135" s="27" t="s">
        <v>21</v>
      </c>
      <c r="E135" s="28">
        <f>E132-E133</f>
        <v>39098</v>
      </c>
      <c r="F135" s="28">
        <f t="shared" ref="F135:N135" si="39">F132-F133</f>
        <v>43737</v>
      </c>
      <c r="G135" s="28">
        <f t="shared" si="39"/>
        <v>42140</v>
      </c>
      <c r="H135" s="28">
        <f t="shared" si="39"/>
        <v>43612</v>
      </c>
      <c r="I135" s="28">
        <f t="shared" si="39"/>
        <v>43815</v>
      </c>
      <c r="J135" s="28">
        <f t="shared" si="39"/>
        <v>49244.88812754611</v>
      </c>
      <c r="K135" s="28">
        <f t="shared" si="39"/>
        <v>52182.747658981505</v>
      </c>
      <c r="L135" s="28">
        <f t="shared" si="39"/>
        <v>55295.874491341448</v>
      </c>
      <c r="M135" s="28">
        <f t="shared" si="39"/>
        <v>58594.724749721317</v>
      </c>
      <c r="N135" s="28">
        <f t="shared" si="39"/>
        <v>62090.378352425127</v>
      </c>
      <c r="O135" s="28"/>
      <c r="P135" s="33"/>
      <c r="R135" s="34"/>
      <c r="S135" s="34"/>
      <c r="T135" s="34"/>
    </row>
    <row r="136" spans="2:20" x14ac:dyDescent="0.2">
      <c r="B136" t="s">
        <v>134</v>
      </c>
      <c r="E136" s="35">
        <v>8013</v>
      </c>
      <c r="F136" s="35">
        <v>6878</v>
      </c>
      <c r="G136" s="35">
        <v>6743</v>
      </c>
      <c r="H136" s="35">
        <v>6378</v>
      </c>
      <c r="I136" s="35">
        <v>9169</v>
      </c>
      <c r="J136" s="31">
        <f>J132*$J$103</f>
        <v>8648.356794633024</v>
      </c>
      <c r="K136" s="31">
        <f t="shared" ref="K136:N136" si="40">K132*$J$103</f>
        <v>9164.3018684559138</v>
      </c>
      <c r="L136" s="31">
        <f t="shared" si="40"/>
        <v>9711.0272772630524</v>
      </c>
      <c r="M136" s="31">
        <f t="shared" si="40"/>
        <v>10290.369319276502</v>
      </c>
      <c r="N136" s="31">
        <f t="shared" si="40"/>
        <v>10904.273842895802</v>
      </c>
      <c r="O136" s="28"/>
      <c r="P136" s="33"/>
      <c r="R136" s="34"/>
      <c r="S136" s="34"/>
      <c r="T136" s="34"/>
    </row>
    <row r="137" spans="2:20" x14ac:dyDescent="0.2">
      <c r="B137" s="24" t="s">
        <v>22</v>
      </c>
      <c r="C137" s="24"/>
      <c r="D137" s="24"/>
      <c r="E137" s="36">
        <v>13035</v>
      </c>
      <c r="F137" s="36">
        <v>13543</v>
      </c>
      <c r="G137" s="36">
        <v>13362</v>
      </c>
      <c r="H137" s="36">
        <v>13556</v>
      </c>
      <c r="I137" s="36">
        <v>15190</v>
      </c>
      <c r="J137" s="37">
        <f>J132*$J$104</f>
        <v>15924.265042035127</v>
      </c>
      <c r="K137" s="37">
        <f t="shared" ref="K137:N137" si="41">K132*$J$104</f>
        <v>16874.277431416052</v>
      </c>
      <c r="L137" s="37">
        <f t="shared" si="41"/>
        <v>17880.965814169034</v>
      </c>
      <c r="M137" s="37">
        <f t="shared" si="41"/>
        <v>18947.711375908722</v>
      </c>
      <c r="N137" s="37">
        <f t="shared" si="41"/>
        <v>20078.097017570126</v>
      </c>
      <c r="O137" s="28"/>
      <c r="P137" s="33"/>
      <c r="R137" s="34"/>
      <c r="S137" s="34"/>
      <c r="T137" s="34"/>
    </row>
    <row r="138" spans="2:20" x14ac:dyDescent="0.2">
      <c r="B138" s="27" t="s">
        <v>23</v>
      </c>
      <c r="E138" s="28">
        <f>E135-E136-E137</f>
        <v>18050</v>
      </c>
      <c r="F138" s="28">
        <f t="shared" ref="F138:N138" si="42">F135-F136-F137</f>
        <v>23316</v>
      </c>
      <c r="G138" s="28">
        <f t="shared" si="42"/>
        <v>22035</v>
      </c>
      <c r="H138" s="28">
        <f t="shared" si="42"/>
        <v>23678</v>
      </c>
      <c r="I138" s="28">
        <f t="shared" si="42"/>
        <v>19456</v>
      </c>
      <c r="J138" s="28">
        <f t="shared" si="42"/>
        <v>24672.26629087796</v>
      </c>
      <c r="K138" s="28">
        <f t="shared" si="42"/>
        <v>26144.168359109539</v>
      </c>
      <c r="L138" s="28">
        <f t="shared" si="42"/>
        <v>27703.881399909365</v>
      </c>
      <c r="M138" s="28">
        <f t="shared" si="42"/>
        <v>29356.644054536097</v>
      </c>
      <c r="N138" s="28">
        <f t="shared" si="42"/>
        <v>31108.007491959197</v>
      </c>
      <c r="O138" s="28"/>
      <c r="P138" s="29"/>
    </row>
    <row r="139" spans="2:20" x14ac:dyDescent="0.2">
      <c r="B139" t="s">
        <v>24</v>
      </c>
      <c r="E139" s="38">
        <v>441</v>
      </c>
      <c r="F139" s="38">
        <v>438</v>
      </c>
      <c r="G139" s="38">
        <v>483</v>
      </c>
      <c r="H139" s="38">
        <v>272</v>
      </c>
      <c r="I139" s="38">
        <v>144</v>
      </c>
      <c r="J139" s="15">
        <f>J279</f>
        <v>677.20825760086802</v>
      </c>
      <c r="K139" s="15">
        <f t="shared" ref="K139:N139" ca="1" si="43">K279</f>
        <v>937.6778416307219</v>
      </c>
      <c r="L139" s="15">
        <f t="shared" ca="1" si="43"/>
        <v>937.27557305944765</v>
      </c>
      <c r="M139" s="15">
        <f t="shared" ca="1" si="43"/>
        <v>694.85559775878505</v>
      </c>
      <c r="N139" s="15">
        <f t="shared" ca="1" si="43"/>
        <v>492.95053799455911</v>
      </c>
      <c r="O139" s="15"/>
      <c r="P139" s="22"/>
    </row>
    <row r="140" spans="2:20" x14ac:dyDescent="0.2">
      <c r="B140" t="s">
        <v>25</v>
      </c>
      <c r="E140" s="38">
        <v>646</v>
      </c>
      <c r="F140" s="38">
        <v>468</v>
      </c>
      <c r="G140" s="38">
        <v>489</v>
      </c>
      <c r="H140" s="38">
        <v>629</v>
      </c>
      <c r="I140" s="38">
        <v>597</v>
      </c>
      <c r="J140" s="15">
        <f ca="1">J273</f>
        <v>652.80102152136112</v>
      </c>
      <c r="K140" s="15">
        <f t="shared" ref="K140:N140" ca="1" si="44">K273</f>
        <v>631.05344737744531</v>
      </c>
      <c r="L140" s="15">
        <f t="shared" ca="1" si="44"/>
        <v>620.13142558878621</v>
      </c>
      <c r="M140" s="15">
        <f t="shared" ca="1" si="44"/>
        <v>620.13142558878621</v>
      </c>
      <c r="N140" s="15">
        <f t="shared" ca="1" si="44"/>
        <v>620.13142558878621</v>
      </c>
      <c r="O140" s="15"/>
      <c r="P140" s="22"/>
    </row>
    <row r="141" spans="2:20" x14ac:dyDescent="0.2">
      <c r="B141" s="24" t="s">
        <v>26</v>
      </c>
      <c r="C141" s="24"/>
      <c r="D141" s="24"/>
      <c r="E141" s="36">
        <v>2507</v>
      </c>
      <c r="F141" s="36">
        <v>31</v>
      </c>
      <c r="G141" s="36">
        <v>2029</v>
      </c>
      <c r="H141" s="36">
        <v>1757</v>
      </c>
      <c r="I141" s="36">
        <v>2700</v>
      </c>
      <c r="J141" s="37">
        <f>$J$107</f>
        <v>1804.8</v>
      </c>
      <c r="K141" s="37">
        <f t="shared" ref="K141:N141" si="45">$J$107</f>
        <v>1804.8</v>
      </c>
      <c r="L141" s="37">
        <f t="shared" si="45"/>
        <v>1804.8</v>
      </c>
      <c r="M141" s="37">
        <f t="shared" si="45"/>
        <v>1804.8</v>
      </c>
      <c r="N141" s="37">
        <f t="shared" si="45"/>
        <v>1804.8</v>
      </c>
      <c r="O141" s="31"/>
      <c r="P141" s="39"/>
    </row>
    <row r="142" spans="2:20" x14ac:dyDescent="0.2">
      <c r="B142" s="27" t="s">
        <v>27</v>
      </c>
      <c r="E142" s="28">
        <f>E138+E139-E140+E141</f>
        <v>20352</v>
      </c>
      <c r="F142" s="28">
        <f t="shared" ref="F142:N142" si="46">F138+F139-F140+F141</f>
        <v>23317</v>
      </c>
      <c r="G142" s="28">
        <f t="shared" si="46"/>
        <v>24058</v>
      </c>
      <c r="H142" s="28">
        <f t="shared" si="46"/>
        <v>25078</v>
      </c>
      <c r="I142" s="28">
        <f t="shared" si="46"/>
        <v>21703</v>
      </c>
      <c r="J142" s="28">
        <f t="shared" ca="1" si="46"/>
        <v>26501.473526957467</v>
      </c>
      <c r="K142" s="28">
        <f t="shared" ca="1" si="46"/>
        <v>28255.592753362813</v>
      </c>
      <c r="L142" s="28">
        <f t="shared" ca="1" si="46"/>
        <v>29825.825547380027</v>
      </c>
      <c r="M142" s="28">
        <f t="shared" ca="1" si="46"/>
        <v>31236.168226706097</v>
      </c>
      <c r="N142" s="28">
        <f t="shared" ca="1" si="46"/>
        <v>32785.626604364974</v>
      </c>
      <c r="O142" s="28"/>
      <c r="P142" s="29"/>
    </row>
    <row r="143" spans="2:20" x14ac:dyDescent="0.2">
      <c r="B143" s="24" t="s">
        <v>28</v>
      </c>
      <c r="C143" s="24"/>
      <c r="D143" s="24"/>
      <c r="E143" s="36">
        <v>10751</v>
      </c>
      <c r="F143" s="36">
        <v>2264</v>
      </c>
      <c r="G143" s="36">
        <v>3010</v>
      </c>
      <c r="H143" s="36">
        <v>4179</v>
      </c>
      <c r="I143" s="36">
        <v>1835</v>
      </c>
      <c r="J143" s="37">
        <f ca="1">J142*$J$108-J254</f>
        <v>5300.2947053914932</v>
      </c>
      <c r="K143" s="37">
        <f t="shared" ref="K143:N143" ca="1" si="47">K142*$J$108-K254</f>
        <v>5580.265236656548</v>
      </c>
      <c r="L143" s="37">
        <f t="shared" ca="1" si="47"/>
        <v>4473.8738321070041</v>
      </c>
      <c r="M143" s="37">
        <f t="shared" ca="1" si="47"/>
        <v>4685.4252340059147</v>
      </c>
      <c r="N143" s="37">
        <f t="shared" ca="1" si="47"/>
        <v>4917.8439906547455</v>
      </c>
      <c r="O143" s="31"/>
      <c r="P143" s="39"/>
    </row>
    <row r="144" spans="2:20" x14ac:dyDescent="0.2">
      <c r="B144" s="27" t="s">
        <v>29</v>
      </c>
      <c r="E144" s="28">
        <f>E142-E143</f>
        <v>9601</v>
      </c>
      <c r="F144" s="28">
        <f t="shared" ref="F144:N144" si="48">F142-F143</f>
        <v>21053</v>
      </c>
      <c r="G144" s="28">
        <f t="shared" si="48"/>
        <v>21048</v>
      </c>
      <c r="H144" s="28">
        <f t="shared" si="48"/>
        <v>20899</v>
      </c>
      <c r="I144" s="28">
        <f t="shared" si="48"/>
        <v>19868</v>
      </c>
      <c r="J144" s="28">
        <f t="shared" ca="1" si="48"/>
        <v>21201.178821565973</v>
      </c>
      <c r="K144" s="28">
        <f t="shared" ca="1" si="48"/>
        <v>22675.327516706264</v>
      </c>
      <c r="L144" s="28">
        <f t="shared" ca="1" si="48"/>
        <v>25351.951715273022</v>
      </c>
      <c r="M144" s="28">
        <f t="shared" ca="1" si="48"/>
        <v>26550.742992700183</v>
      </c>
      <c r="N144" s="28">
        <f t="shared" ca="1" si="48"/>
        <v>27867.782613710227</v>
      </c>
      <c r="O144" s="31"/>
      <c r="P144" s="39"/>
    </row>
    <row r="145" spans="1:19" x14ac:dyDescent="0.2">
      <c r="O145" s="15"/>
      <c r="P145" s="22"/>
    </row>
    <row r="146" spans="1:19" x14ac:dyDescent="0.2">
      <c r="B146" t="s">
        <v>30</v>
      </c>
      <c r="E146" s="40">
        <f>E$144/E149</f>
        <v>2.0423314188470538</v>
      </c>
      <c r="F146" s="40">
        <f t="shared" ref="F146:N147" si="49">F$144/F149</f>
        <v>4.5658208631533288</v>
      </c>
      <c r="G146" s="40">
        <f t="shared" si="49"/>
        <v>4.7652252660176586</v>
      </c>
      <c r="H146" s="40">
        <f t="shared" si="49"/>
        <v>4.9771374136699214</v>
      </c>
      <c r="I146" s="40">
        <f t="shared" si="49"/>
        <v>4.8948016752894805</v>
      </c>
      <c r="J146" s="40">
        <f ca="1">J$144/J149</f>
        <v>5.5672112634949791</v>
      </c>
      <c r="K146" s="40">
        <f t="shared" ca="1" si="49"/>
        <v>6.4069596725460132</v>
      </c>
      <c r="L146" s="40">
        <f t="shared" ca="1" si="49"/>
        <v>7.8320721173773453</v>
      </c>
      <c r="M146" s="40">
        <f t="shared" ca="1" si="49"/>
        <v>9.093188726690574</v>
      </c>
      <c r="N146" s="40">
        <f t="shared" ca="1" si="49"/>
        <v>10.774602780873566</v>
      </c>
      <c r="O146" s="40"/>
      <c r="P146" s="41"/>
    </row>
    <row r="147" spans="1:19" x14ac:dyDescent="0.2">
      <c r="B147" t="s">
        <v>31</v>
      </c>
      <c r="E147" s="40">
        <f>E$144/E150</f>
        <v>1.9857290589451912</v>
      </c>
      <c r="F147" s="40">
        <f t="shared" si="49"/>
        <v>4.478408849181025</v>
      </c>
      <c r="G147" s="40">
        <f t="shared" si="49"/>
        <v>4.7055667337357479</v>
      </c>
      <c r="H147" s="40">
        <f t="shared" si="49"/>
        <v>4.9383270321361055</v>
      </c>
      <c r="I147" s="40">
        <f t="shared" si="49"/>
        <v>4.8577017114914423</v>
      </c>
      <c r="J147" s="40">
        <f t="shared" ca="1" si="49"/>
        <v>5.5222585283537144</v>
      </c>
      <c r="K147" s="40">
        <f t="shared" ca="1" si="49"/>
        <v>6.3513276774507403</v>
      </c>
      <c r="L147" s="40">
        <f t="shared" ca="1" si="49"/>
        <v>7.757776323746385</v>
      </c>
      <c r="M147" s="40">
        <f t="shared" ca="1" si="49"/>
        <v>8.9976606945254201</v>
      </c>
      <c r="N147" s="40">
        <f t="shared" ca="1" si="49"/>
        <v>10.646991968179512</v>
      </c>
      <c r="O147" s="40"/>
      <c r="P147" s="41"/>
    </row>
    <row r="149" spans="1:19" x14ac:dyDescent="0.2">
      <c r="B149" t="s">
        <v>32</v>
      </c>
      <c r="D149" s="42"/>
      <c r="E149" s="38">
        <v>4701</v>
      </c>
      <c r="F149" s="38">
        <v>4611</v>
      </c>
      <c r="G149" s="38">
        <v>4417</v>
      </c>
      <c r="H149" s="38">
        <v>4199</v>
      </c>
      <c r="I149" s="38">
        <v>4059</v>
      </c>
      <c r="J149" s="43">
        <f ca="1">J288</f>
        <v>3808.222432761841</v>
      </c>
      <c r="K149" s="43">
        <f t="shared" ref="K149:N149" ca="1" si="50">K288</f>
        <v>3539.1712568241414</v>
      </c>
      <c r="L149" s="43">
        <f t="shared" ca="1" si="50"/>
        <v>3236.9405357010937</v>
      </c>
      <c r="M149" s="43">
        <f t="shared" ca="1" si="50"/>
        <v>2919.849547911364</v>
      </c>
      <c r="N149" s="43">
        <f t="shared" ca="1" si="50"/>
        <v>2586.4324820567358</v>
      </c>
      <c r="O149" s="43"/>
      <c r="P149" s="43"/>
    </row>
    <row r="150" spans="1:19" x14ac:dyDescent="0.2">
      <c r="B150" t="s">
        <v>33</v>
      </c>
      <c r="D150" s="42"/>
      <c r="E150" s="38">
        <v>4835</v>
      </c>
      <c r="F150" s="38">
        <v>4701</v>
      </c>
      <c r="G150" s="38">
        <v>4473</v>
      </c>
      <c r="H150" s="38">
        <v>4232</v>
      </c>
      <c r="I150" s="38">
        <v>4090</v>
      </c>
      <c r="J150" s="43">
        <f ca="1">J290</f>
        <v>3839.222432761841</v>
      </c>
      <c r="K150" s="43">
        <f t="shared" ref="K150:N150" ca="1" si="51">K290</f>
        <v>3570.1712568241414</v>
      </c>
      <c r="L150" s="43">
        <f t="shared" ca="1" si="51"/>
        <v>3267.9405357010937</v>
      </c>
      <c r="M150" s="43">
        <f t="shared" ca="1" si="51"/>
        <v>2950.849547911364</v>
      </c>
      <c r="N150" s="43">
        <f t="shared" ca="1" si="51"/>
        <v>2617.4324820567358</v>
      </c>
      <c r="O150" s="43"/>
      <c r="P150" s="43"/>
    </row>
    <row r="151" spans="1:19" x14ac:dyDescent="0.2">
      <c r="E151" s="46"/>
      <c r="F151" s="46"/>
      <c r="G151" s="46"/>
      <c r="H151" s="46"/>
      <c r="I151" s="46"/>
    </row>
    <row r="152" spans="1:19" x14ac:dyDescent="0.2">
      <c r="A152" t="s">
        <v>10</v>
      </c>
      <c r="B152" s="1" t="s">
        <v>34</v>
      </c>
      <c r="C152" s="2"/>
      <c r="D152" s="2"/>
      <c r="E152" s="3" t="s">
        <v>1</v>
      </c>
      <c r="F152" s="3" t="s">
        <v>2</v>
      </c>
      <c r="G152" s="3" t="s">
        <v>3</v>
      </c>
      <c r="H152" s="3" t="s">
        <v>4</v>
      </c>
      <c r="I152" s="3" t="s">
        <v>5</v>
      </c>
      <c r="J152" s="3" t="s">
        <v>12</v>
      </c>
      <c r="K152" s="3" t="s">
        <v>13</v>
      </c>
      <c r="L152" s="3" t="s">
        <v>14</v>
      </c>
      <c r="M152" s="3" t="s">
        <v>15</v>
      </c>
      <c r="N152" s="3" t="s">
        <v>16</v>
      </c>
      <c r="O152" s="3"/>
      <c r="P152" s="3"/>
    </row>
    <row r="153" spans="1:19" x14ac:dyDescent="0.2">
      <c r="B153" s="44" t="s">
        <v>35</v>
      </c>
      <c r="C153" s="45"/>
      <c r="D153" s="45"/>
      <c r="E153" s="45"/>
      <c r="F153" s="45"/>
      <c r="G153" s="45"/>
      <c r="H153" s="45"/>
      <c r="I153" s="45"/>
      <c r="J153" s="45"/>
      <c r="K153" s="45"/>
      <c r="L153" s="45"/>
      <c r="M153" s="45"/>
      <c r="N153" s="45"/>
      <c r="O153" s="45"/>
      <c r="P153" s="45"/>
    </row>
    <row r="154" spans="1:19" x14ac:dyDescent="0.2">
      <c r="B154" t="s">
        <v>36</v>
      </c>
      <c r="E154" s="14">
        <f>E219</f>
        <v>3433</v>
      </c>
      <c r="F154" s="14">
        <f t="shared" ref="F154:N154" si="52">F219</f>
        <v>2531</v>
      </c>
      <c r="G154" s="14">
        <f t="shared" si="52"/>
        <v>5606</v>
      </c>
      <c r="H154" s="14">
        <f t="shared" si="52"/>
        <v>6001</v>
      </c>
      <c r="I154" s="14">
        <f t="shared" si="52"/>
        <v>8400</v>
      </c>
      <c r="J154" s="14">
        <f t="shared" ca="1" si="52"/>
        <v>11539.94970640582</v>
      </c>
      <c r="K154" s="14">
        <f t="shared" ca="1" si="52"/>
        <v>8391.4456599873083</v>
      </c>
      <c r="L154" s="14">
        <f t="shared" ca="1" si="52"/>
        <v>6384.829364736248</v>
      </c>
      <c r="M154" s="14">
        <f t="shared" ca="1" si="52"/>
        <v>4097.8849524356374</v>
      </c>
      <c r="N154" s="14">
        <f t="shared" ca="1" si="52"/>
        <v>1528.2475618365061</v>
      </c>
      <c r="O154" s="6"/>
      <c r="P154" s="6"/>
      <c r="Q154" s="6"/>
      <c r="R154" s="6"/>
      <c r="S154" s="6"/>
    </row>
    <row r="155" spans="1:19" x14ac:dyDescent="0.2">
      <c r="B155" t="s">
        <v>37</v>
      </c>
      <c r="E155" s="38">
        <v>5607</v>
      </c>
      <c r="F155" s="38">
        <v>6722</v>
      </c>
      <c r="G155" s="38">
        <v>7659</v>
      </c>
      <c r="H155" s="38">
        <v>6782</v>
      </c>
      <c r="I155" s="38">
        <v>9457</v>
      </c>
      <c r="J155" s="22">
        <f>I155*(1+J$131)</f>
        <v>10021.187241461992</v>
      </c>
      <c r="K155" s="22">
        <f t="shared" ref="K155:N157" si="53">J155*(1+K$131)</f>
        <v>10619.032856977963</v>
      </c>
      <c r="L155" s="22">
        <f t="shared" si="53"/>
        <v>11252.544843292084</v>
      </c>
      <c r="M155" s="22">
        <f t="shared" si="53"/>
        <v>11923.850990544312</v>
      </c>
      <c r="N155" s="22">
        <f t="shared" si="53"/>
        <v>12635.206028924245</v>
      </c>
      <c r="O155" s="6"/>
      <c r="P155" s="6"/>
      <c r="Q155" s="6"/>
      <c r="R155" s="6"/>
      <c r="S155" s="6"/>
    </row>
    <row r="156" spans="1:19" x14ac:dyDescent="0.2">
      <c r="B156" t="s">
        <v>38</v>
      </c>
      <c r="E156" s="38">
        <v>6983</v>
      </c>
      <c r="F156" s="38">
        <v>7253</v>
      </c>
      <c r="G156" s="38">
        <v>8744</v>
      </c>
      <c r="H156" s="38">
        <v>8427</v>
      </c>
      <c r="I156" s="38">
        <v>10776</v>
      </c>
      <c r="J156" s="22">
        <f>I156*(1+J$134)</f>
        <v>10557.027203896057</v>
      </c>
      <c r="K156" s="22">
        <f t="shared" ref="K156:N156" si="54">J156*(1+K$134)</f>
        <v>11186.84004689123</v>
      </c>
      <c r="L156" s="22">
        <f t="shared" si="54"/>
        <v>11854.22636673178</v>
      </c>
      <c r="M156" s="22">
        <f t="shared" si="54"/>
        <v>12561.427727999879</v>
      </c>
      <c r="N156" s="22">
        <f t="shared" si="54"/>
        <v>13310.819422901475</v>
      </c>
      <c r="O156" s="6"/>
      <c r="P156" s="6"/>
      <c r="Q156" s="6"/>
      <c r="R156" s="6"/>
      <c r="S156" s="6"/>
    </row>
    <row r="157" spans="1:19" x14ac:dyDescent="0.2">
      <c r="B157" s="24" t="s">
        <v>39</v>
      </c>
      <c r="C157" s="24"/>
      <c r="D157" s="24"/>
      <c r="E157" s="36">
        <v>2908</v>
      </c>
      <c r="F157" s="36">
        <v>3162</v>
      </c>
      <c r="G157" s="36">
        <v>1713</v>
      </c>
      <c r="H157" s="36">
        <v>8145</v>
      </c>
      <c r="I157" s="36">
        <v>9072</v>
      </c>
      <c r="J157" s="22">
        <f>I157*(1+J$131)</f>
        <v>9613.218848952436</v>
      </c>
      <c r="K157" s="22">
        <f t="shared" si="53"/>
        <v>10186.725819869313</v>
      </c>
      <c r="L157" s="22">
        <f t="shared" si="53"/>
        <v>10794.447162773162</v>
      </c>
      <c r="M157" s="22">
        <f t="shared" si="53"/>
        <v>11438.424044223115</v>
      </c>
      <c r="N157" s="22">
        <f t="shared" si="53"/>
        <v>12120.819403024294</v>
      </c>
      <c r="O157" s="6"/>
      <c r="P157" s="6"/>
      <c r="Q157" s="6"/>
      <c r="R157" s="6"/>
      <c r="S157" s="6"/>
    </row>
    <row r="158" spans="1:19" x14ac:dyDescent="0.2">
      <c r="B158" s="27" t="s">
        <v>40</v>
      </c>
      <c r="E158" s="28">
        <f>SUM(E154:E157)</f>
        <v>18931</v>
      </c>
      <c r="F158" s="28">
        <f t="shared" ref="F158:N158" si="55">SUM(F154:F157)</f>
        <v>19668</v>
      </c>
      <c r="G158" s="28">
        <f t="shared" si="55"/>
        <v>23722</v>
      </c>
      <c r="H158" s="28">
        <f t="shared" si="55"/>
        <v>29355</v>
      </c>
      <c r="I158" s="28">
        <f t="shared" si="55"/>
        <v>37705</v>
      </c>
      <c r="J158" s="141">
        <f t="shared" ca="1" si="55"/>
        <v>41731.383000716305</v>
      </c>
      <c r="K158" s="141">
        <f t="shared" ca="1" si="55"/>
        <v>40384.044383725814</v>
      </c>
      <c r="L158" s="141">
        <f t="shared" ca="1" si="55"/>
        <v>40286.047737533278</v>
      </c>
      <c r="M158" s="141">
        <f t="shared" ca="1" si="55"/>
        <v>40021.587715202942</v>
      </c>
      <c r="N158" s="141">
        <f t="shared" ca="1" si="55"/>
        <v>39595.092416686522</v>
      </c>
      <c r="O158" s="6"/>
      <c r="P158" s="6"/>
      <c r="Q158" s="6"/>
      <c r="R158" s="6"/>
      <c r="S158" s="6"/>
    </row>
    <row r="159" spans="1:19" x14ac:dyDescent="0.2">
      <c r="B159" t="s">
        <v>41</v>
      </c>
      <c r="E159" s="14">
        <f>E241</f>
        <v>41109</v>
      </c>
      <c r="F159" s="14">
        <f t="shared" ref="F159:N159" si="56">F241</f>
        <v>48976</v>
      </c>
      <c r="G159" s="14">
        <f t="shared" si="56"/>
        <v>55386</v>
      </c>
      <c r="H159" s="14">
        <f t="shared" si="56"/>
        <v>56584</v>
      </c>
      <c r="I159" s="14">
        <f t="shared" si="56"/>
        <v>63245</v>
      </c>
      <c r="J159" s="14">
        <f t="shared" si="56"/>
        <v>61040.210676893621</v>
      </c>
      <c r="K159" s="14">
        <f t="shared" si="56"/>
        <v>64681.757476095845</v>
      </c>
      <c r="L159" s="14">
        <f t="shared" si="56"/>
        <v>68540.55226549544</v>
      </c>
      <c r="M159" s="14">
        <f t="shared" si="56"/>
        <v>72629.555660964543</v>
      </c>
      <c r="N159" s="14">
        <f t="shared" si="56"/>
        <v>76962.501484901295</v>
      </c>
      <c r="O159" s="6"/>
      <c r="P159" s="6"/>
      <c r="Q159" s="6"/>
      <c r="R159" s="6"/>
      <c r="S159" s="6"/>
    </row>
    <row r="160" spans="1:19" x14ac:dyDescent="0.2">
      <c r="B160" t="s">
        <v>42</v>
      </c>
      <c r="E160" s="38">
        <v>24389</v>
      </c>
      <c r="F160" s="38">
        <v>24513</v>
      </c>
      <c r="G160" s="38">
        <v>26276</v>
      </c>
      <c r="H160" s="38">
        <v>36971</v>
      </c>
      <c r="I160" s="38">
        <v>36971</v>
      </c>
      <c r="J160" s="22">
        <f>I160</f>
        <v>36971</v>
      </c>
      <c r="K160" s="22">
        <f t="shared" ref="K160:N160" si="57">J160</f>
        <v>36971</v>
      </c>
      <c r="L160" s="22">
        <f t="shared" si="57"/>
        <v>36971</v>
      </c>
      <c r="M160" s="22">
        <f t="shared" si="57"/>
        <v>36971</v>
      </c>
      <c r="N160" s="22">
        <f t="shared" si="57"/>
        <v>36971</v>
      </c>
      <c r="O160" s="6"/>
      <c r="P160" s="6"/>
      <c r="Q160" s="6"/>
      <c r="R160" s="6"/>
      <c r="S160" s="6"/>
    </row>
    <row r="161" spans="2:20" x14ac:dyDescent="0.2">
      <c r="B161" t="s">
        <v>43</v>
      </c>
      <c r="E161" s="48">
        <f>E248</f>
        <v>12745</v>
      </c>
      <c r="F161" s="48">
        <f t="shared" ref="F161:N161" si="58">F248</f>
        <v>11836</v>
      </c>
      <c r="G161" s="48">
        <f t="shared" si="58"/>
        <v>10827</v>
      </c>
      <c r="H161" s="48">
        <f t="shared" si="58"/>
        <v>9026</v>
      </c>
      <c r="I161" s="48">
        <f t="shared" si="58"/>
        <v>7270</v>
      </c>
      <c r="J161" s="48">
        <f t="shared" si="58"/>
        <v>6464.6671377455168</v>
      </c>
      <c r="K161" s="48">
        <f t="shared" si="58"/>
        <v>5748.5448695800296</v>
      </c>
      <c r="L161" s="48">
        <f t="shared" si="58"/>
        <v>5111.7509089724354</v>
      </c>
      <c r="M161" s="48">
        <f t="shared" si="58"/>
        <v>4545.497677795719</v>
      </c>
      <c r="N161" s="48">
        <f t="shared" si="58"/>
        <v>4041.9710402124547</v>
      </c>
      <c r="O161" s="6"/>
      <c r="P161" s="6"/>
      <c r="Q161" s="6"/>
      <c r="R161" s="6"/>
      <c r="S161" s="6"/>
    </row>
    <row r="162" spans="2:20" x14ac:dyDescent="0.2">
      <c r="B162" t="s">
        <v>44</v>
      </c>
      <c r="E162" s="38">
        <v>15506</v>
      </c>
      <c r="F162" s="38">
        <v>13851</v>
      </c>
      <c r="G162" s="38">
        <v>12796</v>
      </c>
      <c r="H162" s="38">
        <v>13261</v>
      </c>
      <c r="I162" s="38">
        <v>13210</v>
      </c>
      <c r="J162" s="22">
        <f>I162*(1+J$131)</f>
        <v>13998.084324808386</v>
      </c>
      <c r="K162" s="22">
        <f t="shared" ref="K162:N162" si="59">J162*(1+K$131)</f>
        <v>14833.184312221518</v>
      </c>
      <c r="L162" s="22">
        <f t="shared" si="59"/>
        <v>15718.104830272649</v>
      </c>
      <c r="M162" s="22">
        <f t="shared" si="59"/>
        <v>16655.818080267563</v>
      </c>
      <c r="N162" s="22">
        <f t="shared" si="59"/>
        <v>17649.473579580128</v>
      </c>
      <c r="O162" s="6"/>
      <c r="P162" s="6"/>
      <c r="Q162" s="6"/>
      <c r="R162" s="6"/>
      <c r="S162" s="6"/>
    </row>
    <row r="163" spans="2:20" ht="16" thickBot="1" x14ac:dyDescent="0.25">
      <c r="B163" s="49" t="s">
        <v>45</v>
      </c>
      <c r="C163" s="50"/>
      <c r="D163" s="50"/>
      <c r="E163" s="51">
        <f>SUM(E158:E162)</f>
        <v>112680</v>
      </c>
      <c r="F163" s="51">
        <f t="shared" ref="F163:N163" si="60">SUM(F158:F162)</f>
        <v>118844</v>
      </c>
      <c r="G163" s="51">
        <f t="shared" si="60"/>
        <v>129007</v>
      </c>
      <c r="H163" s="51">
        <f t="shared" si="60"/>
        <v>145197</v>
      </c>
      <c r="I163" s="51">
        <f t="shared" si="60"/>
        <v>158401</v>
      </c>
      <c r="J163" s="51">
        <f t="shared" ca="1" si="60"/>
        <v>160205.34514016382</v>
      </c>
      <c r="K163" s="51">
        <f t="shared" ca="1" si="60"/>
        <v>162618.53104162318</v>
      </c>
      <c r="L163" s="51">
        <f t="shared" ca="1" si="60"/>
        <v>166627.4557422738</v>
      </c>
      <c r="M163" s="51">
        <f t="shared" ca="1" si="60"/>
        <v>170823.45913423074</v>
      </c>
      <c r="N163" s="51">
        <f t="shared" ca="1" si="60"/>
        <v>175220.03852138043</v>
      </c>
      <c r="O163" s="6"/>
      <c r="P163" s="6"/>
      <c r="Q163" s="6"/>
      <c r="R163" s="6"/>
      <c r="S163" s="6"/>
    </row>
    <row r="164" spans="2:20" ht="16" thickTop="1" x14ac:dyDescent="0.2">
      <c r="I164" s="42"/>
      <c r="J164" s="52"/>
      <c r="K164" s="52"/>
      <c r="L164" s="52"/>
      <c r="M164" s="52"/>
      <c r="N164" s="52"/>
      <c r="O164" s="42"/>
    </row>
    <row r="165" spans="2:20" x14ac:dyDescent="0.2">
      <c r="B165" s="44" t="s">
        <v>46</v>
      </c>
      <c r="C165" s="45"/>
      <c r="D165" s="45"/>
      <c r="E165" s="45"/>
      <c r="F165" s="45"/>
      <c r="G165" s="45"/>
      <c r="H165" s="45"/>
      <c r="I165" s="45"/>
      <c r="J165" s="45"/>
      <c r="K165" s="45"/>
      <c r="L165" s="45"/>
      <c r="M165" s="45"/>
      <c r="N165" s="45"/>
      <c r="O165" s="45"/>
      <c r="P165" s="45"/>
    </row>
    <row r="166" spans="2:20" x14ac:dyDescent="0.2">
      <c r="B166" t="s">
        <v>47</v>
      </c>
      <c r="E166" s="53">
        <v>2928</v>
      </c>
      <c r="F166" s="53">
        <v>3824</v>
      </c>
      <c r="G166" s="53">
        <v>4128</v>
      </c>
      <c r="H166" s="53">
        <v>5581</v>
      </c>
      <c r="I166" s="53">
        <v>5747</v>
      </c>
      <c r="J166" s="22">
        <f>I166*(1+J$134)</f>
        <v>5630.218572827639</v>
      </c>
      <c r="K166" s="22">
        <f t="shared" ref="K166:N166" si="61">J166*(1+K$134)</f>
        <v>5966.1070665816524</v>
      </c>
      <c r="L166" s="22">
        <f t="shared" si="61"/>
        <v>6322.0340506317316</v>
      </c>
      <c r="M166" s="22">
        <f t="shared" si="61"/>
        <v>6699.1949844854589</v>
      </c>
      <c r="N166" s="22">
        <f t="shared" si="61"/>
        <v>7098.856646567815</v>
      </c>
      <c r="O166" s="54"/>
      <c r="P166" s="54"/>
      <c r="Q166" s="54"/>
      <c r="R166" s="54"/>
      <c r="S166" s="54"/>
      <c r="T166" s="54"/>
    </row>
    <row r="167" spans="2:20" x14ac:dyDescent="0.2">
      <c r="B167" t="s">
        <v>112</v>
      </c>
      <c r="E167" s="53">
        <v>3526</v>
      </c>
      <c r="F167" s="53">
        <v>3622</v>
      </c>
      <c r="G167" s="53">
        <v>3853</v>
      </c>
      <c r="H167" s="53">
        <v>3999</v>
      </c>
      <c r="I167" s="53">
        <v>4535</v>
      </c>
      <c r="J167" s="22">
        <f>I167*(1+J$131)</f>
        <v>4805.5497663138558</v>
      </c>
      <c r="K167" s="22">
        <f t="shared" ref="K167:N167" si="62">J167*(1+K$131)</f>
        <v>5092.2400345135948</v>
      </c>
      <c r="L167" s="22">
        <f t="shared" si="62"/>
        <v>5396.033717281337</v>
      </c>
      <c r="M167" s="22">
        <f t="shared" si="62"/>
        <v>5717.9511729003334</v>
      </c>
      <c r="N167" s="22">
        <f t="shared" si="62"/>
        <v>6059.073632353965</v>
      </c>
      <c r="O167" s="54"/>
      <c r="P167" s="54"/>
      <c r="Q167" s="54"/>
      <c r="R167" s="54"/>
      <c r="S167" s="54"/>
      <c r="T167" s="54"/>
    </row>
    <row r="168" spans="2:20" x14ac:dyDescent="0.2">
      <c r="B168" t="s">
        <v>122</v>
      </c>
      <c r="E168" s="53">
        <v>1176</v>
      </c>
      <c r="F168" s="53">
        <v>1144</v>
      </c>
      <c r="G168" s="53">
        <v>243</v>
      </c>
      <c r="H168" s="53">
        <v>4</v>
      </c>
      <c r="I168" s="53">
        <v>5</v>
      </c>
      <c r="J168" s="22">
        <v>0</v>
      </c>
      <c r="K168" s="22">
        <v>0</v>
      </c>
      <c r="L168" s="22">
        <v>0</v>
      </c>
      <c r="M168" s="22">
        <v>0</v>
      </c>
      <c r="N168" s="22">
        <v>0</v>
      </c>
      <c r="O168" s="54"/>
      <c r="P168" s="54"/>
      <c r="Q168" s="54"/>
      <c r="R168" s="54"/>
      <c r="S168" s="54"/>
      <c r="T168" s="54"/>
    </row>
    <row r="169" spans="2:20" x14ac:dyDescent="0.2">
      <c r="B169" t="s">
        <v>48</v>
      </c>
      <c r="E169" s="30">
        <v>600</v>
      </c>
      <c r="F169" s="30">
        <v>117</v>
      </c>
      <c r="G169" s="30">
        <v>3450</v>
      </c>
      <c r="H169" s="30">
        <v>2500</v>
      </c>
      <c r="I169" s="30">
        <v>4586</v>
      </c>
      <c r="J169" s="20">
        <v>1250</v>
      </c>
      <c r="K169" s="20">
        <v>600</v>
      </c>
      <c r="L169" s="20">
        <v>1188</v>
      </c>
      <c r="M169" s="20">
        <v>500</v>
      </c>
      <c r="N169" s="20">
        <v>895</v>
      </c>
      <c r="O169" s="54"/>
      <c r="P169" s="54"/>
      <c r="Q169" s="54"/>
      <c r="R169" s="54"/>
      <c r="S169" s="54"/>
      <c r="T169" s="54"/>
    </row>
    <row r="170" spans="2:20" x14ac:dyDescent="0.2">
      <c r="B170" s="24" t="s">
        <v>113</v>
      </c>
      <c r="C170" s="24"/>
      <c r="D170" s="24"/>
      <c r="E170" s="56">
        <v>9191</v>
      </c>
      <c r="F170" s="56">
        <v>7919</v>
      </c>
      <c r="G170" s="56">
        <v>10636</v>
      </c>
      <c r="H170" s="56">
        <v>12670</v>
      </c>
      <c r="I170" s="56">
        <v>12589</v>
      </c>
      <c r="J170" s="22">
        <f>I170*(1+J$131)</f>
        <v>13340.036605981284</v>
      </c>
      <c r="K170" s="22">
        <f t="shared" ref="K170:N170" si="63">J170*(1+K$131)</f>
        <v>14135.878675742368</v>
      </c>
      <c r="L170" s="22">
        <f t="shared" si="63"/>
        <v>14979.199220916151</v>
      </c>
      <c r="M170" s="22">
        <f t="shared" si="63"/>
        <v>15872.830720097529</v>
      </c>
      <c r="N170" s="22">
        <f t="shared" si="63"/>
        <v>16819.774632349297</v>
      </c>
      <c r="O170" s="54"/>
      <c r="P170" s="54"/>
      <c r="Q170" s="54"/>
      <c r="R170" s="54"/>
      <c r="S170" s="54"/>
      <c r="T170" s="54"/>
    </row>
    <row r="171" spans="2:20" x14ac:dyDescent="0.2">
      <c r="B171" s="27" t="s">
        <v>49</v>
      </c>
      <c r="E171" s="28">
        <f>SUM(E166:E170)</f>
        <v>17421</v>
      </c>
      <c r="F171" s="28">
        <f t="shared" ref="F171:N171" si="64">SUM(F166:F170)</f>
        <v>16626</v>
      </c>
      <c r="G171" s="28">
        <f t="shared" si="64"/>
        <v>22310</v>
      </c>
      <c r="H171" s="28">
        <f t="shared" si="64"/>
        <v>24754</v>
      </c>
      <c r="I171" s="28">
        <f t="shared" si="64"/>
        <v>27462</v>
      </c>
      <c r="J171" s="141">
        <f t="shared" si="64"/>
        <v>25025.804945122778</v>
      </c>
      <c r="K171" s="141">
        <f t="shared" si="64"/>
        <v>25794.225776837615</v>
      </c>
      <c r="L171" s="141">
        <f t="shared" si="64"/>
        <v>27885.266988829218</v>
      </c>
      <c r="M171" s="141">
        <f t="shared" si="64"/>
        <v>28789.976877483321</v>
      </c>
      <c r="N171" s="141">
        <f t="shared" si="64"/>
        <v>30872.704911271077</v>
      </c>
      <c r="O171" s="28"/>
      <c r="P171" s="29"/>
    </row>
    <row r="172" spans="2:20" x14ac:dyDescent="0.2">
      <c r="B172" t="s">
        <v>50</v>
      </c>
      <c r="E172" s="53">
        <v>25037</v>
      </c>
      <c r="F172" s="53">
        <v>25098</v>
      </c>
      <c r="G172" s="53">
        <v>25308</v>
      </c>
      <c r="H172" s="53">
        <v>33897</v>
      </c>
      <c r="I172" s="53">
        <v>33510</v>
      </c>
      <c r="J172" s="14">
        <f>I172+I169-J169</f>
        <v>36846</v>
      </c>
      <c r="K172" s="14">
        <f t="shared" ref="K172:N172" si="65">J172+J169-K169</f>
        <v>37496</v>
      </c>
      <c r="L172" s="14">
        <f t="shared" si="65"/>
        <v>36908</v>
      </c>
      <c r="M172" s="14">
        <f t="shared" si="65"/>
        <v>37596</v>
      </c>
      <c r="N172" s="14">
        <f t="shared" si="65"/>
        <v>37201</v>
      </c>
      <c r="O172" s="15"/>
      <c r="P172" s="22"/>
    </row>
    <row r="173" spans="2:20" x14ac:dyDescent="0.2">
      <c r="B173" t="s">
        <v>187</v>
      </c>
      <c r="E173" s="57">
        <f>E255</f>
        <v>3046</v>
      </c>
      <c r="F173" s="57">
        <f t="shared" ref="F173:I173" si="66">F255</f>
        <v>1665</v>
      </c>
      <c r="G173" s="57">
        <f t="shared" si="66"/>
        <v>2044</v>
      </c>
      <c r="H173" s="57">
        <f t="shared" si="66"/>
        <v>3843</v>
      </c>
      <c r="I173" s="57">
        <f t="shared" si="66"/>
        <v>2667</v>
      </c>
      <c r="J173" s="48">
        <f ca="1">J255</f>
        <v>1341.9263236521265</v>
      </c>
      <c r="K173" s="48">
        <f t="shared" ref="K173:N173" ca="1" si="67">K255</f>
        <v>0</v>
      </c>
      <c r="L173" s="48">
        <f t="shared" ca="1" si="67"/>
        <v>0</v>
      </c>
      <c r="M173" s="48">
        <f t="shared" ca="1" si="67"/>
        <v>0</v>
      </c>
      <c r="N173" s="48">
        <f t="shared" ca="1" si="67"/>
        <v>0</v>
      </c>
      <c r="O173" s="15"/>
      <c r="P173" s="22"/>
    </row>
    <row r="174" spans="2:20" x14ac:dyDescent="0.2">
      <c r="B174" t="s">
        <v>51</v>
      </c>
      <c r="E174" s="53">
        <v>7860</v>
      </c>
      <c r="F174" s="53">
        <v>9592</v>
      </c>
      <c r="G174" s="53">
        <v>9203</v>
      </c>
      <c r="H174" s="53">
        <v>9559</v>
      </c>
      <c r="I174" s="53">
        <v>9376</v>
      </c>
      <c r="J174" s="22">
        <f>I174*(1+J$131)</f>
        <v>9935.3549303106302</v>
      </c>
      <c r="K174" s="22">
        <f t="shared" ref="K174:N174" si="68">J174*(1+K$131)</f>
        <v>10528.079947871987</v>
      </c>
      <c r="L174" s="22">
        <f t="shared" si="68"/>
        <v>11156.165850767324</v>
      </c>
      <c r="M174" s="22">
        <f t="shared" si="68"/>
        <v>11821.722204435177</v>
      </c>
      <c r="N174" s="22">
        <f t="shared" si="68"/>
        <v>12526.984427111527</v>
      </c>
      <c r="O174" s="15"/>
      <c r="P174" s="22"/>
    </row>
    <row r="175" spans="2:20" ht="16" thickBot="1" x14ac:dyDescent="0.25">
      <c r="B175" s="49" t="s">
        <v>52</v>
      </c>
      <c r="C175" s="50"/>
      <c r="D175" s="50"/>
      <c r="E175" s="51">
        <f>SUM(E171:E174)</f>
        <v>53364</v>
      </c>
      <c r="F175" s="51">
        <f t="shared" ref="F175:N175" si="69">SUM(F171:F174)</f>
        <v>52981</v>
      </c>
      <c r="G175" s="51">
        <f t="shared" si="69"/>
        <v>58865</v>
      </c>
      <c r="H175" s="51">
        <f t="shared" si="69"/>
        <v>72053</v>
      </c>
      <c r="I175" s="51">
        <f t="shared" si="69"/>
        <v>73015</v>
      </c>
      <c r="J175" s="51">
        <f t="shared" ca="1" si="69"/>
        <v>73149.086199085534</v>
      </c>
      <c r="K175" s="51">
        <f t="shared" ca="1" si="69"/>
        <v>73818.3057247096</v>
      </c>
      <c r="L175" s="51">
        <f t="shared" ca="1" si="69"/>
        <v>75949.432839596542</v>
      </c>
      <c r="M175" s="51">
        <f t="shared" ca="1" si="69"/>
        <v>78207.699081918501</v>
      </c>
      <c r="N175" s="51">
        <f t="shared" ca="1" si="69"/>
        <v>80600.68933838261</v>
      </c>
      <c r="O175" s="58"/>
      <c r="P175" s="59"/>
    </row>
    <row r="176" spans="2:20" ht="16" thickTop="1" x14ac:dyDescent="0.2"/>
    <row r="177" spans="1:16" x14ac:dyDescent="0.2">
      <c r="B177" s="44" t="s">
        <v>53</v>
      </c>
      <c r="C177" s="45"/>
      <c r="D177" s="45"/>
      <c r="E177" s="45"/>
      <c r="F177" s="45"/>
      <c r="G177" s="45"/>
      <c r="H177" s="45"/>
      <c r="I177" s="45"/>
      <c r="J177" s="45"/>
      <c r="K177" s="45"/>
      <c r="L177" s="45"/>
      <c r="M177" s="45"/>
      <c r="N177" s="45"/>
      <c r="O177" s="45"/>
      <c r="P177" s="45"/>
    </row>
    <row r="178" spans="1:16" x14ac:dyDescent="0.2">
      <c r="B178" t="s">
        <v>127</v>
      </c>
      <c r="E178" s="48">
        <f>E234</f>
        <v>26074</v>
      </c>
      <c r="F178" s="48">
        <f t="shared" ref="F178:N178" si="70">F234</f>
        <v>26956</v>
      </c>
      <c r="G178" s="48">
        <f t="shared" si="70"/>
        <v>27884</v>
      </c>
      <c r="H178" s="48">
        <f t="shared" si="70"/>
        <v>28179</v>
      </c>
      <c r="I178" s="48">
        <f t="shared" si="70"/>
        <v>28424</v>
      </c>
      <c r="J178" s="48">
        <f t="shared" si="70"/>
        <v>29034.2</v>
      </c>
      <c r="K178" s="48">
        <f t="shared" si="70"/>
        <v>29644.400000000001</v>
      </c>
      <c r="L178" s="48">
        <f t="shared" si="70"/>
        <v>30254.600000000002</v>
      </c>
      <c r="M178" s="48">
        <f t="shared" si="70"/>
        <v>30864.800000000003</v>
      </c>
      <c r="N178" s="48">
        <f t="shared" si="70"/>
        <v>31475.000000000004</v>
      </c>
      <c r="O178" s="43"/>
    </row>
    <row r="179" spans="1:16" x14ac:dyDescent="0.2">
      <c r="B179" t="s">
        <v>55</v>
      </c>
      <c r="E179" s="48">
        <f>E227</f>
        <v>34507</v>
      </c>
      <c r="F179" s="48">
        <f t="shared" ref="F179:N179" si="71">F227</f>
        <v>40172</v>
      </c>
      <c r="G179" s="48">
        <f t="shared" si="71"/>
        <v>43523</v>
      </c>
      <c r="H179" s="48">
        <f t="shared" si="71"/>
        <v>46230</v>
      </c>
      <c r="I179" s="48">
        <f t="shared" si="71"/>
        <v>58227</v>
      </c>
      <c r="J179" s="48">
        <f t="shared" ca="1" si="71"/>
        <v>59287.0589410783</v>
      </c>
      <c r="K179" s="48">
        <f t="shared" ca="1" si="71"/>
        <v>60420.825316913615</v>
      </c>
      <c r="L179" s="48">
        <f t="shared" ca="1" si="71"/>
        <v>61688.422902677266</v>
      </c>
      <c r="M179" s="48">
        <f t="shared" ca="1" si="71"/>
        <v>63015.960052312272</v>
      </c>
      <c r="N179" s="48">
        <f t="shared" ca="1" si="71"/>
        <v>64409.349182997787</v>
      </c>
      <c r="O179" s="43"/>
    </row>
    <row r="180" spans="1:16" x14ac:dyDescent="0.2">
      <c r="B180" t="s">
        <v>56</v>
      </c>
      <c r="E180" s="53">
        <v>-1265</v>
      </c>
      <c r="F180" s="53">
        <v>-1265</v>
      </c>
      <c r="G180" s="53">
        <v>-1265</v>
      </c>
      <c r="H180" s="53">
        <v>-1265</v>
      </c>
      <c r="I180" s="53">
        <v>-1265</v>
      </c>
      <c r="J180" s="43">
        <f>I180</f>
        <v>-1265</v>
      </c>
      <c r="K180" s="43">
        <f t="shared" ref="K180:N180" si="72">J180</f>
        <v>-1265</v>
      </c>
      <c r="L180" s="43">
        <f t="shared" si="72"/>
        <v>-1265</v>
      </c>
      <c r="M180" s="43">
        <f t="shared" si="72"/>
        <v>-1265</v>
      </c>
      <c r="N180" s="43">
        <f t="shared" si="72"/>
        <v>-1265</v>
      </c>
      <c r="O180" s="43"/>
    </row>
    <row r="181" spans="1:16" ht="16" thickBot="1" x14ac:dyDescent="0.25">
      <c r="B181" s="49" t="s">
        <v>57</v>
      </c>
      <c r="C181" s="50"/>
      <c r="D181" s="50"/>
      <c r="E181" s="51">
        <f>SUM(E178:E180)</f>
        <v>59316</v>
      </c>
      <c r="F181" s="51">
        <f t="shared" ref="F181:N181" si="73">SUM(F178:F180)</f>
        <v>65863</v>
      </c>
      <c r="G181" s="51">
        <f t="shared" si="73"/>
        <v>70142</v>
      </c>
      <c r="H181" s="51">
        <f t="shared" si="73"/>
        <v>73144</v>
      </c>
      <c r="I181" s="51">
        <f t="shared" si="73"/>
        <v>85386</v>
      </c>
      <c r="J181" s="51">
        <f t="shared" ca="1" si="73"/>
        <v>87056.258941078297</v>
      </c>
      <c r="K181" s="51">
        <f t="shared" ca="1" si="73"/>
        <v>88800.225316913624</v>
      </c>
      <c r="L181" s="51">
        <f t="shared" ca="1" si="73"/>
        <v>90678.022902677272</v>
      </c>
      <c r="M181" s="51">
        <f t="shared" ca="1" si="73"/>
        <v>92615.760052312282</v>
      </c>
      <c r="N181" s="51">
        <f t="shared" ca="1" si="73"/>
        <v>94619.349182997787</v>
      </c>
      <c r="O181" s="58"/>
      <c r="P181" s="59"/>
    </row>
    <row r="182" spans="1:16" ht="16" thickTop="1" x14ac:dyDescent="0.2">
      <c r="E182" s="43"/>
      <c r="F182" s="43"/>
      <c r="G182" s="43"/>
      <c r="H182" s="43"/>
      <c r="I182" s="43"/>
      <c r="K182" s="60"/>
    </row>
    <row r="183" spans="1:16" x14ac:dyDescent="0.2">
      <c r="B183" t="s">
        <v>58</v>
      </c>
      <c r="E183" s="61" t="str">
        <f t="shared" ref="E183:N183" si="74">IF(ABS(E163-(E175+E181))&lt;0.0001,"Y","N")</f>
        <v>Y</v>
      </c>
      <c r="F183" s="61" t="str">
        <f t="shared" si="74"/>
        <v>Y</v>
      </c>
      <c r="G183" s="61" t="str">
        <f t="shared" si="74"/>
        <v>Y</v>
      </c>
      <c r="H183" s="61" t="str">
        <f t="shared" si="74"/>
        <v>Y</v>
      </c>
      <c r="I183" s="61" t="str">
        <f t="shared" si="74"/>
        <v>Y</v>
      </c>
      <c r="J183" s="61" t="str">
        <f t="shared" ca="1" si="74"/>
        <v>Y</v>
      </c>
      <c r="K183" s="61" t="str">
        <f t="shared" ca="1" si="74"/>
        <v>Y</v>
      </c>
      <c r="L183" s="61" t="str">
        <f t="shared" ca="1" si="74"/>
        <v>Y</v>
      </c>
      <c r="M183" s="61" t="str">
        <f t="shared" ca="1" si="74"/>
        <v>Y</v>
      </c>
      <c r="N183" s="61" t="str">
        <f t="shared" ca="1" si="74"/>
        <v>Y</v>
      </c>
      <c r="O183" s="61"/>
      <c r="P183" s="61"/>
    </row>
    <row r="184" spans="1:16" x14ac:dyDescent="0.2">
      <c r="B184" t="s">
        <v>218</v>
      </c>
      <c r="E184" s="62">
        <f t="shared" ref="E184:N184" si="75">E163-E175-E181</f>
        <v>0</v>
      </c>
      <c r="F184" s="62">
        <f t="shared" si="75"/>
        <v>0</v>
      </c>
      <c r="G184" s="62">
        <f t="shared" si="75"/>
        <v>0</v>
      </c>
      <c r="H184" s="62">
        <f t="shared" si="75"/>
        <v>0</v>
      </c>
      <c r="I184" s="62">
        <f t="shared" si="75"/>
        <v>0</v>
      </c>
      <c r="J184" s="62">
        <f t="shared" ca="1" si="75"/>
        <v>0</v>
      </c>
      <c r="K184" s="62">
        <f t="shared" ca="1" si="75"/>
        <v>0</v>
      </c>
      <c r="L184" s="62">
        <f t="shared" ca="1" si="75"/>
        <v>0</v>
      </c>
      <c r="M184" s="62">
        <f t="shared" ca="1" si="75"/>
        <v>0</v>
      </c>
      <c r="N184" s="62">
        <f t="shared" ca="1" si="75"/>
        <v>0</v>
      </c>
      <c r="O184" s="61"/>
      <c r="P184" s="61"/>
    </row>
    <row r="185" spans="1:16" x14ac:dyDescent="0.2">
      <c r="E185" s="62"/>
      <c r="F185" s="62"/>
      <c r="G185" s="62"/>
      <c r="H185" s="62"/>
      <c r="I185" s="62"/>
      <c r="J185" s="62"/>
      <c r="K185" s="62"/>
      <c r="L185" s="62"/>
      <c r="M185" s="62"/>
      <c r="N185" s="62"/>
      <c r="O185" s="61"/>
      <c r="P185" s="61"/>
    </row>
    <row r="186" spans="1:16" x14ac:dyDescent="0.2">
      <c r="A186" t="s">
        <v>10</v>
      </c>
      <c r="B186" s="1" t="s">
        <v>59</v>
      </c>
      <c r="C186" s="2"/>
      <c r="D186" s="2"/>
      <c r="E186" s="3" t="s">
        <v>1</v>
      </c>
      <c r="F186" s="3" t="s">
        <v>2</v>
      </c>
      <c r="G186" s="3" t="s">
        <v>3</v>
      </c>
      <c r="H186" s="3" t="s">
        <v>4</v>
      </c>
      <c r="I186" s="3" t="s">
        <v>5</v>
      </c>
      <c r="J186" s="3" t="s">
        <v>12</v>
      </c>
      <c r="K186" s="3" t="s">
        <v>13</v>
      </c>
      <c r="L186" s="3" t="s">
        <v>14</v>
      </c>
      <c r="M186" s="3" t="s">
        <v>15</v>
      </c>
      <c r="N186" s="3" t="s">
        <v>16</v>
      </c>
      <c r="O186" s="3"/>
      <c r="P186" s="3"/>
    </row>
    <row r="187" spans="1:16" x14ac:dyDescent="0.2">
      <c r="B187" t="s">
        <v>60</v>
      </c>
      <c r="E187" s="63">
        <v>5560</v>
      </c>
      <c r="F187" s="64">
        <f>E219</f>
        <v>3433</v>
      </c>
      <c r="G187" s="64">
        <f t="shared" ref="G187:N187" si="76">F219</f>
        <v>2531</v>
      </c>
      <c r="H187" s="64">
        <f t="shared" si="76"/>
        <v>5606</v>
      </c>
      <c r="I187" s="64">
        <f t="shared" si="76"/>
        <v>6001</v>
      </c>
      <c r="J187" s="64">
        <f t="shared" si="76"/>
        <v>8400</v>
      </c>
      <c r="K187" s="64">
        <f t="shared" ca="1" si="76"/>
        <v>11539.94970640582</v>
      </c>
      <c r="L187" s="64">
        <f t="shared" ca="1" si="76"/>
        <v>8391.4456599873083</v>
      </c>
      <c r="M187" s="64">
        <f t="shared" ca="1" si="76"/>
        <v>6384.829364736248</v>
      </c>
      <c r="N187" s="64">
        <f t="shared" ca="1" si="76"/>
        <v>4097.8849524356374</v>
      </c>
      <c r="O187" s="64"/>
      <c r="P187" s="64"/>
    </row>
    <row r="188" spans="1:16" x14ac:dyDescent="0.2">
      <c r="E188" s="52"/>
      <c r="F188" s="43"/>
      <c r="G188" s="43"/>
      <c r="H188" s="43"/>
      <c r="I188" s="43"/>
      <c r="J188" s="43"/>
      <c r="K188" s="43"/>
      <c r="L188" s="43"/>
      <c r="M188" s="43"/>
      <c r="N188" s="43"/>
    </row>
    <row r="189" spans="1:16" x14ac:dyDescent="0.2">
      <c r="B189" s="44" t="s">
        <v>61</v>
      </c>
      <c r="C189" s="45"/>
      <c r="D189" s="45"/>
      <c r="E189" s="45"/>
      <c r="F189" s="45"/>
      <c r="G189" s="45"/>
      <c r="H189" s="45"/>
      <c r="I189" s="45"/>
      <c r="J189" s="45"/>
      <c r="K189" s="45"/>
      <c r="L189" s="45"/>
      <c r="M189" s="45"/>
      <c r="N189" s="45"/>
      <c r="O189" s="45"/>
      <c r="P189" s="45"/>
    </row>
    <row r="190" spans="1:16" x14ac:dyDescent="0.2">
      <c r="B190" t="s">
        <v>62</v>
      </c>
      <c r="E190" s="52">
        <f>E144</f>
        <v>9601</v>
      </c>
      <c r="F190" s="52">
        <f t="shared" ref="F190:N190" si="77">F144</f>
        <v>21053</v>
      </c>
      <c r="G190" s="52">
        <f t="shared" si="77"/>
        <v>21048</v>
      </c>
      <c r="H190" s="52">
        <f t="shared" si="77"/>
        <v>20899</v>
      </c>
      <c r="I190" s="52">
        <f t="shared" si="77"/>
        <v>19868</v>
      </c>
      <c r="J190" s="52">
        <f t="shared" ca="1" si="77"/>
        <v>21201.178821565973</v>
      </c>
      <c r="K190" s="52">
        <f t="shared" ca="1" si="77"/>
        <v>22675.327516706264</v>
      </c>
      <c r="L190" s="52">
        <f t="shared" ca="1" si="77"/>
        <v>25351.951715273022</v>
      </c>
      <c r="M190" s="52">
        <f t="shared" ca="1" si="77"/>
        <v>26550.742992700183</v>
      </c>
      <c r="N190" s="52">
        <f t="shared" ca="1" si="77"/>
        <v>27867.782613710227</v>
      </c>
      <c r="O190" s="52"/>
      <c r="P190" s="52"/>
    </row>
    <row r="191" spans="1:16" x14ac:dyDescent="0.2">
      <c r="B191" t="s">
        <v>63</v>
      </c>
      <c r="E191" s="48">
        <f>-E240</f>
        <v>5343</v>
      </c>
      <c r="F191" s="48">
        <f t="shared" ref="F191:N191" si="78">-F240</f>
        <v>6056</v>
      </c>
      <c r="G191" s="48">
        <f t="shared" si="78"/>
        <v>7979</v>
      </c>
      <c r="H191" s="48">
        <f t="shared" si="78"/>
        <v>4324</v>
      </c>
      <c r="I191" s="48">
        <f t="shared" si="78"/>
        <v>7649</v>
      </c>
      <c r="J191" s="48">
        <f t="shared" si="78"/>
        <v>7235.5063251677175</v>
      </c>
      <c r="K191" s="48">
        <f t="shared" si="78"/>
        <v>7667.163336289339</v>
      </c>
      <c r="L191" s="48">
        <f t="shared" si="78"/>
        <v>8124.5722114653563</v>
      </c>
      <c r="M191" s="48">
        <f t="shared" si="78"/>
        <v>8609.2692595826647</v>
      </c>
      <c r="N191" s="48">
        <f t="shared" si="78"/>
        <v>9122.8824428931712</v>
      </c>
      <c r="O191" s="52"/>
      <c r="P191" s="52"/>
    </row>
    <row r="192" spans="1:16" x14ac:dyDescent="0.2">
      <c r="B192" t="s">
        <v>64</v>
      </c>
      <c r="E192" s="48">
        <f>-E247</f>
        <v>94</v>
      </c>
      <c r="F192" s="48">
        <f t="shared" ref="F192:N192" si="79">-F247</f>
        <v>1320</v>
      </c>
      <c r="G192" s="48">
        <f t="shared" si="79"/>
        <v>1010</v>
      </c>
      <c r="H192" s="48">
        <f t="shared" si="79"/>
        <v>1801</v>
      </c>
      <c r="I192" s="48">
        <f t="shared" si="79"/>
        <v>1756</v>
      </c>
      <c r="J192" s="48">
        <f t="shared" si="79"/>
        <v>805.33286225448308</v>
      </c>
      <c r="K192" s="48">
        <f t="shared" si="79"/>
        <v>716.12226816548741</v>
      </c>
      <c r="L192" s="48">
        <f t="shared" si="79"/>
        <v>636.79396060759416</v>
      </c>
      <c r="M192" s="48">
        <f t="shared" si="79"/>
        <v>566.25323117671621</v>
      </c>
      <c r="N192" s="48">
        <f t="shared" si="79"/>
        <v>503.52663758326446</v>
      </c>
      <c r="O192" s="15"/>
      <c r="P192" s="22"/>
    </row>
    <row r="193" spans="2:16" x14ac:dyDescent="0.2">
      <c r="B193" t="s">
        <v>190</v>
      </c>
      <c r="E193" s="48">
        <f>E254</f>
        <v>1316</v>
      </c>
      <c r="F193" s="48">
        <f t="shared" ref="F193:N193" si="80">F254</f>
        <v>-1381</v>
      </c>
      <c r="G193" s="48">
        <f t="shared" si="80"/>
        <v>379</v>
      </c>
      <c r="H193" s="48">
        <f t="shared" si="80"/>
        <v>1799</v>
      </c>
      <c r="I193" s="48">
        <f t="shared" si="80"/>
        <v>-1176</v>
      </c>
      <c r="J193" s="48">
        <f t="shared" ca="1" si="80"/>
        <v>-1325.0736763478735</v>
      </c>
      <c r="K193" s="48">
        <f t="shared" ca="1" si="80"/>
        <v>-1341.9263236521265</v>
      </c>
      <c r="L193" s="48">
        <f t="shared" ca="1" si="80"/>
        <v>0</v>
      </c>
      <c r="M193" s="48">
        <f t="shared" ca="1" si="80"/>
        <v>0</v>
      </c>
      <c r="N193" s="48">
        <f t="shared" ca="1" si="80"/>
        <v>0</v>
      </c>
      <c r="O193" s="15"/>
      <c r="P193" s="22"/>
    </row>
    <row r="194" spans="2:16" x14ac:dyDescent="0.2">
      <c r="B194" t="s">
        <v>92</v>
      </c>
      <c r="D194" s="52"/>
      <c r="E194" s="48">
        <f>E233</f>
        <v>701</v>
      </c>
      <c r="F194" s="48">
        <f t="shared" ref="F194:N194" si="81">F233</f>
        <v>435</v>
      </c>
      <c r="G194" s="48">
        <f t="shared" si="81"/>
        <v>663</v>
      </c>
      <c r="H194" s="48">
        <f t="shared" si="81"/>
        <v>140</v>
      </c>
      <c r="I194" s="48">
        <f t="shared" si="81"/>
        <v>245</v>
      </c>
      <c r="J194" s="48">
        <f t="shared" si="81"/>
        <v>436.8</v>
      </c>
      <c r="K194" s="48">
        <f t="shared" si="81"/>
        <v>436.8</v>
      </c>
      <c r="L194" s="48">
        <f t="shared" si="81"/>
        <v>436.8</v>
      </c>
      <c r="M194" s="48">
        <f t="shared" si="81"/>
        <v>436.8</v>
      </c>
      <c r="N194" s="48">
        <f t="shared" si="81"/>
        <v>436.8</v>
      </c>
      <c r="O194" s="38"/>
      <c r="P194" s="53"/>
    </row>
    <row r="195" spans="2:16" x14ac:dyDescent="0.2">
      <c r="B195" s="52"/>
      <c r="D195" s="43"/>
      <c r="E195" s="22" t="s">
        <v>65</v>
      </c>
      <c r="F195" s="22"/>
      <c r="G195" s="22"/>
      <c r="H195" s="22"/>
      <c r="I195" s="22"/>
    </row>
    <row r="196" spans="2:16" x14ac:dyDescent="0.2">
      <c r="B196" t="s">
        <v>125</v>
      </c>
      <c r="E196" s="53">
        <v>-781</v>
      </c>
      <c r="F196" s="22">
        <f>E155-F155</f>
        <v>-1115</v>
      </c>
      <c r="G196" s="22">
        <f t="shared" ref="G196:N198" si="82">F155-G155</f>
        <v>-937</v>
      </c>
      <c r="H196" s="22">
        <f t="shared" si="82"/>
        <v>877</v>
      </c>
      <c r="I196" s="22">
        <f t="shared" si="82"/>
        <v>-2675</v>
      </c>
      <c r="J196" s="22">
        <f t="shared" si="82"/>
        <v>-564.18724146199202</v>
      </c>
      <c r="K196" s="22">
        <f t="shared" si="82"/>
        <v>-597.84561551597108</v>
      </c>
      <c r="L196" s="22">
        <f t="shared" si="82"/>
        <v>-633.5119863141208</v>
      </c>
      <c r="M196" s="22">
        <f t="shared" si="82"/>
        <v>-671.30614725222767</v>
      </c>
      <c r="N196" s="22">
        <f t="shared" si="82"/>
        <v>-711.35503837993383</v>
      </c>
      <c r="O196" s="15"/>
      <c r="P196" s="22"/>
    </row>
    <row r="197" spans="2:16" x14ac:dyDescent="0.2">
      <c r="B197" t="s">
        <v>66</v>
      </c>
      <c r="E197" s="53">
        <v>-1300</v>
      </c>
      <c r="F197" s="22">
        <f>E156-F156</f>
        <v>-270</v>
      </c>
      <c r="G197" s="22">
        <f t="shared" si="82"/>
        <v>-1491</v>
      </c>
      <c r="H197" s="22">
        <f t="shared" si="82"/>
        <v>317</v>
      </c>
      <c r="I197" s="22">
        <f t="shared" si="82"/>
        <v>-2349</v>
      </c>
      <c r="J197" s="22">
        <f t="shared" si="82"/>
        <v>218.97279610394253</v>
      </c>
      <c r="K197" s="22">
        <f t="shared" si="82"/>
        <v>-629.8128429951721</v>
      </c>
      <c r="L197" s="22">
        <f t="shared" si="82"/>
        <v>-667.38631984055064</v>
      </c>
      <c r="M197" s="22">
        <f t="shared" si="82"/>
        <v>-707.20136126809848</v>
      </c>
      <c r="N197" s="22">
        <f t="shared" si="82"/>
        <v>-749.39169490159657</v>
      </c>
      <c r="O197" s="15"/>
      <c r="P197" s="22"/>
    </row>
    <row r="198" spans="2:16" x14ac:dyDescent="0.2">
      <c r="B198" t="s">
        <v>67</v>
      </c>
      <c r="E198" s="53">
        <v>3509</v>
      </c>
      <c r="F198" s="22">
        <f>E157-F157</f>
        <v>-254</v>
      </c>
      <c r="G198" s="22">
        <f t="shared" si="82"/>
        <v>1449</v>
      </c>
      <c r="H198" s="22">
        <f t="shared" si="82"/>
        <v>-6432</v>
      </c>
      <c r="I198" s="22">
        <f t="shared" si="82"/>
        <v>-927</v>
      </c>
      <c r="J198" s="22">
        <f t="shared" si="82"/>
        <v>-541.21884895243602</v>
      </c>
      <c r="K198" s="22">
        <f t="shared" si="82"/>
        <v>-573.50697091687653</v>
      </c>
      <c r="L198" s="22">
        <f t="shared" si="82"/>
        <v>-607.72134290384929</v>
      </c>
      <c r="M198" s="22">
        <f t="shared" si="82"/>
        <v>-643.976881449953</v>
      </c>
      <c r="N198" s="22">
        <f t="shared" si="82"/>
        <v>-682.3953588011791</v>
      </c>
      <c r="O198" s="15"/>
      <c r="P198" s="22"/>
    </row>
    <row r="199" spans="2:16" x14ac:dyDescent="0.2">
      <c r="B199" t="s">
        <v>68</v>
      </c>
      <c r="E199" s="53">
        <v>191</v>
      </c>
      <c r="F199" s="48">
        <f>F166-E166</f>
        <v>896</v>
      </c>
      <c r="G199" s="48">
        <f t="shared" ref="G199:N200" si="83">G166-F166</f>
        <v>304</v>
      </c>
      <c r="H199" s="48">
        <f t="shared" si="83"/>
        <v>1453</v>
      </c>
      <c r="I199" s="48">
        <f t="shared" si="83"/>
        <v>166</v>
      </c>
      <c r="J199" s="48">
        <f t="shared" si="83"/>
        <v>-116.78142717236096</v>
      </c>
      <c r="K199" s="48">
        <f t="shared" si="83"/>
        <v>335.88849375401333</v>
      </c>
      <c r="L199" s="48">
        <f t="shared" si="83"/>
        <v>355.92698405007923</v>
      </c>
      <c r="M199" s="48">
        <f t="shared" si="83"/>
        <v>377.16093385372733</v>
      </c>
      <c r="N199" s="48">
        <f t="shared" si="83"/>
        <v>399.66166208235609</v>
      </c>
      <c r="O199" s="15"/>
      <c r="P199" s="22"/>
    </row>
    <row r="200" spans="2:16" x14ac:dyDescent="0.2">
      <c r="B200" t="s">
        <v>114</v>
      </c>
      <c r="E200" s="30">
        <v>-73</v>
      </c>
      <c r="F200" s="48">
        <f>F167-E167</f>
        <v>96</v>
      </c>
      <c r="G200" s="48">
        <f t="shared" si="83"/>
        <v>231</v>
      </c>
      <c r="H200" s="48">
        <f t="shared" si="83"/>
        <v>146</v>
      </c>
      <c r="I200" s="48">
        <f t="shared" si="83"/>
        <v>536</v>
      </c>
      <c r="J200" s="48">
        <f t="shared" si="83"/>
        <v>270.5497663138558</v>
      </c>
      <c r="K200" s="48">
        <f t="shared" si="83"/>
        <v>286.69026819973897</v>
      </c>
      <c r="L200" s="48">
        <f t="shared" si="83"/>
        <v>303.79368276774221</v>
      </c>
      <c r="M200" s="48">
        <f t="shared" si="83"/>
        <v>321.91745561899643</v>
      </c>
      <c r="N200" s="48">
        <f t="shared" si="83"/>
        <v>341.12245945363156</v>
      </c>
      <c r="O200" s="15"/>
      <c r="P200" s="22"/>
    </row>
    <row r="201" spans="2:16" x14ac:dyDescent="0.2">
      <c r="B201" s="24" t="s">
        <v>69</v>
      </c>
      <c r="C201" s="24"/>
      <c r="D201" s="24"/>
      <c r="E201" s="55">
        <v>3509</v>
      </c>
      <c r="F201" s="65">
        <f>F170-E170</f>
        <v>-1272</v>
      </c>
      <c r="G201" s="65">
        <f t="shared" ref="G201:N201" si="84">G170-F170</f>
        <v>2717</v>
      </c>
      <c r="H201" s="65">
        <f t="shared" si="84"/>
        <v>2034</v>
      </c>
      <c r="I201" s="65">
        <f t="shared" si="84"/>
        <v>-81</v>
      </c>
      <c r="J201" s="65">
        <f t="shared" si="84"/>
        <v>751.03660598128408</v>
      </c>
      <c r="K201" s="65">
        <f t="shared" si="84"/>
        <v>795.84206976108362</v>
      </c>
      <c r="L201" s="65">
        <f t="shared" si="84"/>
        <v>843.3205451737831</v>
      </c>
      <c r="M201" s="65">
        <f t="shared" si="84"/>
        <v>893.63149918137788</v>
      </c>
      <c r="N201" s="65">
        <f t="shared" si="84"/>
        <v>946.94391225176878</v>
      </c>
      <c r="O201" s="15"/>
      <c r="P201" s="22"/>
    </row>
    <row r="202" spans="2:16" x14ac:dyDescent="0.2">
      <c r="B202" s="27" t="s">
        <v>70</v>
      </c>
      <c r="C202" s="27"/>
      <c r="D202" s="27"/>
      <c r="E202" s="66">
        <f>SUM(E190:E201)</f>
        <v>22110</v>
      </c>
      <c r="F202" s="66">
        <f t="shared" ref="F202:N202" si="85">SUM(F190:F201)</f>
        <v>25564</v>
      </c>
      <c r="G202" s="66">
        <f t="shared" si="85"/>
        <v>33352</v>
      </c>
      <c r="H202" s="66">
        <f t="shared" si="85"/>
        <v>27358</v>
      </c>
      <c r="I202" s="66">
        <f t="shared" si="85"/>
        <v>23012</v>
      </c>
      <c r="J202" s="66">
        <f t="shared" ca="1" si="85"/>
        <v>28372.11598345259</v>
      </c>
      <c r="K202" s="66">
        <f t="shared" ca="1" si="85"/>
        <v>29770.742199795779</v>
      </c>
      <c r="L202" s="66">
        <f t="shared" ca="1" si="85"/>
        <v>34144.539450279059</v>
      </c>
      <c r="M202" s="66">
        <f t="shared" ca="1" si="85"/>
        <v>35733.290982143393</v>
      </c>
      <c r="N202" s="66">
        <f t="shared" ca="1" si="85"/>
        <v>37475.577635891721</v>
      </c>
      <c r="O202" s="66"/>
      <c r="P202" s="66"/>
    </row>
    <row r="204" spans="2:16" x14ac:dyDescent="0.2">
      <c r="B204" s="44" t="s">
        <v>71</v>
      </c>
      <c r="C204" s="45"/>
      <c r="D204" s="45"/>
      <c r="E204" s="45"/>
      <c r="F204" s="45"/>
      <c r="G204" s="45"/>
      <c r="H204" s="45"/>
      <c r="I204" s="45"/>
      <c r="J204" s="45"/>
      <c r="K204" s="45"/>
      <c r="L204" s="45"/>
      <c r="M204" s="45"/>
      <c r="N204" s="45"/>
      <c r="O204" s="45"/>
      <c r="P204" s="45"/>
    </row>
    <row r="205" spans="2:16" x14ac:dyDescent="0.2">
      <c r="B205" t="s">
        <v>72</v>
      </c>
      <c r="E205" s="48">
        <f>-E239</f>
        <v>-10281</v>
      </c>
      <c r="F205" s="48">
        <f t="shared" ref="F205:N205" si="86">-F239</f>
        <v>-13923</v>
      </c>
      <c r="G205" s="48">
        <f t="shared" si="86"/>
        <v>-14389</v>
      </c>
      <c r="H205" s="48">
        <f t="shared" si="86"/>
        <v>-5522</v>
      </c>
      <c r="I205" s="48">
        <f t="shared" si="86"/>
        <v>-14310</v>
      </c>
      <c r="J205" s="48">
        <f t="shared" si="86"/>
        <v>-5030.7170020613412</v>
      </c>
      <c r="K205" s="48">
        <f t="shared" si="86"/>
        <v>-11308.710135491565</v>
      </c>
      <c r="L205" s="48">
        <f t="shared" si="86"/>
        <v>-11983.367000864957</v>
      </c>
      <c r="M205" s="48">
        <f t="shared" si="86"/>
        <v>-12698.272655051769</v>
      </c>
      <c r="N205" s="48">
        <f t="shared" si="86"/>
        <v>-13455.828266829922</v>
      </c>
      <c r="O205" s="15"/>
      <c r="P205" s="22"/>
    </row>
    <row r="206" spans="2:16" x14ac:dyDescent="0.2">
      <c r="B206" s="24" t="s">
        <v>73</v>
      </c>
      <c r="C206" s="24"/>
      <c r="D206" s="24"/>
      <c r="E206" s="55">
        <v>-5481</v>
      </c>
      <c r="F206" s="65">
        <f t="shared" ref="F206:N206" si="87">E160+E162-F160-F162-F246</f>
        <v>1120</v>
      </c>
      <c r="G206" s="65">
        <f t="shared" si="87"/>
        <v>-709</v>
      </c>
      <c r="H206" s="65">
        <f t="shared" si="87"/>
        <v>-11160</v>
      </c>
      <c r="I206" s="65">
        <f t="shared" si="87"/>
        <v>51</v>
      </c>
      <c r="J206" s="65">
        <f t="shared" si="87"/>
        <v>-788.08432480838565</v>
      </c>
      <c r="K206" s="65">
        <f t="shared" si="87"/>
        <v>-835.09998741313393</v>
      </c>
      <c r="L206" s="65">
        <f t="shared" si="87"/>
        <v>-884.92051805112715</v>
      </c>
      <c r="M206" s="65">
        <f t="shared" si="87"/>
        <v>-937.7132499949148</v>
      </c>
      <c r="N206" s="65">
        <f t="shared" si="87"/>
        <v>-993.65549931256464</v>
      </c>
      <c r="O206" s="31"/>
    </row>
    <row r="207" spans="2:16" x14ac:dyDescent="0.2">
      <c r="B207" s="27" t="s">
        <v>74</v>
      </c>
      <c r="C207" s="27"/>
      <c r="D207" s="27"/>
      <c r="E207" s="29">
        <f>SUM(E205:E206)</f>
        <v>-15762</v>
      </c>
      <c r="F207" s="29">
        <f t="shared" ref="F207:N207" si="88">SUM(F205:F206)</f>
        <v>-12803</v>
      </c>
      <c r="G207" s="29">
        <f t="shared" si="88"/>
        <v>-15098</v>
      </c>
      <c r="H207" s="29">
        <f t="shared" si="88"/>
        <v>-16682</v>
      </c>
      <c r="I207" s="29">
        <f t="shared" si="88"/>
        <v>-14259</v>
      </c>
      <c r="J207" s="29">
        <f t="shared" si="88"/>
        <v>-5818.8013268697268</v>
      </c>
      <c r="K207" s="29">
        <f t="shared" si="88"/>
        <v>-12143.810122904699</v>
      </c>
      <c r="L207" s="29">
        <f t="shared" si="88"/>
        <v>-12868.287518916084</v>
      </c>
      <c r="M207" s="29">
        <f t="shared" si="88"/>
        <v>-13635.985905046684</v>
      </c>
      <c r="N207" s="29">
        <f t="shared" si="88"/>
        <v>-14449.483766142486</v>
      </c>
      <c r="O207" s="28"/>
      <c r="P207" s="29"/>
    </row>
    <row r="209" spans="1:16" x14ac:dyDescent="0.2">
      <c r="B209" s="44" t="s">
        <v>75</v>
      </c>
      <c r="C209" s="45"/>
      <c r="D209" s="45"/>
      <c r="E209" s="45"/>
      <c r="F209" s="45"/>
      <c r="G209" s="45"/>
      <c r="H209" s="45"/>
      <c r="I209" s="45"/>
      <c r="J209" s="45"/>
      <c r="K209" s="45"/>
      <c r="L209" s="45"/>
      <c r="M209" s="45"/>
      <c r="N209" s="45"/>
      <c r="O209" s="45"/>
      <c r="P209" s="45"/>
    </row>
    <row r="210" spans="1:16" x14ac:dyDescent="0.2">
      <c r="B210" t="s">
        <v>76</v>
      </c>
      <c r="E210" s="53">
        <v>0</v>
      </c>
      <c r="F210" s="48">
        <f>F168-E168</f>
        <v>-32</v>
      </c>
      <c r="G210" s="48">
        <f t="shared" ref="G210:N210" si="89">G168-F168</f>
        <v>-901</v>
      </c>
      <c r="H210" s="48">
        <f t="shared" si="89"/>
        <v>-239</v>
      </c>
      <c r="I210" s="48">
        <f t="shared" si="89"/>
        <v>1</v>
      </c>
      <c r="J210" s="48">
        <f t="shared" si="89"/>
        <v>-5</v>
      </c>
      <c r="K210" s="48">
        <f t="shared" si="89"/>
        <v>0</v>
      </c>
      <c r="L210" s="48">
        <f t="shared" si="89"/>
        <v>0</v>
      </c>
      <c r="M210" s="48">
        <f t="shared" si="89"/>
        <v>0</v>
      </c>
      <c r="N210" s="48">
        <f t="shared" si="89"/>
        <v>0</v>
      </c>
      <c r="O210" s="15"/>
    </row>
    <row r="211" spans="1:16" x14ac:dyDescent="0.2">
      <c r="B211" t="s">
        <v>77</v>
      </c>
      <c r="E211" s="53">
        <v>0</v>
      </c>
      <c r="F211" s="48">
        <f>F169+F172-E172-E169</f>
        <v>-422</v>
      </c>
      <c r="G211" s="48">
        <f t="shared" ref="G211:N211" si="90">G169+G172-F172-F169</f>
        <v>3543</v>
      </c>
      <c r="H211" s="48">
        <f t="shared" si="90"/>
        <v>7639</v>
      </c>
      <c r="I211" s="48">
        <f t="shared" si="90"/>
        <v>1699</v>
      </c>
      <c r="J211" s="48">
        <f t="shared" si="90"/>
        <v>0</v>
      </c>
      <c r="K211" s="48">
        <f t="shared" si="90"/>
        <v>0</v>
      </c>
      <c r="L211" s="48">
        <f t="shared" si="90"/>
        <v>0</v>
      </c>
      <c r="M211" s="48">
        <f t="shared" si="90"/>
        <v>0</v>
      </c>
      <c r="N211" s="48">
        <f t="shared" si="90"/>
        <v>0</v>
      </c>
      <c r="O211" s="15"/>
    </row>
    <row r="212" spans="1:16" x14ac:dyDescent="0.2">
      <c r="B212" t="s">
        <v>78</v>
      </c>
      <c r="E212" s="53">
        <v>-210</v>
      </c>
      <c r="F212" s="48">
        <f>F174-E174</f>
        <v>1732</v>
      </c>
      <c r="G212" s="48">
        <f t="shared" ref="G212:N212" si="91">G174-F174</f>
        <v>-389</v>
      </c>
      <c r="H212" s="48">
        <f t="shared" si="91"/>
        <v>356</v>
      </c>
      <c r="I212" s="48">
        <f t="shared" si="91"/>
        <v>-183</v>
      </c>
      <c r="J212" s="48">
        <f t="shared" si="91"/>
        <v>559.35493031063015</v>
      </c>
      <c r="K212" s="48">
        <f t="shared" si="91"/>
        <v>592.72501756135716</v>
      </c>
      <c r="L212" s="48">
        <f t="shared" si="91"/>
        <v>628.0859028953364</v>
      </c>
      <c r="M212" s="48">
        <f t="shared" si="91"/>
        <v>665.55635366785282</v>
      </c>
      <c r="N212" s="48">
        <f t="shared" si="91"/>
        <v>705.26222267635058</v>
      </c>
      <c r="O212" s="15"/>
    </row>
    <row r="213" spans="1:16" x14ac:dyDescent="0.2">
      <c r="B213" t="s">
        <v>79</v>
      </c>
      <c r="E213" s="48">
        <f>E225</f>
        <v>-5072</v>
      </c>
      <c r="F213" s="48">
        <f t="shared" ref="F213:N213" si="92">F225</f>
        <v>-5541</v>
      </c>
      <c r="G213" s="48">
        <f t="shared" si="92"/>
        <v>-5578</v>
      </c>
      <c r="H213" s="48">
        <f t="shared" si="92"/>
        <v>-5568</v>
      </c>
      <c r="I213" s="48">
        <f t="shared" si="92"/>
        <v>-5644</v>
      </c>
      <c r="J213" s="48">
        <f t="shared" ca="1" si="92"/>
        <v>-6813.9894458406188</v>
      </c>
      <c r="K213" s="48">
        <f t="shared" ca="1" si="92"/>
        <v>-7287.7760090702068</v>
      </c>
      <c r="L213" s="48">
        <f t="shared" ca="1" si="92"/>
        <v>-8148.0342613596122</v>
      </c>
      <c r="M213" s="48">
        <f t="shared" ca="1" si="92"/>
        <v>-8533.3218522479729</v>
      </c>
      <c r="N213" s="48">
        <f t="shared" ca="1" si="92"/>
        <v>-8956.6140735365188</v>
      </c>
      <c r="O213" s="15"/>
    </row>
    <row r="214" spans="1:16" x14ac:dyDescent="0.2">
      <c r="B214" t="s">
        <v>80</v>
      </c>
      <c r="E214" s="48">
        <f>E232</f>
        <v>0</v>
      </c>
      <c r="F214" s="48">
        <f t="shared" ref="F214:N214" si="93">F232</f>
        <v>447</v>
      </c>
      <c r="G214" s="48">
        <f t="shared" si="93"/>
        <v>265</v>
      </c>
      <c r="H214" s="48">
        <f t="shared" si="93"/>
        <v>155</v>
      </c>
      <c r="I214" s="48">
        <f t="shared" si="93"/>
        <v>0</v>
      </c>
      <c r="J214" s="48">
        <f t="shared" si="93"/>
        <v>173.4</v>
      </c>
      <c r="K214" s="48">
        <f t="shared" si="93"/>
        <v>173.4</v>
      </c>
      <c r="L214" s="48">
        <f t="shared" si="93"/>
        <v>173.4</v>
      </c>
      <c r="M214" s="48">
        <f t="shared" si="93"/>
        <v>173.4</v>
      </c>
      <c r="N214" s="48">
        <f t="shared" si="93"/>
        <v>173.4</v>
      </c>
      <c r="O214" s="15"/>
    </row>
    <row r="215" spans="1:16" x14ac:dyDescent="0.2">
      <c r="B215" s="24" t="s">
        <v>81</v>
      </c>
      <c r="C215" s="24"/>
      <c r="D215" s="24"/>
      <c r="E215" s="65">
        <f>E226</f>
        <v>-3193</v>
      </c>
      <c r="F215" s="65">
        <f t="shared" ref="F215:N215" si="94">F226</f>
        <v>-9847</v>
      </c>
      <c r="G215" s="65">
        <f t="shared" si="94"/>
        <v>-12119</v>
      </c>
      <c r="H215" s="65">
        <f t="shared" si="94"/>
        <v>-12624</v>
      </c>
      <c r="I215" s="65">
        <f t="shared" si="94"/>
        <v>-2227</v>
      </c>
      <c r="J215" s="65">
        <f t="shared" ca="1" si="94"/>
        <v>-13327.130434647055</v>
      </c>
      <c r="K215" s="65">
        <f t="shared" ca="1" si="94"/>
        <v>-14253.785131800743</v>
      </c>
      <c r="L215" s="65">
        <f t="shared" ca="1" si="94"/>
        <v>-15936.31986814976</v>
      </c>
      <c r="M215" s="65">
        <f t="shared" ca="1" si="94"/>
        <v>-16689.883990817201</v>
      </c>
      <c r="N215" s="65">
        <f t="shared" ca="1" si="94"/>
        <v>-17517.779409488197</v>
      </c>
      <c r="O215" s="31"/>
    </row>
    <row r="216" spans="1:16" x14ac:dyDescent="0.2">
      <c r="B216" s="27" t="s">
        <v>82</v>
      </c>
      <c r="C216" s="27"/>
      <c r="D216" s="27"/>
      <c r="E216" s="29">
        <f>SUM(E210:E215)</f>
        <v>-8475</v>
      </c>
      <c r="F216" s="29">
        <f t="shared" ref="F216:N216" si="95">SUM(F210:F215)</f>
        <v>-13663</v>
      </c>
      <c r="G216" s="29">
        <f t="shared" si="95"/>
        <v>-15179</v>
      </c>
      <c r="H216" s="29">
        <f t="shared" si="95"/>
        <v>-10281</v>
      </c>
      <c r="I216" s="29">
        <f t="shared" si="95"/>
        <v>-6354</v>
      </c>
      <c r="J216" s="29">
        <f t="shared" ca="1" si="95"/>
        <v>-19413.364950177045</v>
      </c>
      <c r="K216" s="29">
        <f t="shared" ca="1" si="95"/>
        <v>-20775.436123309591</v>
      </c>
      <c r="L216" s="29">
        <f t="shared" ca="1" si="95"/>
        <v>-23282.868226614035</v>
      </c>
      <c r="M216" s="29">
        <f t="shared" ca="1" si="95"/>
        <v>-24384.24948939732</v>
      </c>
      <c r="N216" s="29">
        <f t="shared" ca="1" si="95"/>
        <v>-25595.731260348366</v>
      </c>
      <c r="O216" s="28"/>
      <c r="P216" s="29"/>
    </row>
    <row r="218" spans="1:16" x14ac:dyDescent="0.2">
      <c r="B218" s="67" t="s">
        <v>83</v>
      </c>
      <c r="C218" s="67"/>
      <c r="D218" s="67"/>
      <c r="E218" s="68">
        <f>E202+E207+E216</f>
        <v>-2127</v>
      </c>
      <c r="F218" s="68">
        <f t="shared" ref="F218:N218" si="96">F202+F207+F216</f>
        <v>-902</v>
      </c>
      <c r="G218" s="68">
        <f t="shared" si="96"/>
        <v>3075</v>
      </c>
      <c r="H218" s="68">
        <f t="shared" si="96"/>
        <v>395</v>
      </c>
      <c r="I218" s="68">
        <f t="shared" si="96"/>
        <v>2399</v>
      </c>
      <c r="J218" s="68">
        <f t="shared" ca="1" si="96"/>
        <v>3139.9497064058196</v>
      </c>
      <c r="K218" s="68">
        <f t="shared" ca="1" si="96"/>
        <v>-3148.5040464185113</v>
      </c>
      <c r="L218" s="68">
        <f t="shared" ca="1" si="96"/>
        <v>-2006.6162952510604</v>
      </c>
      <c r="M218" s="68">
        <f t="shared" ca="1" si="96"/>
        <v>-2286.9444123006106</v>
      </c>
      <c r="N218" s="68">
        <f t="shared" ca="1" si="96"/>
        <v>-2569.6373905991313</v>
      </c>
      <c r="O218" s="66"/>
      <c r="P218" s="66"/>
    </row>
    <row r="219" spans="1:16" ht="16" thickBot="1" x14ac:dyDescent="0.25">
      <c r="B219" s="49" t="s">
        <v>84</v>
      </c>
      <c r="C219" s="49"/>
      <c r="D219" s="49"/>
      <c r="E219" s="69">
        <f>E218+E187</f>
        <v>3433</v>
      </c>
      <c r="F219" s="69">
        <f t="shared" ref="F219:N219" si="97">F218+F187</f>
        <v>2531</v>
      </c>
      <c r="G219" s="69">
        <f t="shared" si="97"/>
        <v>5606</v>
      </c>
      <c r="H219" s="69">
        <f t="shared" si="97"/>
        <v>6001</v>
      </c>
      <c r="I219" s="69">
        <f t="shared" si="97"/>
        <v>8400</v>
      </c>
      <c r="J219" s="69">
        <f t="shared" ca="1" si="97"/>
        <v>11539.94970640582</v>
      </c>
      <c r="K219" s="69">
        <f t="shared" ca="1" si="97"/>
        <v>8391.4456599873083</v>
      </c>
      <c r="L219" s="69">
        <f t="shared" ca="1" si="97"/>
        <v>6384.829364736248</v>
      </c>
      <c r="M219" s="69">
        <f t="shared" ca="1" si="97"/>
        <v>4097.8849524356374</v>
      </c>
      <c r="N219" s="69">
        <f t="shared" ca="1" si="97"/>
        <v>1528.2475618365061</v>
      </c>
      <c r="O219" s="70"/>
      <c r="P219" s="70"/>
    </row>
    <row r="220" spans="1:16" ht="16" thickTop="1" x14ac:dyDescent="0.2">
      <c r="G220" s="43"/>
      <c r="H220" s="43"/>
      <c r="I220" s="43"/>
      <c r="J220" s="43"/>
    </row>
    <row r="221" spans="1:16" x14ac:dyDescent="0.2">
      <c r="A221" t="s">
        <v>10</v>
      </c>
      <c r="B221" s="1" t="s">
        <v>55</v>
      </c>
      <c r="C221" s="2"/>
      <c r="D221" s="2"/>
      <c r="E221" s="3" t="s">
        <v>1</v>
      </c>
      <c r="F221" s="3" t="s">
        <v>2</v>
      </c>
      <c r="G221" s="3" t="s">
        <v>3</v>
      </c>
      <c r="H221" s="3" t="s">
        <v>4</v>
      </c>
      <c r="I221" s="3" t="s">
        <v>5</v>
      </c>
      <c r="J221" s="3" t="s">
        <v>12</v>
      </c>
      <c r="K221" s="3" t="s">
        <v>13</v>
      </c>
      <c r="L221" s="3" t="s">
        <v>14</v>
      </c>
      <c r="M221" s="3" t="s">
        <v>15</v>
      </c>
      <c r="N221" s="3" t="s">
        <v>16</v>
      </c>
      <c r="O221" s="3"/>
      <c r="P221" s="3"/>
    </row>
    <row r="223" spans="1:16" x14ac:dyDescent="0.2">
      <c r="B223" s="27" t="s">
        <v>85</v>
      </c>
      <c r="C223" s="27"/>
      <c r="D223" s="27"/>
      <c r="E223" s="71">
        <v>33171</v>
      </c>
      <c r="F223" s="66">
        <f>E227</f>
        <v>34507</v>
      </c>
      <c r="G223" s="66">
        <f t="shared" ref="G223:N223" si="98">F227</f>
        <v>40172</v>
      </c>
      <c r="H223" s="66">
        <f t="shared" si="98"/>
        <v>43523</v>
      </c>
      <c r="I223" s="66">
        <f t="shared" si="98"/>
        <v>46230</v>
      </c>
      <c r="J223" s="66">
        <f t="shared" si="98"/>
        <v>58227</v>
      </c>
      <c r="K223" s="66">
        <f t="shared" ca="1" si="98"/>
        <v>59287.0589410783</v>
      </c>
      <c r="L223" s="66">
        <f t="shared" ca="1" si="98"/>
        <v>60420.825316913615</v>
      </c>
      <c r="M223" s="66">
        <f t="shared" ca="1" si="98"/>
        <v>61688.422902677266</v>
      </c>
      <c r="N223" s="66">
        <f t="shared" ca="1" si="98"/>
        <v>63015.960052312272</v>
      </c>
    </row>
    <row r="224" spans="1:16" x14ac:dyDescent="0.2">
      <c r="B224" t="s">
        <v>62</v>
      </c>
      <c r="E224" s="22">
        <f>E144</f>
        <v>9601</v>
      </c>
      <c r="F224" s="22">
        <f t="shared" ref="F224:N224" si="99">F144</f>
        <v>21053</v>
      </c>
      <c r="G224" s="22">
        <f t="shared" si="99"/>
        <v>21048</v>
      </c>
      <c r="H224" s="22">
        <f t="shared" si="99"/>
        <v>20899</v>
      </c>
      <c r="I224" s="22">
        <f t="shared" si="99"/>
        <v>19868</v>
      </c>
      <c r="J224" s="22">
        <f t="shared" ca="1" si="99"/>
        <v>21201.178821565973</v>
      </c>
      <c r="K224" s="22">
        <f t="shared" ca="1" si="99"/>
        <v>22675.327516706264</v>
      </c>
      <c r="L224" s="22">
        <f t="shared" ca="1" si="99"/>
        <v>25351.951715273022</v>
      </c>
      <c r="M224" s="22">
        <f t="shared" ca="1" si="99"/>
        <v>26550.742992700183</v>
      </c>
      <c r="N224" s="22">
        <f t="shared" ca="1" si="99"/>
        <v>27867.782613710227</v>
      </c>
    </row>
    <row r="225" spans="1:16" x14ac:dyDescent="0.2">
      <c r="B225" t="s">
        <v>86</v>
      </c>
      <c r="E225" s="142">
        <v>-5072</v>
      </c>
      <c r="F225" s="142">
        <v>-5541</v>
      </c>
      <c r="G225" s="142">
        <v>-5578</v>
      </c>
      <c r="H225" s="142">
        <v>-5568</v>
      </c>
      <c r="I225" s="142">
        <v>-5644</v>
      </c>
      <c r="J225" s="16">
        <f ca="1">J224*$J$122</f>
        <v>-6813.9894458406188</v>
      </c>
      <c r="K225" s="16">
        <f t="shared" ref="K225:N225" ca="1" si="100">K224*$J$122</f>
        <v>-7287.7760090702068</v>
      </c>
      <c r="L225" s="16">
        <f t="shared" ca="1" si="100"/>
        <v>-8148.0342613596122</v>
      </c>
      <c r="M225" s="16">
        <f t="shared" ca="1" si="100"/>
        <v>-8533.3218522479729</v>
      </c>
      <c r="N225" s="16">
        <f t="shared" ca="1" si="100"/>
        <v>-8956.6140735365188</v>
      </c>
    </row>
    <row r="226" spans="1:16" x14ac:dyDescent="0.2">
      <c r="B226" s="24" t="s">
        <v>115</v>
      </c>
      <c r="C226" s="24"/>
      <c r="D226" s="24"/>
      <c r="E226" s="72">
        <v>-3193</v>
      </c>
      <c r="F226" s="72">
        <v>-9847</v>
      </c>
      <c r="G226" s="72">
        <v>-12119</v>
      </c>
      <c r="H226" s="72">
        <v>-12624</v>
      </c>
      <c r="I226" s="72">
        <v>-2227</v>
      </c>
      <c r="J226" s="73">
        <f ca="1">J224*$J$123</f>
        <v>-13327.130434647055</v>
      </c>
      <c r="K226" s="73">
        <f t="shared" ref="K226:N226" ca="1" si="101">K224*$J$123</f>
        <v>-14253.785131800743</v>
      </c>
      <c r="L226" s="73">
        <f t="shared" ca="1" si="101"/>
        <v>-15936.31986814976</v>
      </c>
      <c r="M226" s="73">
        <f t="shared" ca="1" si="101"/>
        <v>-16689.883990817201</v>
      </c>
      <c r="N226" s="73">
        <f t="shared" ca="1" si="101"/>
        <v>-17517.779409488197</v>
      </c>
    </row>
    <row r="227" spans="1:16" x14ac:dyDescent="0.2">
      <c r="B227" s="27" t="s">
        <v>87</v>
      </c>
      <c r="C227" s="27"/>
      <c r="D227" s="27"/>
      <c r="E227" s="66">
        <f>SUM(E223:E226)</f>
        <v>34507</v>
      </c>
      <c r="F227" s="66">
        <f t="shared" ref="F227:N227" si="102">SUM(F223:F226)</f>
        <v>40172</v>
      </c>
      <c r="G227" s="66">
        <f t="shared" si="102"/>
        <v>43523</v>
      </c>
      <c r="H227" s="66">
        <f t="shared" si="102"/>
        <v>46230</v>
      </c>
      <c r="I227" s="66">
        <f t="shared" si="102"/>
        <v>58227</v>
      </c>
      <c r="J227" s="66">
        <f t="shared" ca="1" si="102"/>
        <v>59287.0589410783</v>
      </c>
      <c r="K227" s="66">
        <f t="shared" ca="1" si="102"/>
        <v>60420.825316913615</v>
      </c>
      <c r="L227" s="66">
        <f t="shared" ca="1" si="102"/>
        <v>61688.422902677266</v>
      </c>
      <c r="M227" s="66">
        <f t="shared" ca="1" si="102"/>
        <v>63015.960052312272</v>
      </c>
      <c r="N227" s="66">
        <f t="shared" ca="1" si="102"/>
        <v>64409.349182997787</v>
      </c>
    </row>
    <row r="228" spans="1:16" x14ac:dyDescent="0.2">
      <c r="H228" s="43"/>
      <c r="I228" s="43"/>
    </row>
    <row r="229" spans="1:16" x14ac:dyDescent="0.2">
      <c r="A229" t="s">
        <v>10</v>
      </c>
      <c r="B229" s="1" t="s">
        <v>127</v>
      </c>
      <c r="C229" s="2"/>
      <c r="D229" s="2"/>
      <c r="E229" s="3" t="s">
        <v>1</v>
      </c>
      <c r="F229" s="3" t="s">
        <v>2</v>
      </c>
      <c r="G229" s="3" t="s">
        <v>3</v>
      </c>
      <c r="H229" s="3" t="s">
        <v>4</v>
      </c>
      <c r="I229" s="3" t="s">
        <v>5</v>
      </c>
      <c r="J229" s="3" t="s">
        <v>12</v>
      </c>
      <c r="K229" s="3" t="s">
        <v>13</v>
      </c>
      <c r="L229" s="3" t="s">
        <v>14</v>
      </c>
      <c r="M229" s="3" t="s">
        <v>15</v>
      </c>
      <c r="N229" s="3" t="s">
        <v>16</v>
      </c>
      <c r="O229" s="3"/>
      <c r="P229" s="3"/>
    </row>
    <row r="231" spans="1:16" x14ac:dyDescent="0.2">
      <c r="B231" s="27" t="s">
        <v>128</v>
      </c>
      <c r="C231" s="27"/>
      <c r="D231" s="27"/>
      <c r="E231" s="74">
        <v>25373</v>
      </c>
      <c r="F231" s="29">
        <f>E234</f>
        <v>26074</v>
      </c>
      <c r="G231" s="29">
        <f t="shared" ref="G231:N231" si="103">F234</f>
        <v>26956</v>
      </c>
      <c r="H231" s="29">
        <f t="shared" si="103"/>
        <v>27884</v>
      </c>
      <c r="I231" s="29">
        <f t="shared" si="103"/>
        <v>28179</v>
      </c>
      <c r="J231" s="29">
        <f t="shared" si="103"/>
        <v>28424</v>
      </c>
      <c r="K231" s="29">
        <f t="shared" si="103"/>
        <v>29034.2</v>
      </c>
      <c r="L231" s="29">
        <f t="shared" si="103"/>
        <v>29644.400000000001</v>
      </c>
      <c r="M231" s="29">
        <f t="shared" si="103"/>
        <v>30254.600000000002</v>
      </c>
      <c r="N231" s="29">
        <f t="shared" si="103"/>
        <v>30864.800000000003</v>
      </c>
    </row>
    <row r="232" spans="1:16" x14ac:dyDescent="0.2">
      <c r="B232" t="s">
        <v>91</v>
      </c>
      <c r="E232" s="57">
        <v>0</v>
      </c>
      <c r="F232" s="57">
        <v>447</v>
      </c>
      <c r="G232" s="57">
        <v>265</v>
      </c>
      <c r="H232" s="57">
        <v>155</v>
      </c>
      <c r="I232" s="57">
        <v>0</v>
      </c>
      <c r="J232" s="21">
        <f>$J$125</f>
        <v>173.4</v>
      </c>
      <c r="K232" s="21">
        <f t="shared" ref="K232:N232" si="104">$J$125</f>
        <v>173.4</v>
      </c>
      <c r="L232" s="21">
        <f t="shared" si="104"/>
        <v>173.4</v>
      </c>
      <c r="M232" s="21">
        <f t="shared" si="104"/>
        <v>173.4</v>
      </c>
      <c r="N232" s="21">
        <f t="shared" si="104"/>
        <v>173.4</v>
      </c>
    </row>
    <row r="233" spans="1:16" x14ac:dyDescent="0.2">
      <c r="B233" s="24" t="s">
        <v>92</v>
      </c>
      <c r="C233" s="24"/>
      <c r="D233" s="24"/>
      <c r="E233" s="56">
        <v>701</v>
      </c>
      <c r="F233" s="56">
        <v>435</v>
      </c>
      <c r="G233" s="56">
        <v>663</v>
      </c>
      <c r="H233" s="56">
        <v>140</v>
      </c>
      <c r="I233" s="56">
        <v>245</v>
      </c>
      <c r="J233" s="65">
        <f>$J$124</f>
        <v>436.8</v>
      </c>
      <c r="K233" s="65">
        <f t="shared" ref="K233:N233" si="105">$J$124</f>
        <v>436.8</v>
      </c>
      <c r="L233" s="65">
        <f t="shared" si="105"/>
        <v>436.8</v>
      </c>
      <c r="M233" s="65">
        <f t="shared" si="105"/>
        <v>436.8</v>
      </c>
      <c r="N233" s="65">
        <f t="shared" si="105"/>
        <v>436.8</v>
      </c>
    </row>
    <row r="234" spans="1:16" x14ac:dyDescent="0.2">
      <c r="B234" s="27" t="s">
        <v>129</v>
      </c>
      <c r="C234" s="27"/>
      <c r="D234" s="27"/>
      <c r="E234" s="29">
        <f>SUM(E231:E233)</f>
        <v>26074</v>
      </c>
      <c r="F234" s="29">
        <f t="shared" ref="F234:N234" si="106">SUM(F231:F233)</f>
        <v>26956</v>
      </c>
      <c r="G234" s="29">
        <f t="shared" si="106"/>
        <v>27884</v>
      </c>
      <c r="H234" s="29">
        <f t="shared" si="106"/>
        <v>28179</v>
      </c>
      <c r="I234" s="29">
        <f t="shared" si="106"/>
        <v>28424</v>
      </c>
      <c r="J234" s="29">
        <f t="shared" si="106"/>
        <v>29034.2</v>
      </c>
      <c r="K234" s="29">
        <f t="shared" si="106"/>
        <v>29644.400000000001</v>
      </c>
      <c r="L234" s="29">
        <f t="shared" si="106"/>
        <v>30254.600000000002</v>
      </c>
      <c r="M234" s="29">
        <f t="shared" si="106"/>
        <v>30864.800000000003</v>
      </c>
      <c r="N234" s="29">
        <f t="shared" si="106"/>
        <v>31475.000000000004</v>
      </c>
    </row>
    <row r="236" spans="1:16" x14ac:dyDescent="0.2">
      <c r="A236" t="s">
        <v>10</v>
      </c>
      <c r="B236" s="1" t="s">
        <v>93</v>
      </c>
      <c r="C236" s="2"/>
      <c r="D236" s="2"/>
      <c r="E236" s="3" t="s">
        <v>1</v>
      </c>
      <c r="F236" s="3" t="s">
        <v>2</v>
      </c>
      <c r="G236" s="3" t="s">
        <v>3</v>
      </c>
      <c r="H236" s="3" t="s">
        <v>4</v>
      </c>
      <c r="I236" s="3" t="s">
        <v>5</v>
      </c>
      <c r="J236" s="3" t="s">
        <v>12</v>
      </c>
      <c r="K236" s="3" t="s">
        <v>13</v>
      </c>
      <c r="L236" s="3" t="s">
        <v>14</v>
      </c>
      <c r="M236" s="3" t="s">
        <v>15</v>
      </c>
      <c r="N236" s="3" t="s">
        <v>16</v>
      </c>
      <c r="O236" s="3"/>
      <c r="P236" s="3"/>
    </row>
    <row r="238" spans="1:16" x14ac:dyDescent="0.2">
      <c r="B238" s="27" t="s">
        <v>94</v>
      </c>
      <c r="C238" s="27"/>
      <c r="D238" s="27"/>
      <c r="E238" s="74">
        <v>36171</v>
      </c>
      <c r="F238" s="29">
        <f>E241</f>
        <v>41109</v>
      </c>
      <c r="G238" s="29">
        <f t="shared" ref="G238:N238" si="107">F241</f>
        <v>48976</v>
      </c>
      <c r="H238" s="29">
        <f t="shared" si="107"/>
        <v>55386</v>
      </c>
      <c r="I238" s="29">
        <f t="shared" si="107"/>
        <v>56584</v>
      </c>
      <c r="J238" s="29">
        <f t="shared" si="107"/>
        <v>63245</v>
      </c>
      <c r="K238" s="29">
        <f t="shared" si="107"/>
        <v>61040.210676893621</v>
      </c>
      <c r="L238" s="29">
        <f t="shared" si="107"/>
        <v>64681.757476095845</v>
      </c>
      <c r="M238" s="29">
        <f t="shared" si="107"/>
        <v>68540.55226549544</v>
      </c>
      <c r="N238" s="29">
        <f t="shared" si="107"/>
        <v>72629.555660964543</v>
      </c>
    </row>
    <row r="239" spans="1:16" x14ac:dyDescent="0.2">
      <c r="B239" t="s">
        <v>95</v>
      </c>
      <c r="E239" s="57">
        <v>10281</v>
      </c>
      <c r="F239" s="57">
        <v>13923</v>
      </c>
      <c r="G239" s="57">
        <v>14389</v>
      </c>
      <c r="H239" s="57">
        <v>5522</v>
      </c>
      <c r="I239" s="57">
        <v>14310</v>
      </c>
      <c r="J239" s="48">
        <f>J132*$J$113-J238</f>
        <v>5030.7170020613412</v>
      </c>
      <c r="K239" s="48">
        <f t="shared" ref="K239:N239" si="108">K132*$J$113-K238</f>
        <v>11308.710135491565</v>
      </c>
      <c r="L239" s="48">
        <f t="shared" si="108"/>
        <v>11983.367000864957</v>
      </c>
      <c r="M239" s="48">
        <f t="shared" si="108"/>
        <v>12698.272655051769</v>
      </c>
      <c r="N239" s="48">
        <f t="shared" si="108"/>
        <v>13455.828266829922</v>
      </c>
    </row>
    <row r="240" spans="1:16" x14ac:dyDescent="0.2">
      <c r="B240" s="24" t="s">
        <v>63</v>
      </c>
      <c r="C240" s="24"/>
      <c r="D240" s="24"/>
      <c r="E240" s="55">
        <v>-5343</v>
      </c>
      <c r="F240" s="55">
        <v>-6056</v>
      </c>
      <c r="G240" s="55">
        <v>-7979</v>
      </c>
      <c r="H240" s="55">
        <v>-4324</v>
      </c>
      <c r="I240" s="55">
        <v>-7649</v>
      </c>
      <c r="J240" s="47">
        <f>(J238+J239)*$J$114</f>
        <v>-7235.5063251677175</v>
      </c>
      <c r="K240" s="47">
        <f t="shared" ref="K240:N240" si="109">(K238+K239)*$J$114</f>
        <v>-7667.163336289339</v>
      </c>
      <c r="L240" s="47">
        <f t="shared" si="109"/>
        <v>-8124.5722114653563</v>
      </c>
      <c r="M240" s="47">
        <f t="shared" si="109"/>
        <v>-8609.2692595826647</v>
      </c>
      <c r="N240" s="47">
        <f t="shared" si="109"/>
        <v>-9122.8824428931712</v>
      </c>
    </row>
    <row r="241" spans="1:16" x14ac:dyDescent="0.2">
      <c r="B241" s="27" t="s">
        <v>96</v>
      </c>
      <c r="C241" s="27"/>
      <c r="D241" s="27"/>
      <c r="E241" s="66">
        <f>SUM(E238:E240)</f>
        <v>41109</v>
      </c>
      <c r="F241" s="66">
        <f t="shared" ref="F241:N241" si="110">SUM(F238:F240)</f>
        <v>48976</v>
      </c>
      <c r="G241" s="66">
        <f t="shared" si="110"/>
        <v>55386</v>
      </c>
      <c r="H241" s="66">
        <f t="shared" si="110"/>
        <v>56584</v>
      </c>
      <c r="I241" s="66">
        <f t="shared" si="110"/>
        <v>63245</v>
      </c>
      <c r="J241" s="66">
        <f t="shared" si="110"/>
        <v>61040.210676893621</v>
      </c>
      <c r="K241" s="66">
        <f t="shared" si="110"/>
        <v>64681.757476095845</v>
      </c>
      <c r="L241" s="66">
        <f t="shared" si="110"/>
        <v>68540.55226549544</v>
      </c>
      <c r="M241" s="66">
        <f t="shared" si="110"/>
        <v>72629.555660964543</v>
      </c>
      <c r="N241" s="66">
        <f t="shared" si="110"/>
        <v>76962.501484901295</v>
      </c>
    </row>
    <row r="242" spans="1:16" x14ac:dyDescent="0.2">
      <c r="E242" s="38"/>
      <c r="F242" s="38"/>
      <c r="G242" s="38"/>
      <c r="H242" s="38"/>
      <c r="I242" s="38"/>
    </row>
    <row r="243" spans="1:16" x14ac:dyDescent="0.2">
      <c r="A243" t="s">
        <v>10</v>
      </c>
      <c r="B243" s="1" t="s">
        <v>97</v>
      </c>
      <c r="C243" s="2"/>
      <c r="D243" s="2"/>
      <c r="E243" s="3" t="s">
        <v>1</v>
      </c>
      <c r="F243" s="3" t="s">
        <v>2</v>
      </c>
      <c r="G243" s="3" t="s">
        <v>3</v>
      </c>
      <c r="H243" s="3" t="s">
        <v>4</v>
      </c>
      <c r="I243" s="3" t="s">
        <v>5</v>
      </c>
      <c r="J243" s="3" t="s">
        <v>12</v>
      </c>
      <c r="K243" s="3" t="s">
        <v>13</v>
      </c>
      <c r="L243" s="3" t="s">
        <v>14</v>
      </c>
      <c r="M243" s="3" t="s">
        <v>15</v>
      </c>
      <c r="N243" s="3" t="s">
        <v>16</v>
      </c>
      <c r="O243" s="3"/>
      <c r="P243" s="3"/>
    </row>
    <row r="245" spans="1:16" x14ac:dyDescent="0.2">
      <c r="B245" s="27" t="s">
        <v>98</v>
      </c>
      <c r="C245" s="27"/>
      <c r="D245" s="27"/>
      <c r="E245" s="74">
        <v>9494</v>
      </c>
      <c r="F245" s="29">
        <f>E248</f>
        <v>12745</v>
      </c>
      <c r="G245" s="29">
        <f t="shared" ref="G245:N245" si="111">F248</f>
        <v>11836</v>
      </c>
      <c r="H245" s="29">
        <f t="shared" si="111"/>
        <v>10827</v>
      </c>
      <c r="I245" s="29">
        <f t="shared" si="111"/>
        <v>9026</v>
      </c>
      <c r="J245" s="29">
        <f t="shared" si="111"/>
        <v>7270</v>
      </c>
      <c r="K245" s="29">
        <f t="shared" si="111"/>
        <v>6464.6671377455168</v>
      </c>
      <c r="L245" s="29">
        <f t="shared" si="111"/>
        <v>5748.5448695800296</v>
      </c>
      <c r="M245" s="29">
        <f t="shared" si="111"/>
        <v>5111.7509089724354</v>
      </c>
      <c r="N245" s="29">
        <f t="shared" si="111"/>
        <v>4545.497677795719</v>
      </c>
    </row>
    <row r="246" spans="1:16" x14ac:dyDescent="0.2">
      <c r="B246" t="s">
        <v>130</v>
      </c>
      <c r="E246" s="57">
        <v>3345</v>
      </c>
      <c r="F246" s="57">
        <v>411</v>
      </c>
      <c r="G246" s="57">
        <v>1</v>
      </c>
      <c r="H246" s="57">
        <v>0</v>
      </c>
      <c r="I246" s="57">
        <v>0</v>
      </c>
      <c r="J246" s="57">
        <v>0</v>
      </c>
      <c r="K246" s="57">
        <v>0</v>
      </c>
      <c r="L246" s="57">
        <v>0</v>
      </c>
      <c r="M246" s="57">
        <v>0</v>
      </c>
      <c r="N246" s="57">
        <v>0</v>
      </c>
    </row>
    <row r="247" spans="1:16" x14ac:dyDescent="0.2">
      <c r="B247" s="24" t="s">
        <v>64</v>
      </c>
      <c r="C247" s="24"/>
      <c r="D247" s="24"/>
      <c r="E247" s="55">
        <v>-94</v>
      </c>
      <c r="F247" s="55">
        <v>-1320</v>
      </c>
      <c r="G247" s="55">
        <v>-1010</v>
      </c>
      <c r="H247" s="55">
        <v>-1801</v>
      </c>
      <c r="I247" s="55">
        <v>-1756</v>
      </c>
      <c r="J247" s="75">
        <f>(J245+J246)*$J$117</f>
        <v>-805.33286225448308</v>
      </c>
      <c r="K247" s="75">
        <f t="shared" ref="K247:N247" si="112">(K245+K246)*$J$117</f>
        <v>-716.12226816548741</v>
      </c>
      <c r="L247" s="75">
        <f t="shared" si="112"/>
        <v>-636.79396060759416</v>
      </c>
      <c r="M247" s="75">
        <f t="shared" si="112"/>
        <v>-566.25323117671621</v>
      </c>
      <c r="N247" s="75">
        <f t="shared" si="112"/>
        <v>-503.52663758326446</v>
      </c>
    </row>
    <row r="248" spans="1:16" x14ac:dyDescent="0.2">
      <c r="B248" s="27" t="s">
        <v>99</v>
      </c>
      <c r="C248" s="27"/>
      <c r="D248" s="27"/>
      <c r="E248" s="29">
        <f>SUM(E245:E247)</f>
        <v>12745</v>
      </c>
      <c r="F248" s="29">
        <f t="shared" ref="F248:N248" si="113">SUM(F245:F247)</f>
        <v>11836</v>
      </c>
      <c r="G248" s="29">
        <f t="shared" si="113"/>
        <v>10827</v>
      </c>
      <c r="H248" s="29">
        <f t="shared" si="113"/>
        <v>9026</v>
      </c>
      <c r="I248" s="29">
        <f t="shared" si="113"/>
        <v>7270</v>
      </c>
      <c r="J248" s="29">
        <f t="shared" si="113"/>
        <v>6464.6671377455168</v>
      </c>
      <c r="K248" s="29">
        <f t="shared" si="113"/>
        <v>5748.5448695800296</v>
      </c>
      <c r="L248" s="29">
        <f t="shared" si="113"/>
        <v>5111.7509089724354</v>
      </c>
      <c r="M248" s="29">
        <f t="shared" si="113"/>
        <v>4545.497677795719</v>
      </c>
      <c r="N248" s="29">
        <f t="shared" si="113"/>
        <v>4041.9710402124547</v>
      </c>
    </row>
    <row r="249" spans="1:16" x14ac:dyDescent="0.2">
      <c r="E249" s="38"/>
      <c r="F249" s="38"/>
      <c r="G249" s="38"/>
      <c r="H249" s="38"/>
      <c r="I249" s="38"/>
    </row>
    <row r="250" spans="1:16" x14ac:dyDescent="0.2">
      <c r="A250" t="s">
        <v>10</v>
      </c>
      <c r="B250" s="1" t="s">
        <v>116</v>
      </c>
      <c r="C250" s="2"/>
      <c r="D250" s="2"/>
      <c r="E250" s="3" t="s">
        <v>1</v>
      </c>
      <c r="F250" s="3" t="s">
        <v>2</v>
      </c>
      <c r="G250" s="3" t="s">
        <v>3</v>
      </c>
      <c r="H250" s="3" t="s">
        <v>4</v>
      </c>
      <c r="I250" s="3" t="s">
        <v>5</v>
      </c>
      <c r="J250" s="3" t="s">
        <v>12</v>
      </c>
      <c r="K250" s="3" t="s">
        <v>13</v>
      </c>
      <c r="L250" s="3" t="s">
        <v>14</v>
      </c>
      <c r="M250" s="3" t="s">
        <v>15</v>
      </c>
      <c r="N250" s="3" t="s">
        <v>16</v>
      </c>
      <c r="O250" s="3"/>
      <c r="P250" s="3"/>
    </row>
    <row r="252" spans="1:16" x14ac:dyDescent="0.2">
      <c r="B252" s="27" t="s">
        <v>117</v>
      </c>
      <c r="C252" s="27"/>
      <c r="D252" s="27"/>
      <c r="E252" s="74">
        <v>1730</v>
      </c>
      <c r="F252" s="79">
        <f>E255</f>
        <v>3046</v>
      </c>
      <c r="G252" s="79">
        <f t="shared" ref="G252:N252" si="114">F255</f>
        <v>1665</v>
      </c>
      <c r="H252" s="79">
        <f t="shared" si="114"/>
        <v>2044</v>
      </c>
      <c r="I252" s="79">
        <f t="shared" si="114"/>
        <v>3843</v>
      </c>
      <c r="J252" s="79">
        <f t="shared" si="114"/>
        <v>2667</v>
      </c>
      <c r="K252" s="79">
        <f t="shared" ca="1" si="114"/>
        <v>1341.9263236521265</v>
      </c>
      <c r="L252" s="79">
        <f t="shared" ca="1" si="114"/>
        <v>0</v>
      </c>
      <c r="M252" s="79">
        <f t="shared" ca="1" si="114"/>
        <v>0</v>
      </c>
      <c r="N252" s="79">
        <f t="shared" ca="1" si="114"/>
        <v>0</v>
      </c>
    </row>
    <row r="253" spans="1:16" x14ac:dyDescent="0.2">
      <c r="B253" t="s">
        <v>118</v>
      </c>
      <c r="E253" s="43"/>
      <c r="F253" s="43"/>
      <c r="G253" s="43"/>
      <c r="H253" s="43"/>
      <c r="I253" s="43"/>
      <c r="J253" s="43">
        <f ca="1">J142*$J$109</f>
        <v>1325.0736763478735</v>
      </c>
      <c r="K253" s="43">
        <f t="shared" ref="K253:N253" ca="1" si="115">K142*$J$109</f>
        <v>1412.7796376681408</v>
      </c>
      <c r="L253" s="43">
        <f t="shared" ca="1" si="115"/>
        <v>1491.2912773690014</v>
      </c>
      <c r="M253" s="43">
        <f t="shared" ca="1" si="115"/>
        <v>1561.808411335305</v>
      </c>
      <c r="N253" s="43">
        <f t="shared" ca="1" si="115"/>
        <v>1639.2813302182487</v>
      </c>
    </row>
    <row r="254" spans="1:16" x14ac:dyDescent="0.2">
      <c r="B254" s="24" t="s">
        <v>119</v>
      </c>
      <c r="C254" s="24"/>
      <c r="D254" s="24"/>
      <c r="E254" s="56">
        <v>1316</v>
      </c>
      <c r="F254" s="56">
        <v>-1381</v>
      </c>
      <c r="G254" s="56">
        <v>379</v>
      </c>
      <c r="H254" s="56">
        <v>1799</v>
      </c>
      <c r="I254" s="56">
        <v>-1176</v>
      </c>
      <c r="J254" s="47">
        <f ca="1">-IF(J253&lt;=J252,J253,J252)</f>
        <v>-1325.0736763478735</v>
      </c>
      <c r="K254" s="47">
        <f t="shared" ref="K254:N254" ca="1" si="116">-IF(K253&lt;=K252,K253,K252)</f>
        <v>-1341.9263236521265</v>
      </c>
      <c r="L254" s="47">
        <f t="shared" ca="1" si="116"/>
        <v>0</v>
      </c>
      <c r="M254" s="47">
        <f t="shared" ca="1" si="116"/>
        <v>0</v>
      </c>
      <c r="N254" s="47">
        <f t="shared" ca="1" si="116"/>
        <v>0</v>
      </c>
    </row>
    <row r="255" spans="1:16" x14ac:dyDescent="0.2">
      <c r="B255" s="27" t="s">
        <v>120</v>
      </c>
      <c r="C255" s="27"/>
      <c r="D255" s="27"/>
      <c r="E255" s="29">
        <f>E252+E254</f>
        <v>3046</v>
      </c>
      <c r="F255" s="29">
        <f t="shared" ref="F255:N255" si="117">F252+F254</f>
        <v>1665</v>
      </c>
      <c r="G255" s="29">
        <f t="shared" si="117"/>
        <v>2044</v>
      </c>
      <c r="H255" s="29">
        <f t="shared" si="117"/>
        <v>3843</v>
      </c>
      <c r="I255" s="29">
        <f t="shared" si="117"/>
        <v>2667</v>
      </c>
      <c r="J255" s="29">
        <f t="shared" ca="1" si="117"/>
        <v>1341.9263236521265</v>
      </c>
      <c r="K255" s="29">
        <f t="shared" ca="1" si="117"/>
        <v>0</v>
      </c>
      <c r="L255" s="29">
        <f t="shared" ca="1" si="117"/>
        <v>0</v>
      </c>
      <c r="M255" s="29">
        <f t="shared" ca="1" si="117"/>
        <v>0</v>
      </c>
      <c r="N255" s="29">
        <f t="shared" ca="1" si="117"/>
        <v>0</v>
      </c>
    </row>
    <row r="256" spans="1:16" x14ac:dyDescent="0.2">
      <c r="E256" s="38"/>
      <c r="F256" s="38"/>
      <c r="G256" s="38"/>
      <c r="H256" s="38"/>
      <c r="I256" s="38"/>
    </row>
    <row r="257" spans="1:16" x14ac:dyDescent="0.2">
      <c r="A257" t="s">
        <v>10</v>
      </c>
      <c r="B257" s="1" t="s">
        <v>100</v>
      </c>
      <c r="C257" s="2"/>
      <c r="D257" s="2"/>
      <c r="E257" s="3" t="s">
        <v>1</v>
      </c>
      <c r="F257" s="3" t="s">
        <v>2</v>
      </c>
      <c r="G257" s="3" t="s">
        <v>3</v>
      </c>
      <c r="H257" s="3" t="s">
        <v>4</v>
      </c>
      <c r="I257" s="3" t="s">
        <v>5</v>
      </c>
      <c r="J257" s="3" t="s">
        <v>12</v>
      </c>
      <c r="K257" s="3" t="s">
        <v>13</v>
      </c>
      <c r="L257" s="3" t="s">
        <v>14</v>
      </c>
      <c r="M257" s="3" t="s">
        <v>15</v>
      </c>
      <c r="N257" s="3" t="s">
        <v>16</v>
      </c>
      <c r="O257" s="3"/>
      <c r="P257" s="3"/>
    </row>
    <row r="258" spans="1:16" x14ac:dyDescent="0.2">
      <c r="B258" s="44" t="s">
        <v>101</v>
      </c>
      <c r="C258" s="45"/>
      <c r="D258" s="45"/>
      <c r="E258" s="45"/>
      <c r="F258" s="45"/>
      <c r="G258" s="45"/>
      <c r="H258" s="45"/>
      <c r="I258" s="45"/>
      <c r="J258" s="45"/>
      <c r="K258" s="45"/>
      <c r="L258" s="45"/>
      <c r="M258" s="45"/>
      <c r="N258" s="45"/>
      <c r="O258" s="45"/>
      <c r="P258" s="45"/>
    </row>
    <row r="259" spans="1:16" x14ac:dyDescent="0.2">
      <c r="B259" t="s">
        <v>131</v>
      </c>
      <c r="E259" s="52"/>
      <c r="F259" s="52"/>
      <c r="G259" s="52"/>
      <c r="H259" s="52"/>
      <c r="I259" s="52"/>
      <c r="J259" s="52">
        <f>J187</f>
        <v>8400</v>
      </c>
      <c r="K259" s="52">
        <f ca="1">K187</f>
        <v>11539.94970640582</v>
      </c>
      <c r="L259" s="52">
        <f ca="1">L187</f>
        <v>8391.4456599873083</v>
      </c>
      <c r="M259" s="52">
        <f ca="1">M187</f>
        <v>6384.829364736248</v>
      </c>
      <c r="N259" s="52">
        <f ca="1">N187</f>
        <v>4097.8849524356374</v>
      </c>
    </row>
    <row r="260" spans="1:16" x14ac:dyDescent="0.2">
      <c r="B260" t="s">
        <v>102</v>
      </c>
      <c r="E260" s="52"/>
      <c r="F260" s="52"/>
      <c r="G260" s="52"/>
      <c r="H260" s="52"/>
      <c r="I260" s="52"/>
      <c r="J260" s="22">
        <f ca="1">J202+J207+J211+J212+J213+J214+J215</f>
        <v>3144.9497064058214</v>
      </c>
      <c r="K260" s="22">
        <f ca="1">K202+K207+K211+K212+K213+K214+K215</f>
        <v>-3148.5040464185149</v>
      </c>
      <c r="L260" s="22">
        <f ca="1">L202+L207+L211+L212+L213+L214+L215</f>
        <v>-2006.6162952510622</v>
      </c>
      <c r="M260" s="22">
        <f ca="1">M202+M207+M211+M212+M213+M214+M215</f>
        <v>-2286.9444123006124</v>
      </c>
      <c r="N260" s="22">
        <f ca="1">N202+N207+N211+N212+N213+N214+N215</f>
        <v>-2569.6373905991295</v>
      </c>
    </row>
    <row r="261" spans="1:16" x14ac:dyDescent="0.2">
      <c r="B261" s="24" t="s">
        <v>103</v>
      </c>
      <c r="C261" s="24"/>
      <c r="D261" s="24"/>
      <c r="E261" s="76"/>
      <c r="F261" s="76"/>
      <c r="G261" s="76"/>
      <c r="H261" s="76"/>
      <c r="I261" s="76"/>
      <c r="J261" s="76">
        <f>J132*$J$126</f>
        <v>8901.128563844848</v>
      </c>
      <c r="K261" s="76">
        <f>K132*$J$126</f>
        <v>9432.1535369160283</v>
      </c>
      <c r="L261" s="76">
        <f>L132*$J$126</f>
        <v>9994.858484049224</v>
      </c>
      <c r="M261" s="76">
        <f>M132*$J$126</f>
        <v>10591.133374280662</v>
      </c>
      <c r="N261" s="76">
        <f>N132*$J$126</f>
        <v>11222.980928726198</v>
      </c>
    </row>
    <row r="262" spans="1:16" x14ac:dyDescent="0.2">
      <c r="B262" t="s">
        <v>101</v>
      </c>
      <c r="E262" s="43"/>
      <c r="F262" s="43"/>
      <c r="G262" s="43"/>
      <c r="H262" s="43"/>
      <c r="I262" s="43"/>
      <c r="J262" s="43">
        <f ca="1">J259+J260-J261</f>
        <v>2643.8211425609734</v>
      </c>
      <c r="K262" s="43">
        <f t="shared" ref="K262:N262" ca="1" si="118">K259+K260-K261</f>
        <v>-1040.7078769287236</v>
      </c>
      <c r="L262" s="43">
        <f t="shared" ca="1" si="118"/>
        <v>-3610.0291193129779</v>
      </c>
      <c r="M262" s="43">
        <f t="shared" ca="1" si="118"/>
        <v>-6493.2484218450263</v>
      </c>
      <c r="N262" s="43">
        <f t="shared" ca="1" si="118"/>
        <v>-9694.7333668896899</v>
      </c>
    </row>
    <row r="263" spans="1:16" x14ac:dyDescent="0.2">
      <c r="J263" s="77"/>
    </row>
    <row r="264" spans="1:16" x14ac:dyDescent="0.2">
      <c r="B264" s="44" t="s">
        <v>100</v>
      </c>
      <c r="C264" s="45"/>
      <c r="D264" s="45"/>
      <c r="E264" s="45"/>
      <c r="F264" s="45"/>
      <c r="G264" s="45"/>
      <c r="H264" s="45"/>
      <c r="I264" s="45"/>
      <c r="J264" s="45"/>
      <c r="K264" s="45"/>
      <c r="L264" s="45"/>
      <c r="M264" s="45"/>
      <c r="N264" s="45"/>
      <c r="O264" s="45"/>
      <c r="P264" s="45"/>
    </row>
    <row r="265" spans="1:16" x14ac:dyDescent="0.2">
      <c r="B265" t="s">
        <v>104</v>
      </c>
      <c r="E265" s="43"/>
      <c r="F265" s="43"/>
      <c r="G265" s="43"/>
      <c r="H265" s="43"/>
      <c r="I265" s="43"/>
      <c r="J265" s="43">
        <f>I168</f>
        <v>5</v>
      </c>
      <c r="K265" s="43">
        <f>J168</f>
        <v>0</v>
      </c>
      <c r="L265" s="43">
        <f>K168</f>
        <v>0</v>
      </c>
      <c r="M265" s="43">
        <f>L168</f>
        <v>0</v>
      </c>
      <c r="N265" s="43">
        <f>M168</f>
        <v>0</v>
      </c>
    </row>
    <row r="266" spans="1:16" x14ac:dyDescent="0.2">
      <c r="B266" s="24" t="s">
        <v>105</v>
      </c>
      <c r="C266" s="24"/>
      <c r="D266" s="24"/>
      <c r="E266" s="24"/>
      <c r="F266" s="24"/>
      <c r="G266" s="24"/>
      <c r="H266" s="24"/>
      <c r="I266" s="24"/>
      <c r="J266" s="47">
        <f ca="1">IF(J262&gt;J265,-J265,IF(J262&gt;0,-J262,-J262))</f>
        <v>-5</v>
      </c>
      <c r="K266" s="47">
        <f t="shared" ref="K266:N266" ca="1" si="119">IF(K262&gt;K265,-K265,IF(K262&gt;0,-K262,-K262))</f>
        <v>1040.7078769287236</v>
      </c>
      <c r="L266" s="47">
        <f t="shared" ca="1" si="119"/>
        <v>3610.0291193129779</v>
      </c>
      <c r="M266" s="47">
        <f t="shared" ca="1" si="119"/>
        <v>6493.2484218450263</v>
      </c>
      <c r="N266" s="47">
        <f t="shared" ca="1" si="119"/>
        <v>9694.7333668896899</v>
      </c>
    </row>
    <row r="267" spans="1:16" x14ac:dyDescent="0.2">
      <c r="B267" t="s">
        <v>106</v>
      </c>
      <c r="F267" s="43"/>
      <c r="G267" s="43"/>
      <c r="H267" s="43"/>
      <c r="I267" s="43"/>
      <c r="J267" s="43">
        <f ca="1">J265+J266</f>
        <v>0</v>
      </c>
      <c r="K267" s="43">
        <f ca="1">K265+K266</f>
        <v>1040.7078769287236</v>
      </c>
      <c r="L267" s="43">
        <f ca="1">L265+L266</f>
        <v>3610.0291193129779</v>
      </c>
      <c r="M267" s="43">
        <f ca="1">M265+M266</f>
        <v>6493.2484218450263</v>
      </c>
      <c r="N267" s="43">
        <f ca="1">N265+N266</f>
        <v>9694.7333668896899</v>
      </c>
    </row>
    <row r="268" spans="1:16" x14ac:dyDescent="0.2">
      <c r="F268" s="43"/>
      <c r="G268" s="43"/>
      <c r="H268" s="43"/>
      <c r="I268" s="43"/>
      <c r="J268" s="43"/>
      <c r="K268" s="43"/>
      <c r="L268" s="43"/>
      <c r="M268" s="43"/>
      <c r="N268" s="43"/>
    </row>
    <row r="269" spans="1:16" x14ac:dyDescent="0.2">
      <c r="A269" t="s">
        <v>10</v>
      </c>
      <c r="B269" s="1" t="s">
        <v>25</v>
      </c>
      <c r="C269" s="2"/>
      <c r="D269" s="2"/>
      <c r="E269" s="3" t="s">
        <v>1</v>
      </c>
      <c r="F269" s="3" t="s">
        <v>2</v>
      </c>
      <c r="G269" s="3" t="s">
        <v>3</v>
      </c>
      <c r="H269" s="3" t="s">
        <v>4</v>
      </c>
      <c r="I269" s="3" t="s">
        <v>5</v>
      </c>
      <c r="J269" s="3" t="s">
        <v>12</v>
      </c>
      <c r="K269" s="3" t="s">
        <v>13</v>
      </c>
      <c r="L269" s="3" t="s">
        <v>14</v>
      </c>
      <c r="M269" s="3" t="s">
        <v>15</v>
      </c>
      <c r="N269" s="3" t="s">
        <v>16</v>
      </c>
      <c r="O269" s="3"/>
      <c r="P269" s="3"/>
    </row>
    <row r="271" spans="1:16" x14ac:dyDescent="0.2">
      <c r="B271" t="s">
        <v>107</v>
      </c>
      <c r="F271" s="6">
        <f>F273/AVERAGE(E272:F272)</f>
        <v>1.617055093896308E-2</v>
      </c>
      <c r="G271" s="6">
        <f>G273/AVERAGE(F272:G272)</f>
        <v>1.6556908022820768E-2</v>
      </c>
      <c r="H271" s="6">
        <f>H273/AVERAGE(G272:H272)</f>
        <v>1.7646481224312307E-2</v>
      </c>
      <c r="I271" s="6">
        <f>I273/AVERAGE(H272:I272)</f>
        <v>1.4738557250777662E-2</v>
      </c>
      <c r="J271" s="5">
        <f>AVERAGE($F$271:$I$271)</f>
        <v>1.6278124359218455E-2</v>
      </c>
      <c r="K271" s="5">
        <f t="shared" ref="K271:N271" si="120">AVERAGE($F$271:$I$271)</f>
        <v>1.6278124359218455E-2</v>
      </c>
      <c r="L271" s="5">
        <f t="shared" si="120"/>
        <v>1.6278124359218455E-2</v>
      </c>
      <c r="M271" s="5">
        <f t="shared" si="120"/>
        <v>1.6278124359218455E-2</v>
      </c>
      <c r="N271" s="5">
        <f t="shared" si="120"/>
        <v>1.6278124359218455E-2</v>
      </c>
    </row>
    <row r="272" spans="1:16" x14ac:dyDescent="0.2">
      <c r="B272" s="24" t="s">
        <v>108</v>
      </c>
      <c r="C272" s="24"/>
      <c r="D272" s="24"/>
      <c r="E272" s="76">
        <f t="shared" ref="E272:N272" si="121">E168+E169+E172+E173</f>
        <v>29859</v>
      </c>
      <c r="F272" s="76">
        <f t="shared" si="121"/>
        <v>28024</v>
      </c>
      <c r="G272" s="76">
        <f t="shared" si="121"/>
        <v>31045</v>
      </c>
      <c r="H272" s="76">
        <f t="shared" si="121"/>
        <v>40244</v>
      </c>
      <c r="I272" s="76">
        <f t="shared" si="121"/>
        <v>40768</v>
      </c>
      <c r="J272" s="76">
        <f t="shared" ca="1" si="121"/>
        <v>39437.926323652129</v>
      </c>
      <c r="K272" s="76">
        <f t="shared" ca="1" si="121"/>
        <v>38096</v>
      </c>
      <c r="L272" s="76">
        <f t="shared" ca="1" si="121"/>
        <v>38096</v>
      </c>
      <c r="M272" s="76">
        <f t="shared" ca="1" si="121"/>
        <v>38096</v>
      </c>
      <c r="N272" s="76">
        <f t="shared" ca="1" si="121"/>
        <v>38096</v>
      </c>
    </row>
    <row r="273" spans="1:16" x14ac:dyDescent="0.2">
      <c r="B273" s="27" t="s">
        <v>109</v>
      </c>
      <c r="C273" s="27"/>
      <c r="D273" s="27"/>
      <c r="E273" s="29">
        <f>E140</f>
        <v>646</v>
      </c>
      <c r="F273" s="29">
        <f>F140</f>
        <v>468</v>
      </c>
      <c r="G273" s="29">
        <f>G140</f>
        <v>489</v>
      </c>
      <c r="H273" s="29">
        <f>H140</f>
        <v>629</v>
      </c>
      <c r="I273" s="29">
        <f>I140</f>
        <v>597</v>
      </c>
      <c r="J273" s="29">
        <f ca="1">J271*(AVERAGE(I272:J272))</f>
        <v>652.80102152136112</v>
      </c>
      <c r="K273" s="29">
        <f ca="1">K271*(AVERAGE(J272:K272))</f>
        <v>631.05344737744531</v>
      </c>
      <c r="L273" s="29">
        <f ca="1">L271*(AVERAGE(K272:L272))</f>
        <v>620.13142558878621</v>
      </c>
      <c r="M273" s="29">
        <f ca="1">M271*(AVERAGE(L272:M272))</f>
        <v>620.13142558878621</v>
      </c>
      <c r="N273" s="29">
        <f ca="1">N271*(AVERAGE(M272:N272))</f>
        <v>620.13142558878621</v>
      </c>
    </row>
    <row r="275" spans="1:16" x14ac:dyDescent="0.2">
      <c r="A275" t="s">
        <v>10</v>
      </c>
      <c r="B275" s="1" t="s">
        <v>24</v>
      </c>
      <c r="C275" s="2"/>
      <c r="D275" s="2"/>
      <c r="E275" s="3" t="s">
        <v>1</v>
      </c>
      <c r="F275" s="3" t="s">
        <v>2</v>
      </c>
      <c r="G275" s="3" t="s">
        <v>3</v>
      </c>
      <c r="H275" s="3" t="s">
        <v>4</v>
      </c>
      <c r="I275" s="3" t="s">
        <v>5</v>
      </c>
      <c r="J275" s="3" t="s">
        <v>12</v>
      </c>
      <c r="K275" s="3" t="s">
        <v>13</v>
      </c>
      <c r="L275" s="3" t="s">
        <v>14</v>
      </c>
      <c r="M275" s="3" t="s">
        <v>15</v>
      </c>
      <c r="N275" s="3" t="s">
        <v>16</v>
      </c>
      <c r="O275" s="3"/>
      <c r="P275" s="3"/>
    </row>
    <row r="277" spans="1:16" x14ac:dyDescent="0.2">
      <c r="B277" t="s">
        <v>110</v>
      </c>
      <c r="E277" s="52">
        <f t="shared" ref="E277:N277" si="122">E187</f>
        <v>5560</v>
      </c>
      <c r="F277" s="52">
        <f t="shared" si="122"/>
        <v>3433</v>
      </c>
      <c r="G277" s="52">
        <f t="shared" si="122"/>
        <v>2531</v>
      </c>
      <c r="H277" s="52">
        <f t="shared" si="122"/>
        <v>5606</v>
      </c>
      <c r="I277" s="52">
        <f t="shared" si="122"/>
        <v>6001</v>
      </c>
      <c r="J277" s="52">
        <f t="shared" si="122"/>
        <v>8400</v>
      </c>
      <c r="K277" s="52">
        <f t="shared" ca="1" si="122"/>
        <v>11539.94970640582</v>
      </c>
      <c r="L277" s="52">
        <f t="shared" ca="1" si="122"/>
        <v>8391.4456599873083</v>
      </c>
      <c r="M277" s="52">
        <f t="shared" ca="1" si="122"/>
        <v>6384.829364736248</v>
      </c>
      <c r="N277" s="52">
        <f t="shared" ca="1" si="122"/>
        <v>4097.8849524356374</v>
      </c>
    </row>
    <row r="278" spans="1:16" x14ac:dyDescent="0.2">
      <c r="B278" s="24" t="s">
        <v>111</v>
      </c>
      <c r="C278" s="24"/>
      <c r="D278" s="24"/>
      <c r="E278" s="78">
        <f>E279/E277</f>
        <v>7.9316546762589923E-2</v>
      </c>
      <c r="F278" s="78">
        <f t="shared" ref="F278:I278" si="123">F279/F277</f>
        <v>0.12758520244683949</v>
      </c>
      <c r="G278" s="78">
        <f t="shared" si="123"/>
        <v>0.1908336625839589</v>
      </c>
      <c r="H278" s="78">
        <f t="shared" si="123"/>
        <v>4.8519443453442737E-2</v>
      </c>
      <c r="I278" s="78">
        <f t="shared" si="123"/>
        <v>2.3996000666555575E-2</v>
      </c>
      <c r="J278" s="78">
        <f>AVERAGE($E$278:$I$278)</f>
        <v>9.405017118267732E-2</v>
      </c>
      <c r="K278" s="78">
        <f t="shared" ref="K278:N278" si="124">AVERAGE($E$278:$I$278)</f>
        <v>9.405017118267732E-2</v>
      </c>
      <c r="L278" s="78">
        <f t="shared" si="124"/>
        <v>9.405017118267732E-2</v>
      </c>
      <c r="M278" s="78">
        <f t="shared" si="124"/>
        <v>9.405017118267732E-2</v>
      </c>
      <c r="N278" s="78">
        <f t="shared" si="124"/>
        <v>9.405017118267732E-2</v>
      </c>
    </row>
    <row r="279" spans="1:16" x14ac:dyDescent="0.2">
      <c r="B279" s="27" t="s">
        <v>24</v>
      </c>
      <c r="C279" s="27"/>
      <c r="D279" s="27"/>
      <c r="E279" s="29">
        <f>E139</f>
        <v>441</v>
      </c>
      <c r="F279" s="29">
        <f>F139</f>
        <v>438</v>
      </c>
      <c r="G279" s="29">
        <f>G139</f>
        <v>483</v>
      </c>
      <c r="H279" s="29">
        <f>H139</f>
        <v>272</v>
      </c>
      <c r="I279" s="29">
        <f>I139</f>
        <v>144</v>
      </c>
      <c r="J279" s="29">
        <f>J278*AVERAGE(I277:J277)</f>
        <v>677.20825760086802</v>
      </c>
      <c r="K279" s="29">
        <f t="shared" ref="K279:N279" ca="1" si="125">K278*AVERAGE(J277:K277)</f>
        <v>937.6778416307219</v>
      </c>
      <c r="L279" s="29">
        <f t="shared" ca="1" si="125"/>
        <v>937.27557305944765</v>
      </c>
      <c r="M279" s="29">
        <f t="shared" ca="1" si="125"/>
        <v>694.85559775878505</v>
      </c>
      <c r="N279" s="29">
        <f t="shared" ca="1" si="125"/>
        <v>492.95053799455911</v>
      </c>
    </row>
    <row r="281" spans="1:16" x14ac:dyDescent="0.2">
      <c r="A281" t="s">
        <v>10</v>
      </c>
      <c r="B281" s="1" t="s">
        <v>168</v>
      </c>
      <c r="C281" s="2"/>
      <c r="D281" s="2"/>
      <c r="E281" s="3" t="s">
        <v>1</v>
      </c>
      <c r="F281" s="3" t="s">
        <v>2</v>
      </c>
      <c r="G281" s="3" t="s">
        <v>3</v>
      </c>
      <c r="H281" s="3" t="s">
        <v>4</v>
      </c>
      <c r="I281" s="3" t="s">
        <v>5</v>
      </c>
      <c r="J281" s="3" t="s">
        <v>12</v>
      </c>
      <c r="K281" s="3" t="s">
        <v>13</v>
      </c>
      <c r="L281" s="3" t="s">
        <v>14</v>
      </c>
      <c r="M281" s="3" t="s">
        <v>15</v>
      </c>
      <c r="N281" s="3" t="s">
        <v>16</v>
      </c>
      <c r="O281" s="3"/>
      <c r="P281" s="3"/>
    </row>
    <row r="282" spans="1:16" x14ac:dyDescent="0.2">
      <c r="E282" s="53"/>
      <c r="F282" s="53"/>
      <c r="G282" s="53"/>
      <c r="H282" s="53"/>
      <c r="I282" s="53"/>
    </row>
    <row r="283" spans="1:16" x14ac:dyDescent="0.2">
      <c r="B283" s="27" t="s">
        <v>169</v>
      </c>
      <c r="C283" s="27"/>
      <c r="D283" s="27"/>
      <c r="E283" s="27"/>
      <c r="F283" s="27"/>
      <c r="G283" s="27"/>
      <c r="H283" s="27"/>
      <c r="I283" s="27"/>
      <c r="J283" s="70">
        <f>I288</f>
        <v>4059</v>
      </c>
      <c r="K283" s="70">
        <f t="shared" ref="K283:N283" ca="1" si="126">J288</f>
        <v>3808.222432761841</v>
      </c>
      <c r="L283" s="70">
        <f t="shared" ca="1" si="126"/>
        <v>3539.1712568241414</v>
      </c>
      <c r="M283" s="70">
        <f t="shared" ca="1" si="126"/>
        <v>3236.9405357010937</v>
      </c>
      <c r="N283" s="70">
        <f t="shared" ca="1" si="126"/>
        <v>2919.849547911364</v>
      </c>
    </row>
    <row r="284" spans="1:16" x14ac:dyDescent="0.2">
      <c r="B284" t="s">
        <v>172</v>
      </c>
      <c r="I284" s="41">
        <f>C13</f>
        <v>50.71</v>
      </c>
      <c r="J284" s="41">
        <f>I284</f>
        <v>50.71</v>
      </c>
      <c r="K284" s="41">
        <f t="shared" ref="K284:N284" si="127">J284</f>
        <v>50.71</v>
      </c>
      <c r="L284" s="41">
        <f t="shared" si="127"/>
        <v>50.71</v>
      </c>
      <c r="M284" s="41">
        <f t="shared" si="127"/>
        <v>50.71</v>
      </c>
      <c r="N284" s="41">
        <f t="shared" si="127"/>
        <v>50.71</v>
      </c>
    </row>
    <row r="285" spans="1:16" x14ac:dyDescent="0.2">
      <c r="B285" t="s">
        <v>170</v>
      </c>
      <c r="J285" s="34">
        <f>J232/J284</f>
        <v>3.4194438966673242</v>
      </c>
      <c r="K285" s="34">
        <f>K232/K284</f>
        <v>3.4194438966673242</v>
      </c>
      <c r="L285" s="34">
        <f>L232/L284</f>
        <v>3.4194438966673242</v>
      </c>
      <c r="M285" s="34">
        <f>M232/M284</f>
        <v>3.4194438966673242</v>
      </c>
      <c r="N285" s="34">
        <f>N232/N284</f>
        <v>3.4194438966673242</v>
      </c>
    </row>
    <row r="286" spans="1:16" x14ac:dyDescent="0.2">
      <c r="B286" t="s">
        <v>171</v>
      </c>
      <c r="J286" s="34">
        <f ca="1">J226/J284</f>
        <v>-262.81069679840374</v>
      </c>
      <c r="K286" s="34">
        <f t="shared" ref="K286:N286" ca="1" si="128">K226/K284</f>
        <v>-281.08430549794406</v>
      </c>
      <c r="L286" s="34">
        <f t="shared" ca="1" si="128"/>
        <v>-314.26385068329245</v>
      </c>
      <c r="M286" s="34">
        <f t="shared" ca="1" si="128"/>
        <v>-329.12411734997437</v>
      </c>
      <c r="N286" s="34">
        <f t="shared" ca="1" si="128"/>
        <v>-345.45019541487272</v>
      </c>
    </row>
    <row r="287" spans="1:16" x14ac:dyDescent="0.2">
      <c r="B287" s="24" t="s">
        <v>173</v>
      </c>
      <c r="C287" s="24"/>
      <c r="D287" s="24"/>
      <c r="E287" s="24"/>
      <c r="F287" s="24"/>
      <c r="G287" s="24"/>
      <c r="H287" s="24"/>
      <c r="I287" s="24"/>
      <c r="J287" s="81">
        <f>J233/J284</f>
        <v>8.6136856635772041</v>
      </c>
      <c r="K287" s="81">
        <f t="shared" ref="K287:N287" si="129">K233/K284</f>
        <v>8.6136856635772041</v>
      </c>
      <c r="L287" s="81">
        <f t="shared" si="129"/>
        <v>8.6136856635772041</v>
      </c>
      <c r="M287" s="81">
        <f t="shared" si="129"/>
        <v>8.6136856635772041</v>
      </c>
      <c r="N287" s="81">
        <f t="shared" si="129"/>
        <v>8.6136856635772041</v>
      </c>
    </row>
    <row r="288" spans="1:16" x14ac:dyDescent="0.2">
      <c r="B288" s="27" t="s">
        <v>174</v>
      </c>
      <c r="C288" s="27"/>
      <c r="D288" s="27"/>
      <c r="E288" s="70">
        <f>E149</f>
        <v>4701</v>
      </c>
      <c r="F288" s="70">
        <f>F149</f>
        <v>4611</v>
      </c>
      <c r="G288" s="70">
        <f>G149</f>
        <v>4417</v>
      </c>
      <c r="H288" s="70">
        <f>H149</f>
        <v>4199</v>
      </c>
      <c r="I288" s="70">
        <f>I149</f>
        <v>4059</v>
      </c>
      <c r="J288" s="83">
        <f ca="1">J283+J285+J286+J287</f>
        <v>3808.222432761841</v>
      </c>
      <c r="K288" s="83">
        <f t="shared" ref="K288:N288" ca="1" si="130">K283+K285+K286+K287</f>
        <v>3539.1712568241414</v>
      </c>
      <c r="L288" s="83">
        <f t="shared" ca="1" si="130"/>
        <v>3236.9405357010937</v>
      </c>
      <c r="M288" s="83">
        <f t="shared" ca="1" si="130"/>
        <v>2919.849547911364</v>
      </c>
      <c r="N288" s="83">
        <f t="shared" ca="1" si="130"/>
        <v>2586.4324820567358</v>
      </c>
    </row>
    <row r="289" spans="2:14" x14ac:dyDescent="0.2">
      <c r="B289" s="24" t="s">
        <v>175</v>
      </c>
      <c r="C289" s="24"/>
      <c r="D289" s="24"/>
      <c r="E289" s="76">
        <f>E290-E288</f>
        <v>134</v>
      </c>
      <c r="F289" s="76">
        <f t="shared" ref="F289:I289" si="131">F290-F288</f>
        <v>90</v>
      </c>
      <c r="G289" s="76">
        <f t="shared" si="131"/>
        <v>56</v>
      </c>
      <c r="H289" s="76">
        <f t="shared" si="131"/>
        <v>33</v>
      </c>
      <c r="I289" s="76">
        <f t="shared" si="131"/>
        <v>31</v>
      </c>
      <c r="J289" s="76">
        <f>I289</f>
        <v>31</v>
      </c>
      <c r="K289" s="76">
        <f t="shared" ref="K289:N289" si="132">J289</f>
        <v>31</v>
      </c>
      <c r="L289" s="76">
        <f t="shared" si="132"/>
        <v>31</v>
      </c>
      <c r="M289" s="76">
        <f t="shared" si="132"/>
        <v>31</v>
      </c>
      <c r="N289" s="76">
        <f t="shared" si="132"/>
        <v>31</v>
      </c>
    </row>
    <row r="290" spans="2:14" x14ac:dyDescent="0.2">
      <c r="B290" s="27" t="s">
        <v>176</v>
      </c>
      <c r="C290" s="27"/>
      <c r="D290" s="27"/>
      <c r="E290" s="70">
        <f>E150</f>
        <v>4835</v>
      </c>
      <c r="F290" s="70">
        <f>F150</f>
        <v>4701</v>
      </c>
      <c r="G290" s="70">
        <f>G150</f>
        <v>4473</v>
      </c>
      <c r="H290" s="70">
        <f>H150</f>
        <v>4232</v>
      </c>
      <c r="I290" s="70">
        <f>I150</f>
        <v>4090</v>
      </c>
      <c r="J290" s="70">
        <f ca="1">J288+J289</f>
        <v>3839.222432761841</v>
      </c>
      <c r="K290" s="70">
        <f t="shared" ref="K290:N290" ca="1" si="133">K288+K289</f>
        <v>3570.1712568241414</v>
      </c>
      <c r="L290" s="70">
        <f t="shared" ca="1" si="133"/>
        <v>3267.9405357010937</v>
      </c>
      <c r="M290" s="70">
        <f t="shared" ca="1" si="133"/>
        <v>2950.849547911364</v>
      </c>
      <c r="N290" s="70">
        <f t="shared" ca="1" si="133"/>
        <v>2617.4324820567358</v>
      </c>
    </row>
  </sheetData>
  <mergeCells count="8">
    <mergeCell ref="J61:L61"/>
    <mergeCell ref="B2:B3"/>
    <mergeCell ref="C2:C3"/>
    <mergeCell ref="D2:D3"/>
    <mergeCell ref="E2:F3"/>
    <mergeCell ref="G2:G3"/>
    <mergeCell ref="D61:F61"/>
    <mergeCell ref="G61:I61"/>
  </mergeCells>
  <conditionalFormatting sqref="E2:G4 E5:F18">
    <cfRule type="containsText" dxfId="23" priority="4" operator="containsText" text="BUY">
      <formula>NOT(ISERROR(SEARCH("BUY",E2)))</formula>
    </cfRule>
    <cfRule type="containsText" dxfId="22" priority="5" operator="containsText" text="HOLD">
      <formula>NOT(ISERROR(SEARCH("HOLD",E2)))</formula>
    </cfRule>
    <cfRule type="containsText" dxfId="21" priority="6" operator="containsText" text="SELL">
      <formula>NOT(ISERROR(SEARCH("SELL",E2)))</formula>
    </cfRule>
  </conditionalFormatting>
  <conditionalFormatting sqref="K5">
    <cfRule type="containsText" dxfId="20" priority="1" operator="containsText" text="BUY">
      <formula>NOT(ISERROR(SEARCH("BUY",K5)))</formula>
    </cfRule>
    <cfRule type="containsText" dxfId="19" priority="2" operator="containsText" text="HOLD">
      <formula>NOT(ISERROR(SEARCH("HOLD",K5)))</formula>
    </cfRule>
    <cfRule type="containsText" dxfId="18" priority="3" operator="containsText" text="SELL">
      <formula>NOT(ISERROR(SEARCH("SELL",K5)))</formula>
    </cfRule>
  </conditionalFormatting>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0F1AE-AF34-4B6B-B57A-03836112F4F1}">
  <dimension ref="A1:T290"/>
  <sheetViews>
    <sheetView showGridLines="0" tabSelected="1" topLeftCell="A7" zoomScale="99" zoomScaleNormal="115" workbookViewId="0">
      <selection activeCell="F32" sqref="F32"/>
    </sheetView>
  </sheetViews>
  <sheetFormatPr baseColWidth="10" defaultColWidth="8.83203125" defaultRowHeight="15" x14ac:dyDescent="0.2"/>
  <cols>
    <col min="1" max="1" width="3.6640625" customWidth="1"/>
    <col min="2" max="4" width="17.6640625" customWidth="1"/>
    <col min="5" max="9" width="13.6640625" customWidth="1"/>
    <col min="10" max="10" width="13.83203125" customWidth="1"/>
    <col min="11" max="16" width="13.6640625" customWidth="1"/>
    <col min="18" max="20" width="15.33203125" bestFit="1" customWidth="1"/>
  </cols>
  <sheetData>
    <row r="1" spans="2:16" ht="5" customHeight="1" x14ac:dyDescent="0.2">
      <c r="E1" s="84"/>
      <c r="F1" s="84"/>
    </row>
    <row r="2" spans="2:16" ht="15" customHeight="1" x14ac:dyDescent="0.2">
      <c r="B2" s="150" t="s">
        <v>339</v>
      </c>
      <c r="C2" s="151" t="s">
        <v>191</v>
      </c>
      <c r="D2" s="152">
        <v>44720</v>
      </c>
      <c r="E2" s="153" t="s">
        <v>192</v>
      </c>
      <c r="F2" s="153"/>
      <c r="G2" s="153" t="str">
        <f ca="1">IF(COUNTIF(E16:E18,"BUY")=3,"BUY",IF(COUNTIF(E16:E18,"SELL")&gt;=2,"SELL","HOLD"))</f>
        <v>HOLD</v>
      </c>
    </row>
    <row r="3" spans="2:16" ht="15" customHeight="1" x14ac:dyDescent="0.2">
      <c r="B3" s="150"/>
      <c r="C3" s="151"/>
      <c r="D3" s="153"/>
      <c r="E3" s="153"/>
      <c r="F3" s="153"/>
      <c r="G3" s="153"/>
    </row>
    <row r="4" spans="2:16" ht="15" customHeight="1" x14ac:dyDescent="0.2">
      <c r="B4" s="1" t="s">
        <v>202</v>
      </c>
      <c r="C4" s="2"/>
      <c r="D4" s="2"/>
      <c r="E4" s="3"/>
      <c r="F4" s="3"/>
      <c r="G4" s="3"/>
      <c r="H4" s="3"/>
      <c r="I4" s="3"/>
      <c r="J4" s="3"/>
      <c r="K4" s="3"/>
      <c r="L4" s="4"/>
      <c r="M4" s="3"/>
      <c r="N4" s="3"/>
      <c r="O4" s="3"/>
      <c r="P4" s="3"/>
    </row>
    <row r="5" spans="2:16" ht="15" customHeight="1" x14ac:dyDescent="0.2">
      <c r="B5" s="67" t="s">
        <v>193</v>
      </c>
      <c r="C5" s="67"/>
      <c r="D5" s="67"/>
      <c r="E5" s="67"/>
      <c r="G5" s="67" t="s">
        <v>240</v>
      </c>
      <c r="H5" s="67"/>
      <c r="I5" s="67"/>
      <c r="J5" s="67"/>
      <c r="K5" s="67"/>
    </row>
    <row r="6" spans="2:16" ht="15" customHeight="1" x14ac:dyDescent="0.2">
      <c r="B6" t="s">
        <v>194</v>
      </c>
      <c r="C6" t="s">
        <v>340</v>
      </c>
    </row>
    <row r="7" spans="2:16" ht="15" customHeight="1" x14ac:dyDescent="0.2">
      <c r="B7" t="s">
        <v>195</v>
      </c>
      <c r="C7" t="s">
        <v>341</v>
      </c>
    </row>
    <row r="8" spans="2:16" ht="15" customHeight="1" x14ac:dyDescent="0.2">
      <c r="B8" t="s">
        <v>196</v>
      </c>
      <c r="C8" t="s">
        <v>243</v>
      </c>
    </row>
    <row r="9" spans="2:16" ht="15" customHeight="1" x14ac:dyDescent="0.2">
      <c r="B9" t="s">
        <v>197</v>
      </c>
      <c r="C9" t="s">
        <v>342</v>
      </c>
    </row>
    <row r="10" spans="2:16" ht="15" customHeight="1" x14ac:dyDescent="0.2">
      <c r="B10" t="s">
        <v>198</v>
      </c>
      <c r="C10" t="s">
        <v>199</v>
      </c>
    </row>
    <row r="11" spans="2:16" ht="15" customHeight="1" x14ac:dyDescent="0.2"/>
    <row r="12" spans="2:16" ht="15" customHeight="1" x14ac:dyDescent="0.2">
      <c r="B12" s="67" t="s">
        <v>200</v>
      </c>
      <c r="C12" s="67"/>
      <c r="D12" s="67"/>
      <c r="E12" s="67"/>
    </row>
    <row r="13" spans="2:16" ht="15" customHeight="1" x14ac:dyDescent="0.2">
      <c r="B13" t="s">
        <v>201</v>
      </c>
      <c r="C13" s="41">
        <v>92.92</v>
      </c>
    </row>
    <row r="14" spans="2:16" ht="15" customHeight="1" x14ac:dyDescent="0.2"/>
    <row r="15" spans="2:16" ht="15" customHeight="1" x14ac:dyDescent="0.2">
      <c r="B15" s="24"/>
      <c r="C15" s="85" t="s">
        <v>245</v>
      </c>
      <c r="D15" s="24" t="s">
        <v>246</v>
      </c>
      <c r="E15" s="24" t="s">
        <v>192</v>
      </c>
    </row>
    <row r="16" spans="2:16" ht="15" customHeight="1" x14ac:dyDescent="0.2">
      <c r="B16" t="s">
        <v>247</v>
      </c>
      <c r="C16" s="86">
        <f ca="1">MAX(E21:E25)</f>
        <v>222.52294035012258</v>
      </c>
      <c r="D16" s="12">
        <f ca="1">C16/$C$13-1</f>
        <v>1.3947798143577548</v>
      </c>
      <c r="E16" s="61" t="str">
        <f ca="1">IF(D16&gt;10%,"BUY",IF(D16&lt;-10%,"SELL","HOLD"))</f>
        <v>BUY</v>
      </c>
    </row>
    <row r="17" spans="2:16" ht="15" customHeight="1" x14ac:dyDescent="0.2">
      <c r="B17" t="s">
        <v>248</v>
      </c>
      <c r="C17" s="86">
        <f ca="1">AVERAGE(E21:E25)</f>
        <v>130.49414485971494</v>
      </c>
      <c r="D17" s="12">
        <f t="shared" ref="D17:D18" ca="1" si="0">C17/$C$13-1</f>
        <v>0.40437090895087091</v>
      </c>
      <c r="E17" s="61" t="str">
        <f t="shared" ref="E17" ca="1" si="1">IF(D17&gt;10%,"BUY",IF(D17&lt;-10%,"SELL","HOLD"))</f>
        <v>BUY</v>
      </c>
    </row>
    <row r="18" spans="2:16" ht="15" customHeight="1" x14ac:dyDescent="0.2">
      <c r="B18" t="s">
        <v>249</v>
      </c>
      <c r="C18" s="86">
        <f ca="1">MIN(E21:E25)</f>
        <v>13.579805693250169</v>
      </c>
      <c r="D18" s="12">
        <f t="shared" ca="1" si="0"/>
        <v>-0.85385486770070851</v>
      </c>
      <c r="E18" s="61" t="str">
        <f ca="1">IF(D18&gt;10%,"BUY",IF(D18&lt;-10%,"SELL","HOLD"))</f>
        <v>SELL</v>
      </c>
    </row>
    <row r="19" spans="2:16" ht="15" customHeight="1" x14ac:dyDescent="0.2"/>
    <row r="20" spans="2:16" ht="15" customHeight="1" x14ac:dyDescent="0.2">
      <c r="B20" s="67" t="s">
        <v>250</v>
      </c>
      <c r="C20" s="67"/>
      <c r="D20" s="67"/>
      <c r="E20" s="67"/>
    </row>
    <row r="21" spans="2:16" ht="15" customHeight="1" x14ac:dyDescent="0.2">
      <c r="B21" t="s">
        <v>251</v>
      </c>
      <c r="E21" s="41">
        <f ca="1">D34</f>
        <v>13.579805693250169</v>
      </c>
    </row>
    <row r="22" spans="2:16" ht="15" customHeight="1" x14ac:dyDescent="0.2">
      <c r="B22" t="s">
        <v>252</v>
      </c>
      <c r="E22" s="41">
        <f ca="1">D58</f>
        <v>74.1064585256334</v>
      </c>
    </row>
    <row r="23" spans="2:16" ht="15" customHeight="1" x14ac:dyDescent="0.2">
      <c r="B23" t="s">
        <v>253</v>
      </c>
      <c r="E23" s="41">
        <f>D76</f>
        <v>222.52294035012258</v>
      </c>
    </row>
    <row r="24" spans="2:16" ht="15" customHeight="1" x14ac:dyDescent="0.2">
      <c r="B24" t="s">
        <v>254</v>
      </c>
      <c r="E24" s="41">
        <f>D81</f>
        <v>184.26194467747101</v>
      </c>
    </row>
    <row r="25" spans="2:16" ht="15" customHeight="1" x14ac:dyDescent="0.2">
      <c r="B25" t="s">
        <v>255</v>
      </c>
      <c r="E25" s="41">
        <f>D85</f>
        <v>157.99957505209753</v>
      </c>
    </row>
    <row r="26" spans="2:16" ht="15" customHeight="1" x14ac:dyDescent="0.2"/>
    <row r="27" spans="2:16" x14ac:dyDescent="0.2">
      <c r="B27" s="1" t="s">
        <v>256</v>
      </c>
      <c r="C27" s="2"/>
      <c r="D27" s="2"/>
      <c r="E27" s="3"/>
      <c r="F27" s="3"/>
      <c r="G27" s="3"/>
      <c r="H27" s="3"/>
      <c r="I27" s="3"/>
      <c r="J27" s="3"/>
      <c r="K27" s="3"/>
      <c r="L27" s="3"/>
      <c r="M27" s="3"/>
      <c r="N27" s="3"/>
      <c r="O27" s="3"/>
      <c r="P27" s="3"/>
    </row>
    <row r="28" spans="2:16" x14ac:dyDescent="0.2">
      <c r="B28" s="44" t="s">
        <v>257</v>
      </c>
      <c r="C28" s="45"/>
      <c r="D28" s="45"/>
      <c r="E28" s="45"/>
      <c r="F28" s="45"/>
      <c r="G28" s="45"/>
      <c r="H28" s="45"/>
      <c r="I28" s="45"/>
      <c r="J28" s="87" t="s">
        <v>12</v>
      </c>
      <c r="K28" s="87" t="s">
        <v>13</v>
      </c>
      <c r="L28" s="87" t="s">
        <v>14</v>
      </c>
      <c r="M28" s="87" t="s">
        <v>15</v>
      </c>
      <c r="N28" s="87" t="s">
        <v>16</v>
      </c>
    </row>
    <row r="29" spans="2:16" x14ac:dyDescent="0.2">
      <c r="B29" t="s">
        <v>258</v>
      </c>
      <c r="E29" s="88"/>
      <c r="F29" s="88"/>
      <c r="G29" s="88"/>
      <c r="H29" s="88"/>
      <c r="I29" s="88"/>
      <c r="J29" s="117">
        <f ca="1">-J227/J148</f>
        <v>0.13978558229395183</v>
      </c>
      <c r="K29" s="117">
        <f t="shared" ref="K29:N29" ca="1" si="2">-K227/K148</f>
        <v>0.153844884767359</v>
      </c>
      <c r="L29" s="117">
        <f t="shared" ca="1" si="2"/>
        <v>0.16940998060882387</v>
      </c>
      <c r="M29" s="117">
        <f t="shared" ca="1" si="2"/>
        <v>0.18459442321183223</v>
      </c>
      <c r="N29" s="117">
        <f t="shared" ca="1" si="2"/>
        <v>0.20212313525707326</v>
      </c>
    </row>
    <row r="30" spans="2:16" x14ac:dyDescent="0.2">
      <c r="B30" t="s">
        <v>259</v>
      </c>
      <c r="D30" s="5">
        <v>8.2500000000000004E-2</v>
      </c>
      <c r="F30" s="6"/>
      <c r="G30" s="6"/>
      <c r="H30" s="6"/>
      <c r="I30" s="6"/>
      <c r="J30" s="89"/>
      <c r="K30" s="89"/>
      <c r="L30" s="89"/>
      <c r="M30" s="89"/>
      <c r="N30" s="89"/>
    </row>
    <row r="31" spans="2:16" x14ac:dyDescent="0.2">
      <c r="B31" t="s">
        <v>260</v>
      </c>
      <c r="D31" s="145">
        <f>'CAPM Models'!X28</f>
        <v>9.3327403120643818E-2</v>
      </c>
    </row>
    <row r="32" spans="2:16" x14ac:dyDescent="0.2">
      <c r="B32" t="s">
        <v>261</v>
      </c>
      <c r="D32" s="90"/>
      <c r="N32" s="117">
        <f ca="1">(N29*(1+D30))/(D31-D30)</f>
        <v>20.207827442816384</v>
      </c>
    </row>
    <row r="33" spans="2:16" ht="16" thickBot="1" x14ac:dyDescent="0.25">
      <c r="B33" t="s">
        <v>262</v>
      </c>
      <c r="E33" s="77"/>
      <c r="F33" s="77"/>
      <c r="G33" s="77"/>
      <c r="H33" s="77"/>
      <c r="I33" s="77"/>
      <c r="J33" s="118">
        <f ca="1">J29</f>
        <v>0.13978558229395183</v>
      </c>
      <c r="K33" s="118">
        <f t="shared" ref="K33:M33" ca="1" si="3">K29</f>
        <v>0.153844884767359</v>
      </c>
      <c r="L33" s="118">
        <f t="shared" ca="1" si="3"/>
        <v>0.16940998060882387</v>
      </c>
      <c r="M33" s="118">
        <f t="shared" ca="1" si="3"/>
        <v>0.18459442321183223</v>
      </c>
      <c r="N33" s="118">
        <f ca="1">N29+N32</f>
        <v>20.409950578073456</v>
      </c>
    </row>
    <row r="34" spans="2:16" ht="16" thickBot="1" x14ac:dyDescent="0.25">
      <c r="B34" s="91" t="s">
        <v>172</v>
      </c>
      <c r="C34" s="92"/>
      <c r="D34" s="120">
        <f ca="1">NPV(D31,J33:N33)</f>
        <v>13.579805693250169</v>
      </c>
    </row>
    <row r="36" spans="2:16" x14ac:dyDescent="0.2">
      <c r="B36" s="44" t="s">
        <v>263</v>
      </c>
      <c r="C36" s="45"/>
      <c r="D36" s="45"/>
      <c r="E36" s="45"/>
      <c r="F36" s="45"/>
      <c r="G36" s="44" t="s">
        <v>264</v>
      </c>
      <c r="H36" s="45"/>
      <c r="I36" s="45"/>
      <c r="J36" s="45"/>
      <c r="K36" s="45"/>
      <c r="L36" s="44" t="s">
        <v>265</v>
      </c>
      <c r="M36" s="45"/>
      <c r="N36" s="45"/>
      <c r="O36" s="45"/>
      <c r="P36" s="45" t="s">
        <v>266</v>
      </c>
    </row>
    <row r="37" spans="2:16" x14ac:dyDescent="0.2">
      <c r="B37" t="s">
        <v>267</v>
      </c>
      <c r="E37" s="121">
        <f>I148</f>
        <v>1120</v>
      </c>
      <c r="G37" t="s">
        <v>268</v>
      </c>
      <c r="J37" s="124">
        <f>E39/SUM($E$39:$E$42)</f>
        <v>0.93211786180669132</v>
      </c>
      <c r="L37" t="s">
        <v>269</v>
      </c>
      <c r="O37" s="119">
        <f>D31</f>
        <v>9.3327403120643818E-2</v>
      </c>
      <c r="P37" s="5"/>
    </row>
    <row r="38" spans="2:16" x14ac:dyDescent="0.2">
      <c r="B38" t="s">
        <v>270</v>
      </c>
      <c r="E38" s="117">
        <f>C13</f>
        <v>92.92</v>
      </c>
      <c r="G38" t="s">
        <v>271</v>
      </c>
      <c r="J38" s="124">
        <f t="shared" ref="J38:J40" si="4">E40/SUM($E$39:$E$42)</f>
        <v>0</v>
      </c>
      <c r="L38" t="s">
        <v>272</v>
      </c>
      <c r="O38" s="119">
        <v>0</v>
      </c>
      <c r="P38" s="5"/>
    </row>
    <row r="39" spans="2:16" x14ac:dyDescent="0.2">
      <c r="B39" t="s">
        <v>273</v>
      </c>
      <c r="E39" s="122">
        <f>E37*E38</f>
        <v>104070.40000000001</v>
      </c>
      <c r="G39" t="s">
        <v>274</v>
      </c>
      <c r="J39" s="124">
        <f t="shared" si="4"/>
        <v>6.650282043611519E-2</v>
      </c>
      <c r="L39" t="s">
        <v>275</v>
      </c>
      <c r="O39" s="119">
        <f>I271</f>
        <v>2.4805150796340224E-2</v>
      </c>
      <c r="P39" s="5"/>
    </row>
    <row r="40" spans="2:16" x14ac:dyDescent="0.2">
      <c r="B40" t="s">
        <v>276</v>
      </c>
      <c r="E40" s="117">
        <f>0</f>
        <v>0</v>
      </c>
      <c r="G40" t="s">
        <v>277</v>
      </c>
      <c r="J40" s="124">
        <f t="shared" si="4"/>
        <v>1.3793177571935003E-3</v>
      </c>
      <c r="L40" t="s">
        <v>278</v>
      </c>
      <c r="O40" s="119">
        <f>O39*(1-E43)</f>
        <v>2.1084378176889192E-2</v>
      </c>
      <c r="P40" s="5"/>
    </row>
    <row r="41" spans="2:16" x14ac:dyDescent="0.2">
      <c r="B41" t="s">
        <v>279</v>
      </c>
      <c r="E41" s="122">
        <f>I169+I172+I173</f>
        <v>7425</v>
      </c>
      <c r="L41" t="s">
        <v>280</v>
      </c>
      <c r="O41" s="119">
        <f>'CAPM Models'!X26</f>
        <v>3.0499999999999999E-2</v>
      </c>
      <c r="P41" s="5" t="s">
        <v>374</v>
      </c>
    </row>
    <row r="42" spans="2:16" x14ac:dyDescent="0.2">
      <c r="B42" t="s">
        <v>281</v>
      </c>
      <c r="E42" s="122">
        <f>I168</f>
        <v>154</v>
      </c>
      <c r="L42" t="s">
        <v>282</v>
      </c>
      <c r="O42" s="119">
        <f>O41*(1-E43)</f>
        <v>2.5925E-2</v>
      </c>
      <c r="P42" s="5"/>
    </row>
    <row r="43" spans="2:16" ht="16" thickBot="1" x14ac:dyDescent="0.25">
      <c r="B43" t="s">
        <v>283</v>
      </c>
      <c r="E43" s="123">
        <f>J108</f>
        <v>0.15</v>
      </c>
      <c r="G43" s="43"/>
      <c r="H43" s="15"/>
      <c r="P43" s="5"/>
    </row>
    <row r="44" spans="2:16" ht="16" thickBot="1" x14ac:dyDescent="0.25">
      <c r="B44" s="91" t="s">
        <v>284</v>
      </c>
      <c r="C44" s="93"/>
      <c r="D44" s="125">
        <f>J37*O37+J38*O38+J39*O40+J40*O42</f>
        <v>8.8430068873545695E-2</v>
      </c>
      <c r="H44" s="43"/>
    </row>
    <row r="46" spans="2:16" x14ac:dyDescent="0.2">
      <c r="B46" s="44" t="s">
        <v>285</v>
      </c>
      <c r="C46" s="45"/>
      <c r="D46" s="45"/>
      <c r="E46" s="45"/>
      <c r="F46" s="45"/>
      <c r="G46" s="45"/>
      <c r="H46" s="45"/>
      <c r="I46" s="45"/>
      <c r="J46" s="87" t="s">
        <v>12</v>
      </c>
      <c r="K46" s="87" t="s">
        <v>13</v>
      </c>
      <c r="L46" s="87" t="s">
        <v>14</v>
      </c>
      <c r="M46" s="87" t="s">
        <v>15</v>
      </c>
      <c r="N46" s="87" t="s">
        <v>16</v>
      </c>
      <c r="O46" s="45"/>
      <c r="P46" s="45"/>
    </row>
    <row r="47" spans="2:16" x14ac:dyDescent="0.2">
      <c r="B47" t="s">
        <v>286</v>
      </c>
      <c r="E47" s="52"/>
      <c r="F47" s="52"/>
      <c r="G47" s="52"/>
      <c r="H47" s="52"/>
      <c r="I47" s="52"/>
      <c r="J47" s="128">
        <f ca="1">J204+J207</f>
        <v>9044.1242576424193</v>
      </c>
      <c r="K47" s="128">
        <f t="shared" ref="K47:N47" ca="1" si="5">K204+K207</f>
        <v>4305.6649846124819</v>
      </c>
      <c r="L47" s="128">
        <f t="shared" ca="1" si="5"/>
        <v>4520.405894395235</v>
      </c>
      <c r="M47" s="128">
        <f t="shared" ca="1" si="5"/>
        <v>4661.5471110869057</v>
      </c>
      <c r="N47" s="128">
        <f t="shared" ca="1" si="5"/>
        <v>4807.9449312994293</v>
      </c>
    </row>
    <row r="48" spans="2:16" x14ac:dyDescent="0.2">
      <c r="B48" t="s">
        <v>287</v>
      </c>
      <c r="D48" s="5">
        <v>0.04</v>
      </c>
    </row>
    <row r="49" spans="2:16" x14ac:dyDescent="0.2">
      <c r="B49" t="s">
        <v>288</v>
      </c>
      <c r="D49" s="119">
        <f>D44</f>
        <v>8.8430068873545695E-2</v>
      </c>
    </row>
    <row r="50" spans="2:16" x14ac:dyDescent="0.2">
      <c r="B50" t="s">
        <v>289</v>
      </c>
      <c r="N50" s="122">
        <f ca="1">(N47*(1+D48))/(D49-D48)</f>
        <v>103247.07036051183</v>
      </c>
    </row>
    <row r="51" spans="2:16" x14ac:dyDescent="0.2">
      <c r="B51" t="s">
        <v>262</v>
      </c>
      <c r="E51" s="52"/>
      <c r="F51" s="52"/>
      <c r="G51" s="52"/>
      <c r="H51" s="52" t="s">
        <v>379</v>
      </c>
      <c r="I51" s="52"/>
      <c r="J51" s="128">
        <f ca="1">J47</f>
        <v>9044.1242576424193</v>
      </c>
      <c r="K51" s="128">
        <f t="shared" ref="K51:M51" ca="1" si="6">K47</f>
        <v>4305.6649846124819</v>
      </c>
      <c r="L51" s="128">
        <f t="shared" ca="1" si="6"/>
        <v>4520.405894395235</v>
      </c>
      <c r="M51" s="128">
        <f t="shared" ca="1" si="6"/>
        <v>4661.5471110869057</v>
      </c>
      <c r="N51" s="128">
        <f ca="1">N47+N50</f>
        <v>108055.01529181126</v>
      </c>
    </row>
    <row r="52" spans="2:16" x14ac:dyDescent="0.2">
      <c r="B52" t="s">
        <v>290</v>
      </c>
      <c r="D52" s="126">
        <f ca="1">NPV(D49,J51:N51)</f>
        <v>89507.23354870941</v>
      </c>
    </row>
    <row r="53" spans="2:16" x14ac:dyDescent="0.2">
      <c r="B53" t="s">
        <v>291</v>
      </c>
      <c r="D53" s="9">
        <v>0.7</v>
      </c>
    </row>
    <row r="54" spans="2:16" x14ac:dyDescent="0.2">
      <c r="B54" t="s">
        <v>292</v>
      </c>
      <c r="D54" s="121">
        <f>I153*D53</f>
        <v>1071</v>
      </c>
    </row>
    <row r="55" spans="2:16" x14ac:dyDescent="0.2">
      <c r="B55" t="s">
        <v>293</v>
      </c>
      <c r="D55" s="122">
        <f ca="1">D52+D54</f>
        <v>90578.23354870941</v>
      </c>
    </row>
    <row r="56" spans="2:16" x14ac:dyDescent="0.2">
      <c r="B56" t="s">
        <v>294</v>
      </c>
      <c r="D56" s="121">
        <f>E40+E41+E42</f>
        <v>7579</v>
      </c>
    </row>
    <row r="57" spans="2:16" ht="16" thickBot="1" x14ac:dyDescent="0.25">
      <c r="B57" t="s">
        <v>295</v>
      </c>
      <c r="D57" s="121">
        <f ca="1">D55-D56</f>
        <v>82999.23354870941</v>
      </c>
    </row>
    <row r="58" spans="2:16" ht="16" thickBot="1" x14ac:dyDescent="0.25">
      <c r="B58" s="91" t="s">
        <v>172</v>
      </c>
      <c r="C58" s="92"/>
      <c r="D58" s="127">
        <f ca="1">D57/E37</f>
        <v>74.1064585256334</v>
      </c>
    </row>
    <row r="60" spans="2:16" x14ac:dyDescent="0.2">
      <c r="B60" s="44" t="s">
        <v>296</v>
      </c>
      <c r="C60" s="45"/>
      <c r="D60" s="45"/>
      <c r="E60" s="45"/>
      <c r="F60" s="45"/>
      <c r="G60" s="45"/>
      <c r="H60" s="45"/>
      <c r="I60" s="45"/>
      <c r="J60" s="45"/>
      <c r="K60" s="45"/>
      <c r="L60" s="45"/>
      <c r="M60" s="45"/>
      <c r="N60" s="45"/>
      <c r="O60" s="45"/>
      <c r="P60" s="45"/>
    </row>
    <row r="61" spans="2:16" x14ac:dyDescent="0.2">
      <c r="D61" s="149" t="s">
        <v>297</v>
      </c>
      <c r="E61" s="149"/>
      <c r="F61" s="149"/>
      <c r="G61" s="154" t="s">
        <v>298</v>
      </c>
      <c r="H61" s="149"/>
      <c r="I61" s="155"/>
      <c r="J61" s="149" t="s">
        <v>256</v>
      </c>
      <c r="K61" s="149"/>
      <c r="L61" s="149"/>
    </row>
    <row r="62" spans="2:16" x14ac:dyDescent="0.2">
      <c r="D62" s="94" t="s">
        <v>299</v>
      </c>
      <c r="E62" s="94" t="s">
        <v>300</v>
      </c>
      <c r="F62" s="94" t="s">
        <v>301</v>
      </c>
      <c r="G62" s="95" t="s">
        <v>302</v>
      </c>
      <c r="H62" s="94" t="s">
        <v>303</v>
      </c>
      <c r="I62" s="96" t="s">
        <v>304</v>
      </c>
      <c r="J62" s="94" t="s">
        <v>305</v>
      </c>
      <c r="K62" s="94" t="s">
        <v>306</v>
      </c>
      <c r="L62" s="94" t="s">
        <v>307</v>
      </c>
    </row>
    <row r="63" spans="2:16" x14ac:dyDescent="0.2">
      <c r="B63" t="s">
        <v>308</v>
      </c>
      <c r="D63" s="41">
        <v>101.9</v>
      </c>
      <c r="E63" s="97">
        <v>165715</v>
      </c>
      <c r="F63" s="97">
        <v>284365</v>
      </c>
      <c r="G63" s="98">
        <v>26434</v>
      </c>
      <c r="H63" s="99">
        <v>14116</v>
      </c>
      <c r="I63" s="100">
        <v>3162</v>
      </c>
      <c r="J63" s="101">
        <f>F63/G63</f>
        <v>10.757547098433836</v>
      </c>
      <c r="K63" s="101">
        <f>F63/H63</f>
        <v>20.144871068291302</v>
      </c>
      <c r="L63" s="101">
        <f>E63/I63</f>
        <v>52.408285895003161</v>
      </c>
      <c r="M63" s="42"/>
    </row>
    <row r="64" spans="2:16" x14ac:dyDescent="0.2">
      <c r="B64" t="s">
        <v>309</v>
      </c>
      <c r="D64" s="41">
        <v>138.96</v>
      </c>
      <c r="E64" s="97">
        <v>158921</v>
      </c>
      <c r="F64" s="97">
        <v>274666</v>
      </c>
      <c r="G64" s="98">
        <v>33566</v>
      </c>
      <c r="H64" s="99">
        <v>11376</v>
      </c>
      <c r="I64" s="100">
        <v>9043</v>
      </c>
      <c r="J64" s="101">
        <f t="shared" ref="J64:J68" si="7">F64/G64</f>
        <v>8.1828636119883207</v>
      </c>
      <c r="K64" s="101">
        <f t="shared" ref="K64:K68" si="8">F64/H64</f>
        <v>24.144338959212376</v>
      </c>
      <c r="L64" s="101">
        <f t="shared" ref="L64:L68" si="9">E64/I64</f>
        <v>17.573924582550038</v>
      </c>
      <c r="M64" s="42"/>
    </row>
    <row r="65" spans="2:13" x14ac:dyDescent="0.2">
      <c r="B65" t="s">
        <v>310</v>
      </c>
      <c r="D65" s="41">
        <v>177.07</v>
      </c>
      <c r="E65" s="97">
        <v>47740</v>
      </c>
      <c r="F65" s="97">
        <v>98312</v>
      </c>
      <c r="G65" s="98">
        <v>11063</v>
      </c>
      <c r="H65" s="99">
        <v>3845</v>
      </c>
      <c r="I65" s="100">
        <v>1871</v>
      </c>
      <c r="J65" s="101">
        <f t="shared" si="7"/>
        <v>8.8865587996022786</v>
      </c>
      <c r="K65" s="101">
        <f t="shared" si="8"/>
        <v>25.568790637191157</v>
      </c>
      <c r="L65" s="101">
        <f t="shared" si="9"/>
        <v>25.515766969535008</v>
      </c>
      <c r="M65" s="42"/>
    </row>
    <row r="66" spans="2:13" x14ac:dyDescent="0.2">
      <c r="B66" t="s">
        <v>347</v>
      </c>
      <c r="D66" s="41">
        <v>50.71</v>
      </c>
      <c r="E66" s="97">
        <v>205832</v>
      </c>
      <c r="F66" s="97">
        <v>243933</v>
      </c>
      <c r="G66" s="98">
        <v>79024</v>
      </c>
      <c r="H66" s="99">
        <v>28861</v>
      </c>
      <c r="I66" s="100">
        <v>19868</v>
      </c>
      <c r="J66" s="101">
        <f t="shared" si="7"/>
        <v>3.0868217250455556</v>
      </c>
      <c r="K66" s="101">
        <f t="shared" si="8"/>
        <v>8.4519940404005407</v>
      </c>
      <c r="L66" s="101">
        <f t="shared" si="9"/>
        <v>10.359975840547614</v>
      </c>
      <c r="M66" s="42"/>
    </row>
    <row r="67" spans="2:13" x14ac:dyDescent="0.2">
      <c r="B67" t="s">
        <v>349</v>
      </c>
      <c r="D67" s="41">
        <v>294.92</v>
      </c>
      <c r="E67" s="97">
        <v>736120</v>
      </c>
      <c r="F67" s="97">
        <v>768340</v>
      </c>
      <c r="G67" s="98">
        <v>26914</v>
      </c>
      <c r="H67" s="99">
        <v>10652</v>
      </c>
      <c r="I67" s="100">
        <v>9752</v>
      </c>
      <c r="J67" s="101">
        <f t="shared" si="7"/>
        <v>28.547967600505313</v>
      </c>
      <c r="K67" s="101">
        <f t="shared" si="8"/>
        <v>72.131055200901244</v>
      </c>
      <c r="L67" s="101">
        <f t="shared" si="9"/>
        <v>75.484003281378179</v>
      </c>
      <c r="M67" s="42"/>
    </row>
    <row r="68" spans="2:13" x14ac:dyDescent="0.2">
      <c r="B68" t="s">
        <v>348</v>
      </c>
      <c r="D68" s="102">
        <v>86.39</v>
      </c>
      <c r="E68" s="103">
        <v>47687</v>
      </c>
      <c r="F68" s="103">
        <v>55374</v>
      </c>
      <c r="G68" s="104">
        <v>6821</v>
      </c>
      <c r="H68" s="103">
        <v>2253</v>
      </c>
      <c r="I68" s="105">
        <v>1286</v>
      </c>
      <c r="J68" s="106">
        <f t="shared" si="7"/>
        <v>8.1181644920099689</v>
      </c>
      <c r="K68" s="107">
        <f t="shared" si="8"/>
        <v>24.577896138482025</v>
      </c>
      <c r="L68" s="107">
        <f t="shared" si="9"/>
        <v>37.081648522550545</v>
      </c>
      <c r="M68" s="42"/>
    </row>
    <row r="69" spans="2:13" x14ac:dyDescent="0.2">
      <c r="B69" t="s">
        <v>6</v>
      </c>
      <c r="J69" s="129">
        <f>AVERAGE(J63:J68)</f>
        <v>11.263320554597547</v>
      </c>
      <c r="K69" s="129">
        <f t="shared" ref="K69:L69" si="10">AVERAGE(K63:K68)</f>
        <v>29.169824340746441</v>
      </c>
      <c r="L69" s="129">
        <f t="shared" si="10"/>
        <v>36.403934181927426</v>
      </c>
    </row>
    <row r="71" spans="2:13" x14ac:dyDescent="0.2">
      <c r="B71" t="s">
        <v>350</v>
      </c>
      <c r="C71" s="77"/>
      <c r="D71" s="130">
        <f>C13</f>
        <v>92.92</v>
      </c>
      <c r="E71" s="43"/>
      <c r="F71" s="15"/>
      <c r="G71" s="122">
        <f>I131</f>
        <v>22705</v>
      </c>
      <c r="H71" s="122">
        <f>I137+I192+I193</f>
        <v>7298</v>
      </c>
      <c r="I71" s="122">
        <f>I143</f>
        <v>4861</v>
      </c>
      <c r="J71" s="108"/>
      <c r="K71" s="108"/>
    </row>
    <row r="72" spans="2:13" x14ac:dyDescent="0.2">
      <c r="C72" s="77"/>
      <c r="D72" s="43"/>
      <c r="E72" s="43"/>
      <c r="F72" s="22"/>
      <c r="G72" s="22"/>
      <c r="H72" s="22"/>
      <c r="I72" s="101"/>
      <c r="J72" s="101"/>
      <c r="K72" s="101"/>
    </row>
    <row r="73" spans="2:13" x14ac:dyDescent="0.2">
      <c r="B73" s="27" t="s">
        <v>313</v>
      </c>
      <c r="C73" s="77"/>
      <c r="D73" s="43"/>
      <c r="E73" s="43"/>
      <c r="F73" s="22"/>
      <c r="G73" s="22"/>
      <c r="H73" s="22"/>
      <c r="I73" s="101"/>
      <c r="J73" s="101"/>
      <c r="K73" s="101"/>
    </row>
    <row r="74" spans="2:13" x14ac:dyDescent="0.2">
      <c r="B74" t="s">
        <v>314</v>
      </c>
      <c r="D74" s="122">
        <f>G71*J69</f>
        <v>255733.69319213729</v>
      </c>
    </row>
    <row r="75" spans="2:13" ht="16" thickBot="1" x14ac:dyDescent="0.25">
      <c r="B75" t="s">
        <v>315</v>
      </c>
      <c r="D75" s="121">
        <f>D74+D54-D56</f>
        <v>249225.69319213729</v>
      </c>
    </row>
    <row r="76" spans="2:13" ht="16" thickBot="1" x14ac:dyDescent="0.25">
      <c r="B76" s="91" t="s">
        <v>172</v>
      </c>
      <c r="C76" s="92"/>
      <c r="D76" s="127">
        <f>D75/E37</f>
        <v>222.52294035012258</v>
      </c>
    </row>
    <row r="78" spans="2:13" x14ac:dyDescent="0.2">
      <c r="B78" s="27" t="s">
        <v>316</v>
      </c>
    </row>
    <row r="79" spans="2:13" x14ac:dyDescent="0.2">
      <c r="B79" t="s">
        <v>314</v>
      </c>
      <c r="D79" s="122">
        <f>H71*K69</f>
        <v>212881.37803876752</v>
      </c>
    </row>
    <row r="80" spans="2:13" ht="16" thickBot="1" x14ac:dyDescent="0.25">
      <c r="B80" t="s">
        <v>315</v>
      </c>
      <c r="D80" s="121">
        <f>D79+D54-D56</f>
        <v>206373.37803876752</v>
      </c>
    </row>
    <row r="81" spans="2:16" ht="16" thickBot="1" x14ac:dyDescent="0.25">
      <c r="B81" s="91" t="s">
        <v>172</v>
      </c>
      <c r="C81" s="92"/>
      <c r="D81" s="127">
        <f>D80/E37</f>
        <v>184.26194467747101</v>
      </c>
    </row>
    <row r="82" spans="2:16" x14ac:dyDescent="0.2">
      <c r="B82" s="27"/>
      <c r="D82" s="109"/>
    </row>
    <row r="83" spans="2:16" x14ac:dyDescent="0.2">
      <c r="B83" s="27" t="s">
        <v>317</v>
      </c>
    </row>
    <row r="84" spans="2:16" ht="16" thickBot="1" x14ac:dyDescent="0.25">
      <c r="B84" t="s">
        <v>314</v>
      </c>
      <c r="D84" s="122">
        <f>I71*L69</f>
        <v>176959.52405834923</v>
      </c>
    </row>
    <row r="85" spans="2:16" ht="16" thickBot="1" x14ac:dyDescent="0.25">
      <c r="B85" s="91" t="s">
        <v>172</v>
      </c>
      <c r="C85" s="92"/>
      <c r="D85" s="127">
        <f>D84/E37</f>
        <v>157.99957505209753</v>
      </c>
      <c r="E85" s="42"/>
    </row>
    <row r="86" spans="2:16" ht="15" customHeight="1" x14ac:dyDescent="0.2"/>
    <row r="87" spans="2:16" x14ac:dyDescent="0.2">
      <c r="B87" s="1" t="s">
        <v>361</v>
      </c>
      <c r="C87" s="2"/>
      <c r="D87" s="2"/>
      <c r="E87" s="3" t="s">
        <v>1</v>
      </c>
      <c r="F87" s="3" t="s">
        <v>2</v>
      </c>
      <c r="G87" s="3" t="s">
        <v>3</v>
      </c>
      <c r="H87" s="3" t="s">
        <v>4</v>
      </c>
      <c r="I87" s="3" t="s">
        <v>5</v>
      </c>
      <c r="J87" s="3" t="s">
        <v>12</v>
      </c>
      <c r="K87" s="3" t="s">
        <v>13</v>
      </c>
      <c r="L87" s="3" t="s">
        <v>14</v>
      </c>
      <c r="M87" s="3" t="s">
        <v>15</v>
      </c>
      <c r="N87" s="3" t="s">
        <v>16</v>
      </c>
      <c r="O87" s="3"/>
      <c r="P87" s="3"/>
    </row>
    <row r="89" spans="2:16" x14ac:dyDescent="0.2">
      <c r="B89" t="s">
        <v>363</v>
      </c>
      <c r="E89" s="143">
        <f>(E158-E155)/E171</f>
        <v>1.7499062617172854</v>
      </c>
      <c r="F89" s="143">
        <f t="shared" ref="F89:N89" si="11">(F158-F155)/F171</f>
        <v>1.7292318387208898</v>
      </c>
      <c r="G89" s="143">
        <f t="shared" si="11"/>
        <v>0.95054773082942101</v>
      </c>
      <c r="H89" s="143">
        <f t="shared" si="11"/>
        <v>1.0675207234363224</v>
      </c>
      <c r="I89" s="143">
        <f t="shared" si="11"/>
        <v>1.4016064257028114</v>
      </c>
      <c r="J89" s="143">
        <f t="shared" ca="1" si="11"/>
        <v>1.8367997187046281</v>
      </c>
      <c r="K89" s="143">
        <f t="shared" ca="1" si="11"/>
        <v>1.9344643604907603</v>
      </c>
      <c r="L89" s="143">
        <f t="shared" ca="1" si="11"/>
        <v>1.7276956798887395</v>
      </c>
      <c r="M89" s="143">
        <f t="shared" ca="1" si="11"/>
        <v>1.8094713749477609</v>
      </c>
      <c r="N89" s="143">
        <f t="shared" ca="1" si="11"/>
        <v>1.6492010092930183</v>
      </c>
    </row>
    <row r="90" spans="2:16" x14ac:dyDescent="0.2">
      <c r="B90" t="s">
        <v>364</v>
      </c>
      <c r="E90" s="143">
        <f>(E168+E169+E172)/E164</f>
        <v>0.31508942721304051</v>
      </c>
      <c r="F90" s="143">
        <f t="shared" ref="F90:N90" si="12">(F168+F169+F172)/F164</f>
        <v>0.23570275426838216</v>
      </c>
      <c r="G90" s="143">
        <f t="shared" si="12"/>
        <v>0.20311639434551129</v>
      </c>
      <c r="H90" s="143">
        <f t="shared" si="12"/>
        <v>0.13791027424277025</v>
      </c>
      <c r="I90" s="143">
        <f t="shared" si="12"/>
        <v>0.13386437599333989</v>
      </c>
      <c r="J90" s="143">
        <f t="shared" ca="1" si="12"/>
        <v>0.12816395066841949</v>
      </c>
      <c r="K90" s="143">
        <f t="shared" ca="1" si="12"/>
        <v>0.12507642566826746</v>
      </c>
      <c r="L90" s="143">
        <f t="shared" ca="1" si="12"/>
        <v>0.12208012656732865</v>
      </c>
      <c r="M90" s="143">
        <f t="shared" ca="1" si="12"/>
        <v>0.11917914029737775</v>
      </c>
      <c r="N90" s="143">
        <f t="shared" ca="1" si="12"/>
        <v>0.11636855980786594</v>
      </c>
    </row>
    <row r="91" spans="2:16" x14ac:dyDescent="0.2">
      <c r="B91" t="s">
        <v>365</v>
      </c>
      <c r="E91" s="143">
        <f>E137/E139</f>
        <v>9.7637271214642265</v>
      </c>
      <c r="F91" s="143">
        <f t="shared" ref="F91:N91" si="13">F137/F139</f>
        <v>17.526315789473685</v>
      </c>
      <c r="G91" s="143">
        <f t="shared" si="13"/>
        <v>49.8125</v>
      </c>
      <c r="H91" s="143">
        <f t="shared" si="13"/>
        <v>25.788659793814432</v>
      </c>
      <c r="I91" s="143">
        <f t="shared" si="13"/>
        <v>28.868852459016395</v>
      </c>
      <c r="J91" s="143">
        <f t="shared" ca="1" si="13"/>
        <v>34.544515697203387</v>
      </c>
      <c r="K91" s="143">
        <f t="shared" ca="1" si="13"/>
        <v>36.101235838781335</v>
      </c>
      <c r="L91" s="143">
        <f t="shared" ca="1" si="13"/>
        <v>37.338082463520159</v>
      </c>
      <c r="M91" s="143">
        <f t="shared" ca="1" si="13"/>
        <v>38.613818080036239</v>
      </c>
      <c r="N91" s="143">
        <f t="shared" ca="1" si="13"/>
        <v>39.929424161442583</v>
      </c>
    </row>
    <row r="92" spans="2:16" x14ac:dyDescent="0.2">
      <c r="B92" t="s">
        <v>366</v>
      </c>
      <c r="E92" s="143">
        <f>E132/E155</f>
        <v>3.8059558117195005</v>
      </c>
      <c r="F92" s="143">
        <f t="shared" ref="F92:N92" si="14">F132/F155</f>
        <v>3.4770514603616132</v>
      </c>
      <c r="G92" s="143">
        <f t="shared" si="14"/>
        <v>2.4822196170379054</v>
      </c>
      <c r="H92" s="143">
        <f t="shared" si="14"/>
        <v>2.3977293876791363</v>
      </c>
      <c r="I92" s="143">
        <f t="shared" si="14"/>
        <v>2.9601069757075997</v>
      </c>
      <c r="J92" s="143">
        <f t="shared" si="14"/>
        <v>2.9601069757075997</v>
      </c>
      <c r="K92" s="143">
        <f t="shared" si="14"/>
        <v>2.9601069757075993</v>
      </c>
      <c r="L92" s="143">
        <f t="shared" si="14"/>
        <v>2.9601069757075997</v>
      </c>
      <c r="M92" s="143">
        <f t="shared" si="14"/>
        <v>2.9601069757076002</v>
      </c>
      <c r="N92" s="143">
        <f t="shared" si="14"/>
        <v>2.9601069757075997</v>
      </c>
    </row>
    <row r="93" spans="2:16" x14ac:dyDescent="0.2">
      <c r="B93" t="s">
        <v>367</v>
      </c>
      <c r="E93" s="143">
        <f>E131/E159</f>
        <v>1.0458545622973598</v>
      </c>
      <c r="F93" s="143">
        <f t="shared" ref="F93:N93" si="15">F131/F159</f>
        <v>0.90364143291652588</v>
      </c>
      <c r="G93" s="143">
        <f t="shared" si="15"/>
        <v>0.79341359773371101</v>
      </c>
      <c r="H93" s="143">
        <f t="shared" si="15"/>
        <v>0.69076085205117466</v>
      </c>
      <c r="I93" s="143">
        <f t="shared" si="15"/>
        <v>0.68361786047631956</v>
      </c>
      <c r="J93" s="143">
        <f t="shared" si="15"/>
        <v>0.8036737911318943</v>
      </c>
      <c r="K93" s="143">
        <f t="shared" si="15"/>
        <v>0.8036737911318943</v>
      </c>
      <c r="L93" s="143">
        <f t="shared" si="15"/>
        <v>0.8036737911318943</v>
      </c>
      <c r="M93" s="143">
        <f t="shared" si="15"/>
        <v>0.8036737911318943</v>
      </c>
      <c r="N93" s="143">
        <f t="shared" si="15"/>
        <v>0.8036737911318943</v>
      </c>
    </row>
    <row r="94" spans="2:16" x14ac:dyDescent="0.2">
      <c r="B94" t="s">
        <v>368</v>
      </c>
      <c r="E94" s="143">
        <f>E143/E131</f>
        <v>0.2504182659187088</v>
      </c>
      <c r="F94" s="143">
        <f t="shared" ref="F94:N94" si="16">F143/F131</f>
        <v>0.2400542284138189</v>
      </c>
      <c r="G94" s="143">
        <f t="shared" si="16"/>
        <v>0.23712398464696957</v>
      </c>
      <c r="H94" s="143">
        <f t="shared" si="16"/>
        <v>0.21866106834616281</v>
      </c>
      <c r="I94" s="143">
        <f t="shared" si="16"/>
        <v>0.21409381193569699</v>
      </c>
      <c r="J94" s="143">
        <f t="shared" ca="1" si="16"/>
        <v>0.21359596558160202</v>
      </c>
      <c r="K94" s="143">
        <f t="shared" ca="1" si="16"/>
        <v>0.21735599794609123</v>
      </c>
      <c r="L94" s="143">
        <f t="shared" ca="1" si="16"/>
        <v>0.22029527869707974</v>
      </c>
      <c r="M94" s="143">
        <f t="shared" ca="1" si="16"/>
        <v>0.21997128485222953</v>
      </c>
      <c r="N94" s="143">
        <f t="shared" ca="1" si="16"/>
        <v>0.21961727070463241</v>
      </c>
    </row>
    <row r="95" spans="2:16" x14ac:dyDescent="0.2">
      <c r="B95" t="s">
        <v>369</v>
      </c>
      <c r="E95" s="143">
        <f>(E131-E132)/E131</f>
        <v>0.41511662237968705</v>
      </c>
      <c r="F95" s="143">
        <f t="shared" ref="F95:N95" si="17">(F131-F132)/F131</f>
        <v>0.4156420924687953</v>
      </c>
      <c r="G95" s="143">
        <f t="shared" si="17"/>
        <v>0.43300901544229226</v>
      </c>
      <c r="H95" s="143">
        <f t="shared" si="17"/>
        <v>0.39897364124096102</v>
      </c>
      <c r="I95" s="143">
        <f t="shared" si="17"/>
        <v>0.41501871834397708</v>
      </c>
      <c r="J95" s="143">
        <f t="shared" si="17"/>
        <v>0.41555201797514252</v>
      </c>
      <c r="K95" s="143">
        <f t="shared" si="17"/>
        <v>0.41555201797514257</v>
      </c>
      <c r="L95" s="143">
        <f t="shared" si="17"/>
        <v>0.41555201797514252</v>
      </c>
      <c r="M95" s="143">
        <f t="shared" si="17"/>
        <v>0.41555201797514246</v>
      </c>
      <c r="N95" s="143">
        <f t="shared" si="17"/>
        <v>0.41555201797514252</v>
      </c>
    </row>
    <row r="96" spans="2:16" x14ac:dyDescent="0.2">
      <c r="B96" t="s">
        <v>370</v>
      </c>
      <c r="E96" s="143">
        <f>E143/E164</f>
        <v>0.1440174326465927</v>
      </c>
      <c r="F96" s="143">
        <f t="shared" ref="F96:N96" si="18">F143/F164</f>
        <v>0.12560540090993591</v>
      </c>
      <c r="G96" s="143">
        <f t="shared" si="18"/>
        <v>0.12192491279603451</v>
      </c>
      <c r="H96" s="143">
        <f t="shared" si="18"/>
        <v>9.7303244825510185E-2</v>
      </c>
      <c r="I96" s="143">
        <f t="shared" si="18"/>
        <v>9.1973813668356927E-2</v>
      </c>
      <c r="J96" s="143">
        <f t="shared" ca="1" si="18"/>
        <v>9.3129534738974479E-2</v>
      </c>
      <c r="K96" s="143">
        <f t="shared" ca="1" si="18"/>
        <v>9.5907249765735045E-2</v>
      </c>
      <c r="L96" s="143">
        <f t="shared" ca="1" si="18"/>
        <v>9.8385331127095077E-2</v>
      </c>
      <c r="M96" s="143">
        <f t="shared" ca="1" si="18"/>
        <v>9.9454004758268544E-2</v>
      </c>
      <c r="N96" s="143">
        <f t="shared" ca="1" si="18"/>
        <v>0.10053887704965915</v>
      </c>
    </row>
    <row r="97" spans="1:16" x14ac:dyDescent="0.2">
      <c r="B97" t="s">
        <v>371</v>
      </c>
      <c r="E97" s="143">
        <f>E143/E182</f>
        <v>0.26109486429634188</v>
      </c>
      <c r="F97" s="143">
        <f t="shared" ref="F97:N97" si="19">F143/F182</f>
        <v>0.1992627085758634</v>
      </c>
      <c r="G97" s="143">
        <f t="shared" si="19"/>
        <v>0.18604895472213467</v>
      </c>
      <c r="H97" s="143">
        <f t="shared" si="19"/>
        <v>0.13996476244512795</v>
      </c>
      <c r="I97" s="143">
        <f t="shared" si="19"/>
        <v>0.12915482105375031</v>
      </c>
      <c r="J97" s="143">
        <f t="shared" ca="1" si="19"/>
        <v>0.13013907155684942</v>
      </c>
      <c r="K97" s="143">
        <f t="shared" ca="1" si="19"/>
        <v>0.13379421602223485</v>
      </c>
      <c r="L97" s="143">
        <f t="shared" ca="1" si="19"/>
        <v>0.13704566297554624</v>
      </c>
      <c r="M97" s="143">
        <f t="shared" ca="1" si="19"/>
        <v>0.13835607816332607</v>
      </c>
      <c r="N97" s="143">
        <f t="shared" ca="1" si="19"/>
        <v>0.1397137942927266</v>
      </c>
    </row>
    <row r="98" spans="1:16" x14ac:dyDescent="0.2">
      <c r="B98" t="s">
        <v>362</v>
      </c>
      <c r="E98" s="143">
        <f>((E155/E132)*365)+((E154/E131)*365)-((E167/E132)*365)</f>
        <v>50.901519856409735</v>
      </c>
      <c r="F98" s="143">
        <f t="shared" ref="F98:N98" si="20">((F155/F132)*365)+((F154/F131)*365)-((F167/F132)*365)</f>
        <v>70.725688429713443</v>
      </c>
      <c r="G98" s="143">
        <f t="shared" si="20"/>
        <v>66.183147938962918</v>
      </c>
      <c r="H98" s="143">
        <f t="shared" si="20"/>
        <v>54.035047515707248</v>
      </c>
      <c r="I98" s="143">
        <f t="shared" si="20"/>
        <v>62.349419455610985</v>
      </c>
      <c r="J98" s="143">
        <f t="shared" si="20"/>
        <v>62.349419455610985</v>
      </c>
      <c r="K98" s="143">
        <f t="shared" si="20"/>
        <v>62.349419455611013</v>
      </c>
      <c r="L98" s="143">
        <f t="shared" si="20"/>
        <v>62.349419455610985</v>
      </c>
      <c r="M98" s="143">
        <f t="shared" si="20"/>
        <v>62.349419455611013</v>
      </c>
      <c r="N98" s="143">
        <f t="shared" si="20"/>
        <v>62.349419455610985</v>
      </c>
    </row>
    <row r="100" spans="1:16" x14ac:dyDescent="0.2">
      <c r="A100" t="s">
        <v>10</v>
      </c>
      <c r="B100" s="1" t="s">
        <v>0</v>
      </c>
      <c r="C100" s="2"/>
      <c r="D100" s="2"/>
      <c r="E100" s="3" t="s">
        <v>1</v>
      </c>
      <c r="F100" s="3" t="s">
        <v>2</v>
      </c>
      <c r="G100" s="3" t="s">
        <v>3</v>
      </c>
      <c r="H100" s="3" t="s">
        <v>4</v>
      </c>
      <c r="I100" s="3" t="s">
        <v>5</v>
      </c>
      <c r="J100" s="3" t="s">
        <v>6</v>
      </c>
      <c r="K100" s="3"/>
      <c r="L100" s="4" t="s">
        <v>7</v>
      </c>
      <c r="M100" s="3"/>
      <c r="N100" s="3"/>
      <c r="O100" s="3"/>
      <c r="P100" s="3"/>
    </row>
    <row r="101" spans="1:16" x14ac:dyDescent="0.2">
      <c r="B101" t="s">
        <v>8</v>
      </c>
      <c r="D101" s="5"/>
      <c r="E101" s="123">
        <f>E130</f>
        <v>6.9000000000000006E-2</v>
      </c>
      <c r="F101" s="123">
        <f t="shared" ref="F101:I101" si="21">F130</f>
        <v>5.2603090247022921E-2</v>
      </c>
      <c r="G101" s="123">
        <f t="shared" si="21"/>
        <v>4.744986209153379E-2</v>
      </c>
      <c r="H101" s="123">
        <f t="shared" si="21"/>
        <v>-4.3336606266178745E-2</v>
      </c>
      <c r="I101" s="123">
        <f t="shared" si="21"/>
        <v>5.9248891999067022E-2</v>
      </c>
      <c r="J101" s="131">
        <f>AVERAGE(E101:I101)</f>
        <v>3.6993047614288996E-2</v>
      </c>
      <c r="K101" s="7"/>
      <c r="L101" s="8" t="s">
        <v>9</v>
      </c>
      <c r="M101" s="7"/>
      <c r="N101" s="7"/>
      <c r="O101" s="7"/>
      <c r="P101" s="7"/>
    </row>
    <row r="102" spans="1:16" x14ac:dyDescent="0.2">
      <c r="B102" t="s">
        <v>159</v>
      </c>
      <c r="E102" s="123">
        <f>E132/E131</f>
        <v>0.58488337762031295</v>
      </c>
      <c r="F102" s="123">
        <f t="shared" ref="F102:I102" si="22">F132/F131</f>
        <v>0.58435790753120476</v>
      </c>
      <c r="G102" s="123">
        <f t="shared" si="22"/>
        <v>0.5669909845577078</v>
      </c>
      <c r="H102" s="123">
        <f t="shared" si="22"/>
        <v>0.60102635875903898</v>
      </c>
      <c r="I102" s="123">
        <f t="shared" si="22"/>
        <v>0.58498128165602292</v>
      </c>
      <c r="J102" s="131">
        <f>AVERAGE(E102:I102)</f>
        <v>0.58444798202485748</v>
      </c>
      <c r="K102" s="7"/>
      <c r="L102" s="8" t="s">
        <v>132</v>
      </c>
      <c r="M102" s="7"/>
      <c r="N102" s="7"/>
      <c r="O102" s="7"/>
      <c r="P102" s="7"/>
    </row>
    <row r="103" spans="1:16" x14ac:dyDescent="0.2">
      <c r="B103" t="s">
        <v>158</v>
      </c>
      <c r="E103" s="123">
        <f>E135/E131</f>
        <v>8.9754945379391798E-2</v>
      </c>
      <c r="F103" s="123">
        <f t="shared" ref="F103:I103" si="23">F135/F131</f>
        <v>9.7424150343602453E-2</v>
      </c>
      <c r="G103" s="123">
        <f t="shared" si="23"/>
        <v>0.11113094706774972</v>
      </c>
      <c r="H103" s="123">
        <f t="shared" si="23"/>
        <v>0.12446932586890599</v>
      </c>
      <c r="I103" s="123">
        <f t="shared" si="23"/>
        <v>0.14296410482272628</v>
      </c>
      <c r="J103" s="131">
        <f>AVERAGE(E103:I103)</f>
        <v>0.11314869469647523</v>
      </c>
      <c r="K103" s="10"/>
      <c r="L103" s="11" t="s">
        <v>133</v>
      </c>
      <c r="M103" s="12"/>
      <c r="N103" s="12"/>
      <c r="O103" s="12"/>
      <c r="P103" s="12"/>
    </row>
    <row r="104" spans="1:16" x14ac:dyDescent="0.2">
      <c r="B104" t="s">
        <v>157</v>
      </c>
      <c r="E104" s="123">
        <f>E136/E131</f>
        <v>3.6610569825804545E-2</v>
      </c>
      <c r="F104" s="123">
        <f t="shared" ref="F104:I104" si="24">F136/F131</f>
        <v>3.8006638305829551E-2</v>
      </c>
      <c r="G104" s="123">
        <f t="shared" si="24"/>
        <v>3.7311434437204319E-2</v>
      </c>
      <c r="H104" s="123">
        <f t="shared" si="24"/>
        <v>4.1101003032423609E-2</v>
      </c>
      <c r="I104" s="123">
        <f t="shared" si="24"/>
        <v>3.9374587095353443E-2</v>
      </c>
      <c r="J104" s="131">
        <f>AVERAGE(E104:I104)</f>
        <v>3.8480846539323092E-2</v>
      </c>
      <c r="K104" s="10"/>
      <c r="L104" s="11" t="s">
        <v>135</v>
      </c>
      <c r="M104" s="12"/>
      <c r="N104" s="12"/>
      <c r="O104" s="12"/>
      <c r="P104" s="12"/>
    </row>
    <row r="105" spans="1:16" x14ac:dyDescent="0.2">
      <c r="B105" t="s">
        <v>136</v>
      </c>
      <c r="E105" s="9"/>
      <c r="F105" s="9"/>
      <c r="G105" s="9"/>
      <c r="H105" s="9"/>
      <c r="I105" s="9"/>
      <c r="J105" s="8"/>
      <c r="K105" s="10"/>
      <c r="L105" s="11" t="s">
        <v>137</v>
      </c>
      <c r="M105" s="12"/>
      <c r="N105" s="12"/>
      <c r="O105" s="12"/>
      <c r="P105" s="12"/>
    </row>
    <row r="106" spans="1:16" x14ac:dyDescent="0.2">
      <c r="B106" t="s">
        <v>138</v>
      </c>
      <c r="E106" s="9"/>
      <c r="F106" s="9"/>
      <c r="G106" s="9"/>
      <c r="H106" s="9"/>
      <c r="I106" s="9"/>
      <c r="J106" s="8"/>
      <c r="K106" s="10"/>
      <c r="L106" s="11" t="s">
        <v>139</v>
      </c>
      <c r="M106" s="12"/>
      <c r="N106" s="12"/>
      <c r="O106" s="12"/>
      <c r="P106" s="12"/>
    </row>
    <row r="107" spans="1:16" x14ac:dyDescent="0.2">
      <c r="B107" t="s">
        <v>140</v>
      </c>
      <c r="E107" s="132">
        <f>E140</f>
        <v>-112</v>
      </c>
      <c r="F107" s="132">
        <f t="shared" ref="F107:I107" si="25">F140</f>
        <v>-465</v>
      </c>
      <c r="G107" s="132">
        <f t="shared" si="25"/>
        <v>-405</v>
      </c>
      <c r="H107" s="132">
        <f t="shared" si="25"/>
        <v>60</v>
      </c>
      <c r="I107" s="132">
        <f t="shared" si="25"/>
        <v>81</v>
      </c>
      <c r="J107" s="133">
        <f>AVERAGE(E107:I107)</f>
        <v>-168.2</v>
      </c>
      <c r="K107" s="10"/>
      <c r="L107" s="11" t="s">
        <v>141</v>
      </c>
      <c r="M107" s="12"/>
      <c r="N107" s="12"/>
      <c r="O107" s="12"/>
      <c r="P107" s="12"/>
    </row>
    <row r="108" spans="1:16" x14ac:dyDescent="0.2">
      <c r="B108" t="s">
        <v>142</v>
      </c>
      <c r="E108" s="9"/>
      <c r="F108" s="9"/>
      <c r="G108" s="9"/>
      <c r="H108" s="9"/>
      <c r="I108" s="9"/>
      <c r="J108" s="8">
        <v>0.15</v>
      </c>
      <c r="K108" s="10"/>
      <c r="L108" s="11" t="s">
        <v>143</v>
      </c>
      <c r="M108" s="12"/>
      <c r="N108" s="12"/>
      <c r="O108" s="12"/>
      <c r="P108" s="12"/>
    </row>
    <row r="109" spans="1:16" x14ac:dyDescent="0.2">
      <c r="B109" t="s">
        <v>144</v>
      </c>
      <c r="E109" s="9"/>
      <c r="F109" s="9"/>
      <c r="G109" s="9"/>
      <c r="H109" s="9"/>
      <c r="I109" s="9"/>
      <c r="J109" s="8"/>
      <c r="K109" s="10"/>
      <c r="L109" s="11" t="s">
        <v>167</v>
      </c>
      <c r="M109" s="12"/>
      <c r="N109" s="12"/>
      <c r="O109" s="12"/>
      <c r="P109" s="12"/>
    </row>
    <row r="110" spans="1:16" x14ac:dyDescent="0.2">
      <c r="B110" t="s">
        <v>182</v>
      </c>
      <c r="E110" s="9"/>
      <c r="F110" s="9"/>
      <c r="G110" s="9"/>
      <c r="H110" s="9"/>
      <c r="I110" s="9"/>
      <c r="J110" s="8"/>
      <c r="K110" s="10"/>
      <c r="L110" s="11" t="s">
        <v>146</v>
      </c>
      <c r="M110" s="12"/>
      <c r="N110" s="12"/>
      <c r="O110" s="12"/>
      <c r="P110" s="12"/>
    </row>
    <row r="111" spans="1:16" x14ac:dyDescent="0.2">
      <c r="B111" t="s">
        <v>147</v>
      </c>
      <c r="E111" s="9"/>
      <c r="F111" s="9"/>
      <c r="G111" s="9"/>
      <c r="H111" s="9"/>
      <c r="I111" s="9"/>
      <c r="J111" s="8"/>
      <c r="K111" s="10"/>
      <c r="L111" s="11" t="s">
        <v>148</v>
      </c>
      <c r="M111" s="12"/>
      <c r="N111" s="12"/>
      <c r="O111" s="12"/>
      <c r="P111" s="12"/>
    </row>
    <row r="112" spans="1:16" x14ac:dyDescent="0.2">
      <c r="B112" t="s">
        <v>205</v>
      </c>
      <c r="E112" s="123">
        <f>(E245+E246)/E131</f>
        <v>1.1127841747859462</v>
      </c>
      <c r="F112" s="123">
        <f t="shared" ref="F112:I112" si="26">(F245+F246)/F131</f>
        <v>1.2616988453087747</v>
      </c>
      <c r="G112" s="123">
        <f t="shared" si="26"/>
        <v>1.446264393466036</v>
      </c>
      <c r="H112" s="123">
        <f t="shared" si="26"/>
        <v>1.6676930254257056</v>
      </c>
      <c r="I112" s="123">
        <f t="shared" si="26"/>
        <v>1.5486456727593041</v>
      </c>
      <c r="J112" s="134">
        <f>AVERAGE(E112:I112)</f>
        <v>1.4074172223491535</v>
      </c>
      <c r="K112" s="10"/>
      <c r="L112" s="11" t="s">
        <v>206</v>
      </c>
      <c r="M112" s="12"/>
      <c r="N112" s="12"/>
      <c r="O112" s="12"/>
      <c r="P112" s="12"/>
    </row>
    <row r="113" spans="1:16" x14ac:dyDescent="0.2">
      <c r="B113" t="s">
        <v>204</v>
      </c>
      <c r="E113" s="123">
        <f>E247/(E245+E246)</f>
        <v>-0.14075351552135845</v>
      </c>
      <c r="F113" s="123">
        <f t="shared" ref="F113:I113" si="27">F247/(F245+F246)</f>
        <v>-0.12290192300566898</v>
      </c>
      <c r="G113" s="123">
        <f t="shared" si="27"/>
        <v>-0.12852954790927326</v>
      </c>
      <c r="H113" s="123">
        <f t="shared" si="27"/>
        <v>-0.13192715472627073</v>
      </c>
      <c r="I113" s="123">
        <f t="shared" si="27"/>
        <v>-5.5429156475740857E-2</v>
      </c>
      <c r="J113" s="134">
        <f>AVERAGE(E113:I113)</f>
        <v>-0.11590825952766245</v>
      </c>
      <c r="K113" s="10"/>
      <c r="L113" s="11" t="s">
        <v>177</v>
      </c>
      <c r="M113" s="12"/>
      <c r="N113" s="12"/>
      <c r="O113" s="12"/>
      <c r="P113" s="12"/>
    </row>
    <row r="114" spans="1:16" x14ac:dyDescent="0.2">
      <c r="B114" t="s">
        <v>207</v>
      </c>
      <c r="E114" s="9"/>
      <c r="F114" s="9"/>
      <c r="G114" s="9"/>
      <c r="H114" s="9"/>
      <c r="I114" s="9"/>
      <c r="J114" s="8"/>
      <c r="K114" s="10"/>
      <c r="L114" s="11" t="s">
        <v>145</v>
      </c>
      <c r="M114" s="12"/>
      <c r="N114" s="12"/>
      <c r="O114" s="12"/>
      <c r="P114" s="12"/>
    </row>
    <row r="115" spans="1:16" x14ac:dyDescent="0.2">
      <c r="B115" t="s">
        <v>209</v>
      </c>
      <c r="E115" s="9"/>
      <c r="F115" s="9"/>
      <c r="G115" s="9"/>
      <c r="H115" s="9"/>
      <c r="I115" s="9"/>
      <c r="J115" s="8"/>
      <c r="K115" s="10"/>
      <c r="L115" s="11" t="s">
        <v>178</v>
      </c>
      <c r="M115" s="12"/>
      <c r="N115" s="12"/>
      <c r="O115" s="12"/>
      <c r="P115" s="12"/>
    </row>
    <row r="116" spans="1:16" x14ac:dyDescent="0.2">
      <c r="B116" t="s">
        <v>208</v>
      </c>
      <c r="E116" s="123">
        <f>E254/(E252+E253)</f>
        <v>-0.16594827586206898</v>
      </c>
      <c r="F116" s="123">
        <f t="shared" ref="F116:I116" si="28">F254/(F252+F253)</f>
        <v>-0.14470284237726097</v>
      </c>
      <c r="G116" s="123">
        <f t="shared" si="28"/>
        <v>-0.16666666666666666</v>
      </c>
      <c r="H116" s="123">
        <f t="shared" si="28"/>
        <v>-0.14358974358974358</v>
      </c>
      <c r="I116" s="123">
        <f t="shared" si="28"/>
        <v>-0.15903614457831325</v>
      </c>
      <c r="J116" s="134">
        <f>AVERAGE(E116:I116)</f>
        <v>-0.15598873461481069</v>
      </c>
      <c r="K116" s="10"/>
      <c r="L116" s="11" t="s">
        <v>179</v>
      </c>
      <c r="M116" s="12"/>
      <c r="N116" s="12"/>
      <c r="O116" s="12"/>
      <c r="P116" s="12"/>
    </row>
    <row r="117" spans="1:16" x14ac:dyDescent="0.2">
      <c r="B117" t="s">
        <v>210</v>
      </c>
      <c r="E117" s="9"/>
      <c r="F117" s="9"/>
      <c r="G117" s="9"/>
      <c r="H117" s="9"/>
      <c r="I117" s="9"/>
      <c r="J117" s="8"/>
      <c r="K117" s="10"/>
      <c r="L117" s="11" t="s">
        <v>150</v>
      </c>
      <c r="M117" s="12"/>
      <c r="N117" s="12"/>
      <c r="O117" s="12"/>
      <c r="P117" s="12"/>
    </row>
    <row r="118" spans="1:16" x14ac:dyDescent="0.2">
      <c r="B118" t="s">
        <v>211</v>
      </c>
      <c r="E118" s="9"/>
      <c r="F118" s="9"/>
      <c r="G118" s="9"/>
      <c r="H118" s="9"/>
      <c r="I118" s="9"/>
      <c r="J118" s="8"/>
      <c r="K118" s="10"/>
      <c r="L118" s="11" t="s">
        <v>152</v>
      </c>
      <c r="M118" s="12"/>
      <c r="N118" s="12"/>
      <c r="O118" s="12"/>
      <c r="P118" s="12"/>
    </row>
    <row r="119" spans="1:16" x14ac:dyDescent="0.2">
      <c r="B119" t="s">
        <v>212</v>
      </c>
      <c r="E119" s="9"/>
      <c r="F119" s="9"/>
      <c r="G119" s="9"/>
      <c r="H119" s="9"/>
      <c r="I119" s="9"/>
      <c r="J119" s="8"/>
      <c r="K119" s="10"/>
      <c r="L119" s="11" t="s">
        <v>154</v>
      </c>
      <c r="M119" s="12"/>
      <c r="N119" s="12"/>
      <c r="O119" s="12"/>
      <c r="P119" s="12"/>
    </row>
    <row r="120" spans="1:16" x14ac:dyDescent="0.2">
      <c r="B120" t="s">
        <v>213</v>
      </c>
      <c r="E120" s="9"/>
      <c r="F120" s="9"/>
      <c r="G120" s="9"/>
      <c r="H120" s="9"/>
      <c r="I120" s="9"/>
      <c r="J120" s="8"/>
      <c r="K120" s="10"/>
      <c r="L120" s="11" t="s">
        <v>145</v>
      </c>
      <c r="M120" s="12"/>
      <c r="N120" s="12"/>
      <c r="O120" s="12"/>
      <c r="P120" s="12"/>
    </row>
    <row r="121" spans="1:16" x14ac:dyDescent="0.2">
      <c r="B121" t="s">
        <v>214</v>
      </c>
      <c r="E121" s="123">
        <f>E227/E226</f>
        <v>-2.3580271173118492E-2</v>
      </c>
      <c r="F121" s="123">
        <f t="shared" ref="F121:I121" si="29">F227/F226</f>
        <v>-6.6601752677702047E-2</v>
      </c>
      <c r="G121" s="123">
        <f t="shared" si="29"/>
        <v>-2.917372482589874E-2</v>
      </c>
      <c r="H121" s="123">
        <f t="shared" si="29"/>
        <v>-7.4674631960742477E-3</v>
      </c>
      <c r="I121" s="123">
        <f t="shared" si="29"/>
        <v>-2.3040526640608929E-2</v>
      </c>
      <c r="J121" s="131">
        <f>AVERAGE(E121:I121)</f>
        <v>-2.9972747702680491E-2</v>
      </c>
      <c r="K121" s="10"/>
      <c r="L121" s="11" t="s">
        <v>160</v>
      </c>
      <c r="M121" s="12"/>
      <c r="N121" s="12"/>
      <c r="O121" s="12"/>
      <c r="P121" s="12"/>
    </row>
    <row r="122" spans="1:16" x14ac:dyDescent="0.2">
      <c r="B122" t="s">
        <v>215</v>
      </c>
      <c r="E122" s="123">
        <f>E233/E226</f>
        <v>-1.3165651404991157E-2</v>
      </c>
      <c r="F122" s="123">
        <f t="shared" ref="F122:I122" si="30">F233/F226</f>
        <v>-7.0496592015579354E-2</v>
      </c>
      <c r="G122" s="123">
        <f t="shared" si="30"/>
        <v>-0.52550348202522112</v>
      </c>
      <c r="H122" s="123">
        <f t="shared" si="30"/>
        <v>-5.8459569020695538E-2</v>
      </c>
      <c r="I122" s="123">
        <f t="shared" si="30"/>
        <v>-0.24686278543509566</v>
      </c>
      <c r="J122" s="131">
        <f>-0.95-J121</f>
        <v>-0.92002725229731941</v>
      </c>
      <c r="K122" s="10"/>
      <c r="L122" s="11" t="s">
        <v>162</v>
      </c>
      <c r="M122" s="12"/>
      <c r="N122" s="12"/>
      <c r="O122" s="12"/>
      <c r="P122" s="12"/>
    </row>
    <row r="123" spans="1:16" x14ac:dyDescent="0.2">
      <c r="B123" t="s">
        <v>216</v>
      </c>
      <c r="E123" s="135">
        <f>E234</f>
        <v>217</v>
      </c>
      <c r="F123" s="135">
        <f t="shared" ref="F123:I123" si="31">F234</f>
        <v>198</v>
      </c>
      <c r="G123" s="135">
        <f t="shared" si="31"/>
        <v>243</v>
      </c>
      <c r="H123" s="135">
        <f t="shared" si="31"/>
        <v>328</v>
      </c>
      <c r="I123" s="135">
        <f t="shared" si="31"/>
        <v>378</v>
      </c>
      <c r="J123" s="133">
        <f>AVERAGE(E123:I123)</f>
        <v>272.8</v>
      </c>
      <c r="K123" s="10"/>
      <c r="L123" s="11" t="s">
        <v>164</v>
      </c>
      <c r="M123" s="12"/>
      <c r="N123" s="12"/>
      <c r="O123" s="12"/>
      <c r="P123" s="12"/>
    </row>
    <row r="124" spans="1:16" x14ac:dyDescent="0.2">
      <c r="B124" t="s">
        <v>217</v>
      </c>
      <c r="E124" s="135">
        <f>E240</f>
        <v>139</v>
      </c>
      <c r="F124" s="135">
        <f t="shared" ref="F124:I124" si="32">F240</f>
        <v>1650</v>
      </c>
      <c r="G124" s="135">
        <f t="shared" si="32"/>
        <v>178</v>
      </c>
      <c r="H124" s="135">
        <f t="shared" si="32"/>
        <v>224</v>
      </c>
      <c r="I124" s="135">
        <f t="shared" si="32"/>
        <v>223</v>
      </c>
      <c r="J124" s="133">
        <f>AVERAGE(E124:I124)</f>
        <v>482.8</v>
      </c>
      <c r="K124" s="10"/>
      <c r="L124" s="11" t="s">
        <v>166</v>
      </c>
      <c r="M124" s="12"/>
      <c r="N124" s="12"/>
      <c r="O124" s="12"/>
      <c r="P124" s="12"/>
    </row>
    <row r="125" spans="1:16" x14ac:dyDescent="0.2">
      <c r="B125" t="s">
        <v>183</v>
      </c>
      <c r="E125" s="123">
        <f>E153/E131</f>
        <v>0.25140242102155302</v>
      </c>
      <c r="F125" s="123">
        <f t="shared" ref="F125:I125" si="33">F153/F131</f>
        <v>0.16820158010378197</v>
      </c>
      <c r="G125" s="123">
        <f t="shared" si="33"/>
        <v>7.3864143532982235E-2</v>
      </c>
      <c r="H125" s="123">
        <f t="shared" si="33"/>
        <v>5.0944716585024495E-2</v>
      </c>
      <c r="I125" s="123">
        <f t="shared" si="33"/>
        <v>6.7386038317551203E-2</v>
      </c>
      <c r="J125" s="134">
        <f>I125</f>
        <v>6.7386038317551203E-2</v>
      </c>
      <c r="K125" s="10"/>
      <c r="L125" s="11" t="s">
        <v>184</v>
      </c>
      <c r="M125" s="12"/>
      <c r="N125" s="12"/>
      <c r="O125" s="12"/>
      <c r="P125" s="12"/>
    </row>
    <row r="126" spans="1:16" x14ac:dyDescent="0.2">
      <c r="E126" s="9"/>
      <c r="F126" s="9"/>
      <c r="G126" s="9"/>
      <c r="H126" s="9"/>
      <c r="I126" s="9"/>
      <c r="J126" s="11"/>
      <c r="K126" s="10"/>
      <c r="L126" s="11"/>
      <c r="M126" s="12"/>
      <c r="N126" s="12"/>
      <c r="O126" s="12"/>
      <c r="P126" s="12"/>
    </row>
    <row r="127" spans="1:16" x14ac:dyDescent="0.2">
      <c r="A127" t="s">
        <v>10</v>
      </c>
      <c r="B127" s="1" t="s">
        <v>11</v>
      </c>
      <c r="C127" s="2"/>
      <c r="D127" s="2"/>
      <c r="E127" s="3" t="s">
        <v>1</v>
      </c>
      <c r="F127" s="3" t="s">
        <v>2</v>
      </c>
      <c r="G127" s="3" t="s">
        <v>3</v>
      </c>
      <c r="H127" s="3" t="s">
        <v>4</v>
      </c>
      <c r="I127" s="3" t="s">
        <v>5</v>
      </c>
      <c r="J127" s="3" t="s">
        <v>12</v>
      </c>
      <c r="K127" s="3" t="s">
        <v>13</v>
      </c>
      <c r="L127" s="3" t="s">
        <v>14</v>
      </c>
      <c r="M127" s="3" t="s">
        <v>15</v>
      </c>
      <c r="N127" s="3" t="s">
        <v>16</v>
      </c>
      <c r="O127" s="3"/>
      <c r="P127" s="3"/>
    </row>
    <row r="128" spans="1:16" x14ac:dyDescent="0.2">
      <c r="B128" s="17"/>
      <c r="E128" s="18"/>
      <c r="F128" s="18"/>
      <c r="G128" s="18"/>
      <c r="H128" s="18"/>
      <c r="I128" s="18"/>
      <c r="J128" s="18"/>
      <c r="K128" s="18"/>
      <c r="L128" s="18"/>
      <c r="M128" s="18"/>
      <c r="N128" s="18"/>
      <c r="O128" s="18"/>
      <c r="P128" s="18"/>
    </row>
    <row r="129" spans="2:20" x14ac:dyDescent="0.2">
      <c r="B129" s="19" t="s">
        <v>17</v>
      </c>
      <c r="E129" s="136">
        <v>20322</v>
      </c>
      <c r="F129" s="136">
        <v>21391</v>
      </c>
      <c r="G129" s="136">
        <v>22406</v>
      </c>
      <c r="H129" s="136">
        <v>21435</v>
      </c>
      <c r="I129" s="136">
        <v>22705</v>
      </c>
      <c r="J129" s="137">
        <f>I129*(1+$J$101)</f>
        <v>23544.927146082431</v>
      </c>
      <c r="K129" s="137">
        <f t="shared" ref="K129:N129" si="34">J129*(1+$J$101)</f>
        <v>24415.925757072426</v>
      </c>
      <c r="L129" s="137">
        <f t="shared" si="34"/>
        <v>25319.145261150752</v>
      </c>
      <c r="M129" s="137">
        <f t="shared" si="34"/>
        <v>26255.777607349602</v>
      </c>
      <c r="N129" s="137">
        <f t="shared" si="34"/>
        <v>27227.058838528468</v>
      </c>
      <c r="O129" s="15"/>
      <c r="P129" s="22"/>
    </row>
    <row r="130" spans="2:20" x14ac:dyDescent="0.2">
      <c r="B130" s="23" t="s">
        <v>18</v>
      </c>
      <c r="C130" s="24"/>
      <c r="D130" s="24"/>
      <c r="E130" s="138">
        <v>6.9000000000000006E-2</v>
      </c>
      <c r="F130" s="139">
        <f>F129/E129-1</f>
        <v>5.2603090247022921E-2</v>
      </c>
      <c r="G130" s="139">
        <f t="shared" ref="G130:N130" si="35">G129/F129-1</f>
        <v>4.744986209153379E-2</v>
      </c>
      <c r="H130" s="139">
        <f t="shared" si="35"/>
        <v>-4.3336606266178745E-2</v>
      </c>
      <c r="I130" s="139">
        <f t="shared" si="35"/>
        <v>5.9248891999067022E-2</v>
      </c>
      <c r="J130" s="139">
        <f t="shared" si="35"/>
        <v>3.699304761428901E-2</v>
      </c>
      <c r="K130" s="139">
        <f t="shared" si="35"/>
        <v>3.699304761428901E-2</v>
      </c>
      <c r="L130" s="139">
        <f t="shared" si="35"/>
        <v>3.699304761428901E-2</v>
      </c>
      <c r="M130" s="139">
        <f t="shared" si="35"/>
        <v>3.699304761428901E-2</v>
      </c>
      <c r="N130" s="139">
        <f t="shared" si="35"/>
        <v>3.699304761428901E-2</v>
      </c>
      <c r="O130" s="15"/>
      <c r="P130" s="22"/>
    </row>
    <row r="131" spans="2:20" x14ac:dyDescent="0.2">
      <c r="B131" s="27" t="s">
        <v>19</v>
      </c>
      <c r="E131" s="28">
        <f>E129</f>
        <v>20322</v>
      </c>
      <c r="F131" s="28">
        <f t="shared" ref="F131:N131" si="36">F129</f>
        <v>21391</v>
      </c>
      <c r="G131" s="28">
        <f t="shared" si="36"/>
        <v>22406</v>
      </c>
      <c r="H131" s="28">
        <f t="shared" si="36"/>
        <v>21435</v>
      </c>
      <c r="I131" s="28">
        <f t="shared" si="36"/>
        <v>22705</v>
      </c>
      <c r="J131" s="28">
        <f t="shared" si="36"/>
        <v>23544.927146082431</v>
      </c>
      <c r="K131" s="28">
        <f t="shared" si="36"/>
        <v>24415.925757072426</v>
      </c>
      <c r="L131" s="28">
        <f t="shared" si="36"/>
        <v>25319.145261150752</v>
      </c>
      <c r="M131" s="28">
        <f t="shared" si="36"/>
        <v>26255.777607349602</v>
      </c>
      <c r="N131" s="28">
        <f t="shared" si="36"/>
        <v>27227.058838528468</v>
      </c>
      <c r="O131" s="28"/>
      <c r="P131" s="29"/>
    </row>
    <row r="132" spans="2:20" x14ac:dyDescent="0.2">
      <c r="B132" t="s">
        <v>20</v>
      </c>
      <c r="E132" s="35">
        <v>11886</v>
      </c>
      <c r="F132" s="35">
        <v>12500</v>
      </c>
      <c r="G132" s="35">
        <v>12704</v>
      </c>
      <c r="H132" s="35">
        <v>12883</v>
      </c>
      <c r="I132" s="35">
        <v>13282</v>
      </c>
      <c r="J132" s="31">
        <f>J131*$J$102</f>
        <v>13760.785157450164</v>
      </c>
      <c r="K132" s="31">
        <f t="shared" ref="K132:N132" si="37">K131*$J$102</f>
        <v>14269.838537989719</v>
      </c>
      <c r="L132" s="31">
        <f t="shared" si="37"/>
        <v>14797.72335447379</v>
      </c>
      <c r="M132" s="31">
        <f t="shared" si="37"/>
        <v>15345.136239108917</v>
      </c>
      <c r="N132" s="31">
        <f t="shared" si="37"/>
        <v>15912.799594650023</v>
      </c>
      <c r="O132" s="31"/>
      <c r="P132" s="32"/>
    </row>
    <row r="133" spans="2:20" x14ac:dyDescent="0.2">
      <c r="B133" s="23" t="s">
        <v>18</v>
      </c>
      <c r="C133" s="24"/>
      <c r="D133" s="24"/>
      <c r="E133" s="138">
        <v>0.20133414190418431</v>
      </c>
      <c r="F133" s="139">
        <f>F132/E132-1</f>
        <v>5.1657412081440368E-2</v>
      </c>
      <c r="G133" s="139">
        <f t="shared" ref="G133:N133" si="38">G132/F132-1</f>
        <v>1.631999999999989E-2</v>
      </c>
      <c r="H133" s="139">
        <f t="shared" si="38"/>
        <v>1.409005037783384E-2</v>
      </c>
      <c r="I133" s="139">
        <f t="shared" si="38"/>
        <v>3.0971047116354899E-2</v>
      </c>
      <c r="J133" s="139">
        <f t="shared" si="38"/>
        <v>3.6047670339569571E-2</v>
      </c>
      <c r="K133" s="139">
        <f t="shared" si="38"/>
        <v>3.699304761428901E-2</v>
      </c>
      <c r="L133" s="139">
        <f t="shared" si="38"/>
        <v>3.699304761428901E-2</v>
      </c>
      <c r="M133" s="139">
        <f t="shared" si="38"/>
        <v>3.699304761428901E-2</v>
      </c>
      <c r="N133" s="139">
        <f t="shared" si="38"/>
        <v>3.699304761428901E-2</v>
      </c>
      <c r="O133" s="31"/>
      <c r="P133" s="32"/>
    </row>
    <row r="134" spans="2:20" x14ac:dyDescent="0.2">
      <c r="B134" s="27" t="s">
        <v>21</v>
      </c>
      <c r="E134" s="28">
        <f>E131-E132</f>
        <v>8436</v>
      </c>
      <c r="F134" s="28">
        <f t="shared" ref="F134:N134" si="39">F131-F132</f>
        <v>8891</v>
      </c>
      <c r="G134" s="28">
        <f t="shared" si="39"/>
        <v>9702</v>
      </c>
      <c r="H134" s="28">
        <f t="shared" si="39"/>
        <v>8552</v>
      </c>
      <c r="I134" s="28">
        <f t="shared" si="39"/>
        <v>9423</v>
      </c>
      <c r="J134" s="28">
        <f t="shared" si="39"/>
        <v>9784.1419886322674</v>
      </c>
      <c r="K134" s="28">
        <f t="shared" si="39"/>
        <v>10146.087219082707</v>
      </c>
      <c r="L134" s="28">
        <f t="shared" si="39"/>
        <v>10521.421906676962</v>
      </c>
      <c r="M134" s="28">
        <f t="shared" si="39"/>
        <v>10910.641368240686</v>
      </c>
      <c r="N134" s="28">
        <f t="shared" si="39"/>
        <v>11314.259243878445</v>
      </c>
      <c r="O134" s="28"/>
      <c r="P134" s="33"/>
      <c r="R134" s="34"/>
      <c r="S134" s="34"/>
      <c r="T134" s="34"/>
    </row>
    <row r="135" spans="2:20" x14ac:dyDescent="0.2">
      <c r="B135" t="s">
        <v>22</v>
      </c>
      <c r="E135" s="35">
        <v>1824</v>
      </c>
      <c r="F135" s="35">
        <v>2084</v>
      </c>
      <c r="G135" s="35">
        <v>2490</v>
      </c>
      <c r="H135" s="35">
        <v>2668</v>
      </c>
      <c r="I135" s="35">
        <v>3246</v>
      </c>
      <c r="J135" s="31">
        <f>J131*$J$103</f>
        <v>2664.0777733028331</v>
      </c>
      <c r="K135" s="31">
        <f t="shared" ref="K135:N135" si="40">K131*$J$103</f>
        <v>2762.6301292187936</v>
      </c>
      <c r="L135" s="31">
        <f t="shared" si="40"/>
        <v>2864.8282371296541</v>
      </c>
      <c r="M135" s="31">
        <f t="shared" si="40"/>
        <v>2970.8069645125511</v>
      </c>
      <c r="N135" s="31">
        <f t="shared" si="40"/>
        <v>3080.7061680036254</v>
      </c>
      <c r="O135" s="28"/>
      <c r="P135" s="33"/>
      <c r="R135" s="34"/>
      <c r="S135" s="34"/>
      <c r="T135" s="34"/>
    </row>
    <row r="136" spans="2:20" x14ac:dyDescent="0.2">
      <c r="B136" s="24" t="s">
        <v>134</v>
      </c>
      <c r="C136" s="24"/>
      <c r="D136" s="24"/>
      <c r="E136" s="36">
        <v>744</v>
      </c>
      <c r="F136" s="36">
        <v>813</v>
      </c>
      <c r="G136" s="36">
        <v>836</v>
      </c>
      <c r="H136" s="36">
        <v>881</v>
      </c>
      <c r="I136" s="36">
        <v>894</v>
      </c>
      <c r="J136" s="37">
        <f>J131*$J$104</f>
        <v>906.02872828794045</v>
      </c>
      <c r="K136" s="37">
        <f t="shared" ref="K136:N136" si="41">K131*$J$104</f>
        <v>939.54549217341003</v>
      </c>
      <c r="L136" s="37">
        <f t="shared" si="41"/>
        <v>974.30214330117155</v>
      </c>
      <c r="M136" s="37">
        <f t="shared" si="41"/>
        <v>1010.3445488790156</v>
      </c>
      <c r="N136" s="37">
        <f t="shared" si="41"/>
        <v>1047.7202728825343</v>
      </c>
      <c r="O136" s="28"/>
      <c r="P136" s="33"/>
      <c r="R136" s="34"/>
      <c r="S136" s="34"/>
      <c r="T136" s="34"/>
    </row>
    <row r="137" spans="2:20" x14ac:dyDescent="0.2">
      <c r="B137" s="27" t="s">
        <v>23</v>
      </c>
      <c r="E137" s="28">
        <f>E134-E135-E136</f>
        <v>5868</v>
      </c>
      <c r="F137" s="28">
        <f t="shared" ref="F137:N137" si="42">F134-F135-F136</f>
        <v>5994</v>
      </c>
      <c r="G137" s="28">
        <f t="shared" si="42"/>
        <v>6376</v>
      </c>
      <c r="H137" s="28">
        <f t="shared" si="42"/>
        <v>5003</v>
      </c>
      <c r="I137" s="28">
        <f t="shared" si="42"/>
        <v>5283</v>
      </c>
      <c r="J137" s="28">
        <f t="shared" si="42"/>
        <v>6214.0354870414931</v>
      </c>
      <c r="K137" s="28">
        <f t="shared" si="42"/>
        <v>6443.9115976905032</v>
      </c>
      <c r="L137" s="28">
        <f t="shared" si="42"/>
        <v>6682.2915262461365</v>
      </c>
      <c r="M137" s="28">
        <f t="shared" si="42"/>
        <v>6929.4898548491192</v>
      </c>
      <c r="N137" s="28">
        <f t="shared" si="42"/>
        <v>7185.832802992285</v>
      </c>
      <c r="O137" s="28"/>
      <c r="P137" s="29"/>
    </row>
    <row r="138" spans="2:20" x14ac:dyDescent="0.2">
      <c r="B138" t="s">
        <v>24</v>
      </c>
      <c r="E138" s="38">
        <v>41</v>
      </c>
      <c r="F138" s="38">
        <v>120</v>
      </c>
      <c r="G138" s="38">
        <v>205</v>
      </c>
      <c r="H138" s="38">
        <v>114</v>
      </c>
      <c r="I138" s="38">
        <v>37</v>
      </c>
      <c r="J138" s="15">
        <f>J279</f>
        <v>50.639315543057691</v>
      </c>
      <c r="K138" s="15">
        <f t="shared" ref="K138:N138" ca="1" si="43">K279</f>
        <v>146.25212593069224</v>
      </c>
      <c r="L138" s="15">
        <f t="shared" ca="1" si="43"/>
        <v>226.86173170215923</v>
      </c>
      <c r="M138" s="15">
        <f t="shared" ca="1" si="43"/>
        <v>212.89240700619413</v>
      </c>
      <c r="N138" s="15">
        <f t="shared" ca="1" si="43"/>
        <v>197.07448654630417</v>
      </c>
      <c r="O138" s="15"/>
      <c r="P138" s="22"/>
    </row>
    <row r="139" spans="2:20" x14ac:dyDescent="0.2">
      <c r="B139" t="s">
        <v>25</v>
      </c>
      <c r="E139" s="38">
        <v>601</v>
      </c>
      <c r="F139" s="38">
        <v>342</v>
      </c>
      <c r="G139" s="38">
        <v>128</v>
      </c>
      <c r="H139" s="38">
        <v>194</v>
      </c>
      <c r="I139" s="38">
        <v>183</v>
      </c>
      <c r="J139" s="15">
        <f ca="1">J273</f>
        <v>179.8848633893154</v>
      </c>
      <c r="K139" s="15">
        <f t="shared" ref="K139:N139" ca="1" si="44">K273</f>
        <v>178.49559573160667</v>
      </c>
      <c r="L139" s="15">
        <f t="shared" ca="1" si="44"/>
        <v>178.96718538705974</v>
      </c>
      <c r="M139" s="15">
        <f t="shared" ca="1" si="44"/>
        <v>179.4562205810914</v>
      </c>
      <c r="N139" s="15">
        <f t="shared" ca="1" si="44"/>
        <v>179.96334667734092</v>
      </c>
      <c r="O139" s="15"/>
      <c r="P139" s="22"/>
    </row>
    <row r="140" spans="2:20" x14ac:dyDescent="0.2">
      <c r="B140" s="24" t="s">
        <v>26</v>
      </c>
      <c r="C140" s="24"/>
      <c r="D140" s="24"/>
      <c r="E140" s="36">
        <v>-112</v>
      </c>
      <c r="F140" s="36">
        <v>-465</v>
      </c>
      <c r="G140" s="36">
        <v>-405</v>
      </c>
      <c r="H140" s="36">
        <v>60</v>
      </c>
      <c r="I140" s="36">
        <v>81</v>
      </c>
      <c r="J140" s="37">
        <f>$J$107</f>
        <v>-168.2</v>
      </c>
      <c r="K140" s="37">
        <f t="shared" ref="K140:N140" si="45">$J$107</f>
        <v>-168.2</v>
      </c>
      <c r="L140" s="37">
        <f t="shared" si="45"/>
        <v>-168.2</v>
      </c>
      <c r="M140" s="37">
        <f t="shared" si="45"/>
        <v>-168.2</v>
      </c>
      <c r="N140" s="37">
        <f t="shared" si="45"/>
        <v>-168.2</v>
      </c>
      <c r="O140" s="31"/>
      <c r="P140" s="39"/>
    </row>
    <row r="141" spans="2:20" x14ac:dyDescent="0.2">
      <c r="B141" s="27" t="s">
        <v>27</v>
      </c>
      <c r="E141" s="28">
        <f>E137+E138-E139+E140</f>
        <v>5196</v>
      </c>
      <c r="F141" s="28">
        <f t="shared" ref="F141:N141" si="46">F137+F138-F139+F140</f>
        <v>5307</v>
      </c>
      <c r="G141" s="28">
        <f t="shared" si="46"/>
        <v>6048</v>
      </c>
      <c r="H141" s="28">
        <f t="shared" si="46"/>
        <v>4983</v>
      </c>
      <c r="I141" s="28">
        <f t="shared" si="46"/>
        <v>5218</v>
      </c>
      <c r="J141" s="28">
        <f t="shared" ca="1" si="46"/>
        <v>5916.5899391952353</v>
      </c>
      <c r="K141" s="28">
        <f t="shared" ca="1" si="46"/>
        <v>6243.4681278895887</v>
      </c>
      <c r="L141" s="28">
        <f t="shared" ca="1" si="46"/>
        <v>6561.9860725612361</v>
      </c>
      <c r="M141" s="28">
        <f t="shared" ca="1" si="46"/>
        <v>6794.7260412742216</v>
      </c>
      <c r="N141" s="28">
        <f t="shared" ca="1" si="46"/>
        <v>7034.7439428612479</v>
      </c>
      <c r="O141" s="28"/>
      <c r="P141" s="29"/>
    </row>
    <row r="142" spans="2:20" x14ac:dyDescent="0.2">
      <c r="B142" s="24" t="s">
        <v>28</v>
      </c>
      <c r="C142" s="24"/>
      <c r="D142" s="24"/>
      <c r="E142" s="36">
        <v>107</v>
      </c>
      <c r="F142" s="36">
        <v>172</v>
      </c>
      <c r="G142" s="36">
        <v>735</v>
      </c>
      <c r="H142" s="36">
        <v>296</v>
      </c>
      <c r="I142" s="36">
        <v>357</v>
      </c>
      <c r="J142" s="37">
        <f ca="1">J141*$J$108</f>
        <v>887.48849087928522</v>
      </c>
      <c r="K142" s="37">
        <f t="shared" ref="K142:N142" ca="1" si="47">K141*$J$108</f>
        <v>936.52021918343826</v>
      </c>
      <c r="L142" s="37">
        <f t="shared" ca="1" si="47"/>
        <v>984.2979108841854</v>
      </c>
      <c r="M142" s="37">
        <f t="shared" ca="1" si="47"/>
        <v>1019.2089061911332</v>
      </c>
      <c r="N142" s="37">
        <f t="shared" ca="1" si="47"/>
        <v>1055.2115914291871</v>
      </c>
      <c r="O142" s="31"/>
      <c r="P142" s="39"/>
    </row>
    <row r="143" spans="2:20" x14ac:dyDescent="0.2">
      <c r="B143" s="27" t="s">
        <v>29</v>
      </c>
      <c r="E143" s="28">
        <f>E141-E142</f>
        <v>5089</v>
      </c>
      <c r="F143" s="28">
        <f t="shared" ref="F143:N143" si="48">F141-F142</f>
        <v>5135</v>
      </c>
      <c r="G143" s="28">
        <f t="shared" si="48"/>
        <v>5313</v>
      </c>
      <c r="H143" s="28">
        <f t="shared" si="48"/>
        <v>4687</v>
      </c>
      <c r="I143" s="28">
        <f t="shared" si="48"/>
        <v>4861</v>
      </c>
      <c r="J143" s="28">
        <f t="shared" ca="1" si="48"/>
        <v>5029.1014483159497</v>
      </c>
      <c r="K143" s="28">
        <f t="shared" ca="1" si="48"/>
        <v>5306.94790870615</v>
      </c>
      <c r="L143" s="28">
        <f t="shared" ca="1" si="48"/>
        <v>5577.6881616770506</v>
      </c>
      <c r="M143" s="28">
        <f t="shared" ca="1" si="48"/>
        <v>5775.5171350830888</v>
      </c>
      <c r="N143" s="28">
        <f t="shared" ca="1" si="48"/>
        <v>5979.5323514320608</v>
      </c>
      <c r="O143" s="31"/>
      <c r="P143" s="39"/>
    </row>
    <row r="144" spans="2:20" x14ac:dyDescent="0.2">
      <c r="O144" s="15"/>
      <c r="P144" s="22"/>
    </row>
    <row r="145" spans="1:19" x14ac:dyDescent="0.2">
      <c r="B145" t="s">
        <v>30</v>
      </c>
      <c r="E145" s="40">
        <f>E$143/E148</f>
        <v>4.6730945821854917</v>
      </c>
      <c r="F145" s="40">
        <f t="shared" ref="F145:N145" si="49">F$143/F148</f>
        <v>4.4574652777777777</v>
      </c>
      <c r="G145" s="40">
        <f t="shared" si="49"/>
        <v>4.7692998204667862</v>
      </c>
      <c r="H145" s="40">
        <f t="shared" si="49"/>
        <v>4.2225225225225227</v>
      </c>
      <c r="I145" s="40">
        <f t="shared" si="49"/>
        <v>4.340178571428571</v>
      </c>
      <c r="J145" s="40">
        <f t="shared" ca="1" si="49"/>
        <v>4.6637560119805315</v>
      </c>
      <c r="K145" s="40">
        <f ca="1">K$143/K148</f>
        <v>5.1328255351644163</v>
      </c>
      <c r="L145" s="40">
        <f t="shared" ca="1" si="49"/>
        <v>5.652133807994967</v>
      </c>
      <c r="M145" s="40">
        <f t="shared" ca="1" si="49"/>
        <v>6.1587421027576914</v>
      </c>
      <c r="N145" s="40">
        <f t="shared" ca="1" si="49"/>
        <v>6.7435637620569979</v>
      </c>
      <c r="O145" s="40"/>
      <c r="P145" s="41"/>
    </row>
    <row r="146" spans="1:19" x14ac:dyDescent="0.2">
      <c r="B146" t="s">
        <v>31</v>
      </c>
      <c r="E146" s="40">
        <f>E$143/E149</f>
        <v>4.4098786828422876</v>
      </c>
      <c r="F146" s="40">
        <f t="shared" ref="F146:N146" si="50">F$143/F149</f>
        <v>4.178193653376729</v>
      </c>
      <c r="G146" s="40">
        <f t="shared" si="50"/>
        <v>4.6482939632545932</v>
      </c>
      <c r="H146" s="40">
        <f t="shared" si="50"/>
        <v>4.144120247568523</v>
      </c>
      <c r="I146" s="40">
        <f t="shared" si="50"/>
        <v>4.2602979842243647</v>
      </c>
      <c r="J146" s="40">
        <f t="shared" ca="1" si="50"/>
        <v>4.5746669871222174</v>
      </c>
      <c r="K146" s="40">
        <f ca="1">K$143/K149</f>
        <v>5.0306481196342903</v>
      </c>
      <c r="L146" s="40">
        <f t="shared" ca="1" si="50"/>
        <v>5.534361012241499</v>
      </c>
      <c r="M146" s="40">
        <f t="shared" ca="1" si="50"/>
        <v>6.023847551154824</v>
      </c>
      <c r="N146" s="40">
        <f t="shared" ca="1" si="50"/>
        <v>6.5875491022618968</v>
      </c>
      <c r="O146" s="40"/>
      <c r="P146" s="41"/>
    </row>
    <row r="148" spans="1:19" x14ac:dyDescent="0.2">
      <c r="B148" t="s">
        <v>32</v>
      </c>
      <c r="D148" s="42"/>
      <c r="E148" s="38">
        <v>1089</v>
      </c>
      <c r="F148" s="38">
        <v>1152</v>
      </c>
      <c r="G148" s="38">
        <v>1114</v>
      </c>
      <c r="H148" s="38">
        <v>1110</v>
      </c>
      <c r="I148" s="38">
        <v>1120</v>
      </c>
      <c r="J148" s="43">
        <f ca="1">J288</f>
        <v>1078.3371675955811</v>
      </c>
      <c r="K148" s="43">
        <f t="shared" ref="K148:N148" ca="1" si="51">K288</f>
        <v>1033.9232986488321</v>
      </c>
      <c r="L148" s="43">
        <f t="shared" ca="1" si="51"/>
        <v>986.82875373321622</v>
      </c>
      <c r="M148" s="43">
        <f t="shared" ca="1" si="51"/>
        <v>937.77544808979633</v>
      </c>
      <c r="N148" s="43">
        <f t="shared" ca="1" si="51"/>
        <v>886.70212997409499</v>
      </c>
      <c r="O148" s="43"/>
      <c r="P148" s="43"/>
    </row>
    <row r="149" spans="1:19" x14ac:dyDescent="0.2">
      <c r="B149" t="s">
        <v>33</v>
      </c>
      <c r="D149" s="42"/>
      <c r="E149" s="38">
        <v>1154</v>
      </c>
      <c r="F149" s="38">
        <v>1229</v>
      </c>
      <c r="G149" s="38">
        <v>1143</v>
      </c>
      <c r="H149" s="38">
        <v>1131</v>
      </c>
      <c r="I149" s="38">
        <v>1141</v>
      </c>
      <c r="J149" s="43">
        <f ca="1">J290</f>
        <v>1099.3371675955811</v>
      </c>
      <c r="K149" s="43">
        <f t="shared" ref="K149:N149" ca="1" si="52">K290</f>
        <v>1054.9232986488321</v>
      </c>
      <c r="L149" s="43">
        <f t="shared" ca="1" si="52"/>
        <v>1007.8287537332162</v>
      </c>
      <c r="M149" s="43">
        <f t="shared" ca="1" si="52"/>
        <v>958.77544808979633</v>
      </c>
      <c r="N149" s="43">
        <f t="shared" ca="1" si="52"/>
        <v>907.70212997409499</v>
      </c>
      <c r="O149" s="43"/>
      <c r="P149" s="43"/>
    </row>
    <row r="150" spans="1:19" x14ac:dyDescent="0.2">
      <c r="E150" s="46"/>
      <c r="F150" s="46"/>
      <c r="G150" s="46"/>
      <c r="H150" s="46"/>
      <c r="I150" s="46"/>
    </row>
    <row r="151" spans="1:19" x14ac:dyDescent="0.2">
      <c r="A151" t="s">
        <v>10</v>
      </c>
      <c r="B151" s="1" t="s">
        <v>34</v>
      </c>
      <c r="C151" s="2"/>
      <c r="D151" s="2"/>
      <c r="E151" s="3" t="s">
        <v>1</v>
      </c>
      <c r="F151" s="3" t="s">
        <v>2</v>
      </c>
      <c r="G151" s="3" t="s">
        <v>3</v>
      </c>
      <c r="H151" s="3" t="s">
        <v>4</v>
      </c>
      <c r="I151" s="3" t="s">
        <v>5</v>
      </c>
      <c r="J151" s="3" t="s">
        <v>12</v>
      </c>
      <c r="K151" s="3" t="s">
        <v>13</v>
      </c>
      <c r="L151" s="3" t="s">
        <v>14</v>
      </c>
      <c r="M151" s="3" t="s">
        <v>15</v>
      </c>
      <c r="N151" s="3" t="s">
        <v>16</v>
      </c>
      <c r="O151" s="3"/>
      <c r="P151" s="3"/>
    </row>
    <row r="152" spans="1:19" x14ac:dyDescent="0.2">
      <c r="B152" s="44" t="s">
        <v>35</v>
      </c>
      <c r="C152" s="45"/>
      <c r="D152" s="45"/>
      <c r="E152" s="45"/>
      <c r="F152" s="45"/>
      <c r="G152" s="45"/>
      <c r="H152" s="45"/>
      <c r="I152" s="45"/>
      <c r="J152" s="45"/>
      <c r="K152" s="45"/>
      <c r="L152" s="45"/>
      <c r="M152" s="45"/>
      <c r="N152" s="45"/>
      <c r="O152" s="45"/>
      <c r="P152" s="45"/>
    </row>
    <row r="153" spans="1:19" x14ac:dyDescent="0.2">
      <c r="B153" t="s">
        <v>36</v>
      </c>
      <c r="E153" s="14">
        <f>E221</f>
        <v>5109</v>
      </c>
      <c r="F153" s="14">
        <f t="shared" ref="F153:N153" si="53">F221</f>
        <v>3598</v>
      </c>
      <c r="G153" s="14">
        <f t="shared" si="53"/>
        <v>1655</v>
      </c>
      <c r="H153" s="14">
        <f t="shared" si="53"/>
        <v>1092</v>
      </c>
      <c r="I153" s="14">
        <f t="shared" si="53"/>
        <v>1530</v>
      </c>
      <c r="J153" s="14">
        <f t="shared" ca="1" si="53"/>
        <v>6042.635413371946</v>
      </c>
      <c r="K153" s="14">
        <f t="shared" ca="1" si="53"/>
        <v>5703.8002195758791</v>
      </c>
      <c r="L153" s="14">
        <f t="shared" ca="1" si="53"/>
        <v>5319.3324034472416</v>
      </c>
      <c r="M153" s="14">
        <f t="shared" ca="1" si="53"/>
        <v>4884.7807087263218</v>
      </c>
      <c r="N153" s="14">
        <f t="shared" ca="1" si="53"/>
        <v>4399.4031908843617</v>
      </c>
      <c r="O153" s="6"/>
      <c r="P153" s="6"/>
      <c r="Q153" s="6"/>
      <c r="R153" s="6"/>
      <c r="S153" s="6"/>
    </row>
    <row r="154" spans="1:19" x14ac:dyDescent="0.2">
      <c r="B154" t="s">
        <v>37</v>
      </c>
      <c r="E154" s="38">
        <v>3759</v>
      </c>
      <c r="F154" s="38">
        <v>5478</v>
      </c>
      <c r="G154" s="38">
        <v>3195</v>
      </c>
      <c r="H154" s="38">
        <v>3912</v>
      </c>
      <c r="I154" s="38">
        <v>5311</v>
      </c>
      <c r="J154" s="22">
        <f>I154*(1+J$130)</f>
        <v>5507.4700758794888</v>
      </c>
      <c r="K154" s="22">
        <f t="shared" ref="K154:N157" si="54">J154*(1+K$130)</f>
        <v>5711.2081786307708</v>
      </c>
      <c r="L154" s="22">
        <f t="shared" si="54"/>
        <v>5922.483174717976</v>
      </c>
      <c r="M154" s="22">
        <f t="shared" si="54"/>
        <v>6141.5738767951434</v>
      </c>
      <c r="N154" s="22">
        <f t="shared" si="54"/>
        <v>6368.7694116460998</v>
      </c>
      <c r="O154" s="6"/>
      <c r="P154" s="6"/>
      <c r="Q154" s="6"/>
      <c r="R154" s="6"/>
      <c r="S154" s="6"/>
    </row>
    <row r="155" spans="1:19" x14ac:dyDescent="0.2">
      <c r="B155" t="s">
        <v>38</v>
      </c>
      <c r="E155" s="38">
        <v>3123</v>
      </c>
      <c r="F155" s="38">
        <v>3595</v>
      </c>
      <c r="G155" s="38">
        <v>5118</v>
      </c>
      <c r="H155" s="38">
        <v>5373</v>
      </c>
      <c r="I155" s="38">
        <v>4487</v>
      </c>
      <c r="J155" s="22">
        <f>I155*(1+J$133)</f>
        <v>4648.7458968136489</v>
      </c>
      <c r="K155" s="22">
        <f t="shared" ref="K155:N155" si="55">J155*(1+K$133)</f>
        <v>4820.7171751212072</v>
      </c>
      <c r="L155" s="22">
        <f t="shared" si="55"/>
        <v>4999.0501951154865</v>
      </c>
      <c r="M155" s="22">
        <f t="shared" si="55"/>
        <v>5183.9802970096143</v>
      </c>
      <c r="N155" s="22">
        <f t="shared" si="55"/>
        <v>5375.7515269684272</v>
      </c>
      <c r="O155" s="6"/>
      <c r="P155" s="6"/>
      <c r="Q155" s="6"/>
      <c r="R155" s="6"/>
      <c r="S155" s="6"/>
    </row>
    <row r="156" spans="1:19" x14ac:dyDescent="0.2">
      <c r="B156" t="s">
        <v>180</v>
      </c>
      <c r="E156" s="38">
        <v>319</v>
      </c>
      <c r="F156" s="38">
        <v>710</v>
      </c>
      <c r="G156" s="38">
        <v>989</v>
      </c>
      <c r="H156" s="38">
        <v>1541</v>
      </c>
      <c r="I156" s="38">
        <v>1106</v>
      </c>
      <c r="J156" s="22">
        <f>I156*(1+J$130)</f>
        <v>1146.9143106614035</v>
      </c>
      <c r="K156" s="22">
        <f t="shared" si="54"/>
        <v>1189.3421663652102</v>
      </c>
      <c r="L156" s="22">
        <f t="shared" si="54"/>
        <v>1233.3395577552401</v>
      </c>
      <c r="M156" s="22">
        <f t="shared" si="54"/>
        <v>1278.9645467398659</v>
      </c>
      <c r="N156" s="22">
        <f t="shared" si="54"/>
        <v>1326.2773431144012</v>
      </c>
      <c r="O156" s="6"/>
      <c r="P156" s="6"/>
      <c r="Q156" s="6"/>
      <c r="R156" s="6"/>
      <c r="S156" s="6"/>
    </row>
    <row r="157" spans="1:19" x14ac:dyDescent="0.2">
      <c r="B157" s="24" t="s">
        <v>39</v>
      </c>
      <c r="C157" s="24"/>
      <c r="D157" s="24"/>
      <c r="E157" s="36">
        <v>147</v>
      </c>
      <c r="F157" s="36">
        <v>164</v>
      </c>
      <c r="G157" s="36">
        <v>235</v>
      </c>
      <c r="H157" s="36">
        <v>538</v>
      </c>
      <c r="I157" s="36">
        <v>1476</v>
      </c>
      <c r="J157" s="22">
        <f>I157*(1+J$130)</f>
        <v>1530.6017382786906</v>
      </c>
      <c r="K157" s="22">
        <f t="shared" si="54"/>
        <v>1587.2233612613477</v>
      </c>
      <c r="L157" s="22">
        <f t="shared" si="54"/>
        <v>1645.9395906390005</v>
      </c>
      <c r="M157" s="22">
        <f t="shared" si="54"/>
        <v>1706.8279122857523</v>
      </c>
      <c r="N157" s="22">
        <f t="shared" si="54"/>
        <v>1769.9686785143367</v>
      </c>
      <c r="O157" s="6"/>
      <c r="P157" s="6"/>
      <c r="Q157" s="6"/>
      <c r="R157" s="6"/>
      <c r="S157" s="6"/>
    </row>
    <row r="158" spans="1:19" x14ac:dyDescent="0.2">
      <c r="B158" s="27" t="s">
        <v>40</v>
      </c>
      <c r="E158" s="28">
        <f>SUM(E153:E157)</f>
        <v>12457</v>
      </c>
      <c r="F158" s="28">
        <f t="shared" ref="F158:N158" si="56">SUM(F153:F157)</f>
        <v>13545</v>
      </c>
      <c r="G158" s="28">
        <f t="shared" si="56"/>
        <v>11192</v>
      </c>
      <c r="H158" s="28">
        <f t="shared" si="56"/>
        <v>12456</v>
      </c>
      <c r="I158" s="28">
        <f t="shared" si="56"/>
        <v>13910</v>
      </c>
      <c r="J158" s="141">
        <f t="shared" ca="1" si="56"/>
        <v>18876.367435005181</v>
      </c>
      <c r="K158" s="141">
        <f t="shared" ca="1" si="56"/>
        <v>19012.291100954419</v>
      </c>
      <c r="L158" s="141">
        <f t="shared" ca="1" si="56"/>
        <v>19120.144921674946</v>
      </c>
      <c r="M158" s="141">
        <f t="shared" ca="1" si="56"/>
        <v>19196.127341556698</v>
      </c>
      <c r="N158" s="141">
        <f t="shared" ca="1" si="56"/>
        <v>19240.170151127626</v>
      </c>
      <c r="O158" s="6"/>
      <c r="P158" s="6"/>
      <c r="Q158" s="6"/>
      <c r="R158" s="6"/>
      <c r="S158" s="6"/>
    </row>
    <row r="159" spans="1:19" x14ac:dyDescent="0.2">
      <c r="B159" t="s">
        <v>41</v>
      </c>
      <c r="E159" s="14">
        <f>E248</f>
        <v>19431</v>
      </c>
      <c r="F159" s="14">
        <f t="shared" ref="F159:N159" si="57">F248</f>
        <v>23672</v>
      </c>
      <c r="G159" s="14">
        <f t="shared" si="57"/>
        <v>28240</v>
      </c>
      <c r="H159" s="14">
        <f t="shared" si="57"/>
        <v>31031</v>
      </c>
      <c r="I159" s="14">
        <f t="shared" si="57"/>
        <v>33213</v>
      </c>
      <c r="J159" s="14">
        <f t="shared" si="57"/>
        <v>29296.621845689097</v>
      </c>
      <c r="K159" s="14">
        <f t="shared" si="57"/>
        <v>30380.393172564494</v>
      </c>
      <c r="L159" s="14">
        <f t="shared" si="57"/>
        <v>31504.256503737997</v>
      </c>
      <c r="M159" s="14">
        <f t="shared" si="57"/>
        <v>32669.694964633549</v>
      </c>
      <c r="N159" s="14">
        <f t="shared" si="57"/>
        <v>33878.246546004535</v>
      </c>
      <c r="O159" s="6"/>
      <c r="P159" s="6"/>
      <c r="Q159" s="6"/>
      <c r="R159" s="6"/>
      <c r="S159" s="6"/>
    </row>
    <row r="160" spans="1:19" x14ac:dyDescent="0.2">
      <c r="B160" t="s">
        <v>123</v>
      </c>
      <c r="E160" s="46">
        <v>0</v>
      </c>
      <c r="F160" s="46">
        <v>0</v>
      </c>
      <c r="G160" s="46">
        <v>0</v>
      </c>
      <c r="H160" s="46">
        <v>584</v>
      </c>
      <c r="I160" s="46">
        <v>551</v>
      </c>
      <c r="J160" s="22">
        <f>I160*(1+J$130)</f>
        <v>571.38316923547325</v>
      </c>
      <c r="K160" s="22">
        <f t="shared" ref="K160:N160" si="58">J160*(1+K$130)</f>
        <v>592.5203740210045</v>
      </c>
      <c r="L160" s="22">
        <f t="shared" si="58"/>
        <v>614.43950842959987</v>
      </c>
      <c r="M160" s="22">
        <f t="shared" si="58"/>
        <v>637.16949842103634</v>
      </c>
      <c r="N160" s="22">
        <f t="shared" si="58"/>
        <v>660.74034001449843</v>
      </c>
      <c r="O160" s="6"/>
      <c r="P160" s="6"/>
      <c r="Q160" s="6"/>
      <c r="R160" s="6"/>
      <c r="S160" s="6"/>
    </row>
    <row r="161" spans="2:20" x14ac:dyDescent="0.2">
      <c r="B161" t="s">
        <v>42</v>
      </c>
      <c r="E161" s="38">
        <v>1228</v>
      </c>
      <c r="F161" s="38">
        <v>1228</v>
      </c>
      <c r="G161" s="38">
        <v>1228</v>
      </c>
      <c r="H161" s="38">
        <v>1228</v>
      </c>
      <c r="I161" s="38">
        <v>1228</v>
      </c>
      <c r="J161" s="22">
        <f>I161</f>
        <v>1228</v>
      </c>
      <c r="K161" s="22">
        <f t="shared" ref="K161:N161" si="59">J161</f>
        <v>1228</v>
      </c>
      <c r="L161" s="22">
        <f t="shared" si="59"/>
        <v>1228</v>
      </c>
      <c r="M161" s="22">
        <f t="shared" si="59"/>
        <v>1228</v>
      </c>
      <c r="N161" s="22">
        <f t="shared" si="59"/>
        <v>1228</v>
      </c>
      <c r="O161" s="6"/>
      <c r="P161" s="6"/>
      <c r="Q161" s="6"/>
      <c r="R161" s="6"/>
      <c r="S161" s="6"/>
    </row>
    <row r="162" spans="2:20" x14ac:dyDescent="0.2">
      <c r="B162" t="s">
        <v>43</v>
      </c>
      <c r="E162" s="48">
        <f>E255</f>
        <v>387</v>
      </c>
      <c r="F162" s="48">
        <f t="shared" ref="F162:N162" si="60">F255</f>
        <v>331</v>
      </c>
      <c r="G162" s="48">
        <f t="shared" si="60"/>
        <v>340</v>
      </c>
      <c r="H162" s="48">
        <f t="shared" si="60"/>
        <v>334</v>
      </c>
      <c r="I162" s="48">
        <f t="shared" si="60"/>
        <v>349</v>
      </c>
      <c r="J162" s="48">
        <f t="shared" si="60"/>
        <v>294.55993161943104</v>
      </c>
      <c r="K162" s="48">
        <f t="shared" si="60"/>
        <v>248.61190061789083</v>
      </c>
      <c r="L162" s="48">
        <f t="shared" si="60"/>
        <v>209.83124483032296</v>
      </c>
      <c r="M162" s="48">
        <f t="shared" si="60"/>
        <v>177.09993446659035</v>
      </c>
      <c r="N162" s="48">
        <f t="shared" si="60"/>
        <v>149.47433978878104</v>
      </c>
      <c r="O162" s="6"/>
      <c r="P162" s="6"/>
      <c r="Q162" s="6"/>
      <c r="R162" s="6"/>
      <c r="S162" s="6"/>
    </row>
    <row r="163" spans="2:20" x14ac:dyDescent="0.2">
      <c r="B163" t="s">
        <v>44</v>
      </c>
      <c r="E163" s="38">
        <v>1833</v>
      </c>
      <c r="F163" s="38">
        <v>2106</v>
      </c>
      <c r="G163" s="38">
        <v>2576</v>
      </c>
      <c r="H163" s="38">
        <v>2536</v>
      </c>
      <c r="I163" s="38">
        <v>3601</v>
      </c>
      <c r="J163" s="22">
        <f>I163*(1+J$130)</f>
        <v>3734.2119644590548</v>
      </c>
      <c r="K163" s="22">
        <f t="shared" ref="K163:N163" si="61">J163*(1+K$130)</f>
        <v>3872.3518454621362</v>
      </c>
      <c r="L163" s="22">
        <f t="shared" si="61"/>
        <v>4015.6019416605968</v>
      </c>
      <c r="M163" s="22">
        <f t="shared" si="61"/>
        <v>4164.1512954884784</v>
      </c>
      <c r="N163" s="22">
        <f t="shared" si="61"/>
        <v>4318.195942635587</v>
      </c>
      <c r="O163" s="6"/>
      <c r="P163" s="6"/>
      <c r="Q163" s="6"/>
      <c r="R163" s="6"/>
      <c r="S163" s="6"/>
    </row>
    <row r="164" spans="2:20" ht="16" thickBot="1" x14ac:dyDescent="0.25">
      <c r="B164" s="49" t="s">
        <v>45</v>
      </c>
      <c r="C164" s="50"/>
      <c r="D164" s="50"/>
      <c r="E164" s="51">
        <f>SUM(E158:E163)</f>
        <v>35336</v>
      </c>
      <c r="F164" s="51">
        <f t="shared" ref="F164:N164" si="62">SUM(F158:F163)</f>
        <v>40882</v>
      </c>
      <c r="G164" s="51">
        <f t="shared" si="62"/>
        <v>43576</v>
      </c>
      <c r="H164" s="51">
        <f t="shared" si="62"/>
        <v>48169</v>
      </c>
      <c r="I164" s="51">
        <f t="shared" si="62"/>
        <v>52852</v>
      </c>
      <c r="J164" s="51">
        <f t="shared" ca="1" si="62"/>
        <v>54001.144346008237</v>
      </c>
      <c r="K164" s="51">
        <f t="shared" ca="1" si="62"/>
        <v>55334.168393619948</v>
      </c>
      <c r="L164" s="51">
        <f t="shared" ca="1" si="62"/>
        <v>56692.274120333466</v>
      </c>
      <c r="M164" s="51">
        <f t="shared" ca="1" si="62"/>
        <v>58072.243034566345</v>
      </c>
      <c r="N164" s="51">
        <f t="shared" ca="1" si="62"/>
        <v>59474.827319571028</v>
      </c>
      <c r="O164" s="6"/>
      <c r="P164" s="6"/>
      <c r="Q164" s="6"/>
      <c r="R164" s="6"/>
      <c r="S164" s="6"/>
    </row>
    <row r="165" spans="2:20" ht="16" thickTop="1" x14ac:dyDescent="0.2">
      <c r="I165" s="42"/>
      <c r="J165" s="52"/>
      <c r="K165" s="52"/>
      <c r="L165" s="52"/>
      <c r="M165" s="52"/>
      <c r="N165" s="52"/>
      <c r="O165" s="42"/>
    </row>
    <row r="166" spans="2:20" x14ac:dyDescent="0.2">
      <c r="B166" s="44" t="s">
        <v>46</v>
      </c>
      <c r="C166" s="45"/>
      <c r="D166" s="45"/>
      <c r="E166" s="45"/>
      <c r="F166" s="45"/>
      <c r="G166" s="45"/>
      <c r="H166" s="45"/>
      <c r="I166" s="45"/>
      <c r="J166" s="45"/>
      <c r="K166" s="45"/>
      <c r="L166" s="45"/>
      <c r="M166" s="45"/>
      <c r="N166" s="45"/>
      <c r="O166" s="45"/>
      <c r="P166" s="45"/>
    </row>
    <row r="167" spans="2:20" x14ac:dyDescent="0.2">
      <c r="B167" t="s">
        <v>47</v>
      </c>
      <c r="E167" s="53">
        <v>3664</v>
      </c>
      <c r="F167" s="53">
        <v>4374</v>
      </c>
      <c r="G167" s="53">
        <v>4626</v>
      </c>
      <c r="H167" s="53">
        <v>5817</v>
      </c>
      <c r="I167" s="53">
        <v>5325</v>
      </c>
      <c r="J167" s="22">
        <f>I167*(1+J$133)</f>
        <v>5516.9538445582084</v>
      </c>
      <c r="K167" s="22">
        <f t="shared" ref="K167:N167" si="63">J167*(1+K$133)</f>
        <v>5721.0427808157847</v>
      </c>
      <c r="L167" s="22">
        <f t="shared" si="63"/>
        <v>5932.6815888098872</v>
      </c>
      <c r="M167" s="22">
        <f t="shared" si="63"/>
        <v>6152.1495613051475</v>
      </c>
      <c r="N167" s="22">
        <f t="shared" si="63"/>
        <v>6379.7363229567363</v>
      </c>
      <c r="O167" s="54"/>
      <c r="P167" s="54"/>
      <c r="Q167" s="54"/>
      <c r="R167" s="54"/>
      <c r="S167" s="54"/>
      <c r="T167" s="54"/>
    </row>
    <row r="168" spans="2:20" x14ac:dyDescent="0.2">
      <c r="B168" t="s">
        <v>122</v>
      </c>
      <c r="E168" s="53">
        <v>621</v>
      </c>
      <c r="F168" s="53">
        <v>358</v>
      </c>
      <c r="G168" s="53">
        <v>215</v>
      </c>
      <c r="H168" s="53">
        <v>73</v>
      </c>
      <c r="I168" s="53">
        <v>154</v>
      </c>
      <c r="J168" s="22">
        <f ca="1">J267</f>
        <v>0</v>
      </c>
      <c r="K168" s="22">
        <f t="shared" ref="K168:N168" ca="1" si="64">K267</f>
        <v>0</v>
      </c>
      <c r="L168" s="22">
        <f t="shared" ca="1" si="64"/>
        <v>0</v>
      </c>
      <c r="M168" s="22">
        <f t="shared" ca="1" si="64"/>
        <v>0</v>
      </c>
      <c r="N168" s="22">
        <f t="shared" ca="1" si="64"/>
        <v>0</v>
      </c>
      <c r="O168" s="54"/>
      <c r="P168" s="54"/>
      <c r="Q168" s="54"/>
      <c r="R168" s="54"/>
      <c r="S168" s="54"/>
      <c r="T168" s="54"/>
    </row>
    <row r="169" spans="2:20" x14ac:dyDescent="0.2">
      <c r="B169" t="s">
        <v>48</v>
      </c>
      <c r="E169" s="30">
        <v>641</v>
      </c>
      <c r="F169" s="30">
        <v>501</v>
      </c>
      <c r="G169" s="30">
        <v>1095</v>
      </c>
      <c r="H169" s="30">
        <v>197</v>
      </c>
      <c r="I169" s="30">
        <v>300</v>
      </c>
      <c r="J169" s="20">
        <v>1250</v>
      </c>
      <c r="K169" s="20">
        <v>600</v>
      </c>
      <c r="L169" s="20">
        <v>1188</v>
      </c>
      <c r="M169" s="20">
        <v>500</v>
      </c>
      <c r="N169" s="20">
        <v>895</v>
      </c>
      <c r="O169" s="54"/>
      <c r="P169" s="54"/>
      <c r="Q169" s="54"/>
      <c r="R169" s="54"/>
      <c r="S169" s="54"/>
      <c r="T169" s="54"/>
    </row>
    <row r="170" spans="2:20" x14ac:dyDescent="0.2">
      <c r="B170" s="24" t="s">
        <v>113</v>
      </c>
      <c r="C170" s="24"/>
      <c r="D170" s="24"/>
      <c r="E170" s="55">
        <v>408</v>
      </c>
      <c r="F170" s="55">
        <v>521</v>
      </c>
      <c r="G170" s="55">
        <v>454</v>
      </c>
      <c r="H170" s="55">
        <v>548</v>
      </c>
      <c r="I170" s="55">
        <v>944</v>
      </c>
      <c r="J170" s="22">
        <f>I170*(1+J$130)</f>
        <v>978.92143694788888</v>
      </c>
      <c r="K170" s="22">
        <f t="shared" ref="K170:N170" si="65">J170*(1+K$130)</f>
        <v>1015.1347242755503</v>
      </c>
      <c r="L170" s="22">
        <f t="shared" si="65"/>
        <v>1052.6876514655939</v>
      </c>
      <c r="M170" s="22">
        <f t="shared" si="65"/>
        <v>1091.6297758792348</v>
      </c>
      <c r="N170" s="22">
        <f t="shared" si="65"/>
        <v>1132.0124881555109</v>
      </c>
      <c r="O170" s="54"/>
      <c r="P170" s="54"/>
      <c r="Q170" s="54"/>
      <c r="R170" s="54"/>
      <c r="S170" s="54"/>
      <c r="T170" s="54"/>
    </row>
    <row r="171" spans="2:20" x14ac:dyDescent="0.2">
      <c r="B171" s="27" t="s">
        <v>49</v>
      </c>
      <c r="E171" s="28">
        <f>SUM(E167:E170)</f>
        <v>5334</v>
      </c>
      <c r="F171" s="28">
        <f t="shared" ref="F171:N171" si="66">SUM(F167:F170)</f>
        <v>5754</v>
      </c>
      <c r="G171" s="28">
        <f t="shared" si="66"/>
        <v>6390</v>
      </c>
      <c r="H171" s="28">
        <f t="shared" si="66"/>
        <v>6635</v>
      </c>
      <c r="I171" s="28">
        <f t="shared" si="66"/>
        <v>6723</v>
      </c>
      <c r="J171" s="141">
        <f t="shared" ca="1" si="66"/>
        <v>7745.8752815060971</v>
      </c>
      <c r="K171" s="141">
        <f t="shared" ca="1" si="66"/>
        <v>7336.1775050913348</v>
      </c>
      <c r="L171" s="141">
        <f t="shared" ca="1" si="66"/>
        <v>8173.3692402754814</v>
      </c>
      <c r="M171" s="141">
        <f t="shared" ca="1" si="66"/>
        <v>7743.7793371843818</v>
      </c>
      <c r="N171" s="141">
        <f t="shared" ca="1" si="66"/>
        <v>8406.7488111122475</v>
      </c>
      <c r="O171" s="28"/>
      <c r="P171" s="29"/>
    </row>
    <row r="172" spans="2:20" x14ac:dyDescent="0.2">
      <c r="B172" t="s">
        <v>50</v>
      </c>
      <c r="E172" s="53">
        <v>9872</v>
      </c>
      <c r="F172" s="53">
        <v>8777</v>
      </c>
      <c r="G172" s="53">
        <v>7541</v>
      </c>
      <c r="H172" s="53">
        <v>6373</v>
      </c>
      <c r="I172" s="53">
        <v>6621</v>
      </c>
      <c r="J172" s="15">
        <f>I172+I169-J169</f>
        <v>5671</v>
      </c>
      <c r="K172" s="15">
        <f t="shared" ref="K172:N172" si="67">J172+J169-K169</f>
        <v>6321</v>
      </c>
      <c r="L172" s="15">
        <f t="shared" si="67"/>
        <v>5733</v>
      </c>
      <c r="M172" s="15">
        <f t="shared" si="67"/>
        <v>6421</v>
      </c>
      <c r="N172" s="15">
        <f t="shared" si="67"/>
        <v>6026</v>
      </c>
      <c r="O172" s="15"/>
      <c r="P172" s="22"/>
    </row>
    <row r="173" spans="2:20" x14ac:dyDescent="0.2">
      <c r="B173" t="s">
        <v>124</v>
      </c>
      <c r="E173" s="57">
        <v>0</v>
      </c>
      <c r="F173" s="57">
        <v>0</v>
      </c>
      <c r="G173" s="57">
        <v>0</v>
      </c>
      <c r="H173" s="57">
        <v>533</v>
      </c>
      <c r="I173" s="57">
        <v>504</v>
      </c>
      <c r="J173" s="22">
        <f>I173*(1+J$130)</f>
        <v>522.64449599760167</v>
      </c>
      <c r="K173" s="22">
        <f t="shared" ref="K173:N174" si="68">J173*(1+K$130)</f>
        <v>541.97870872338706</v>
      </c>
      <c r="L173" s="22">
        <f t="shared" si="68"/>
        <v>562.02815290112221</v>
      </c>
      <c r="M173" s="22">
        <f t="shared" si="68"/>
        <v>582.81928712196429</v>
      </c>
      <c r="N173" s="22">
        <f t="shared" si="68"/>
        <v>604.37954876099309</v>
      </c>
      <c r="O173" s="15"/>
      <c r="P173" s="22"/>
    </row>
    <row r="174" spans="2:20" x14ac:dyDescent="0.2">
      <c r="B174" t="s">
        <v>51</v>
      </c>
      <c r="E174" s="53">
        <v>639</v>
      </c>
      <c r="F174" s="53">
        <v>581</v>
      </c>
      <c r="G174" s="53">
        <v>1088</v>
      </c>
      <c r="H174" s="53">
        <v>1141</v>
      </c>
      <c r="I174" s="53">
        <v>1367</v>
      </c>
      <c r="J174" s="22">
        <f>I174*(1+J$130)</f>
        <v>1417.5694960887331</v>
      </c>
      <c r="K174" s="22">
        <f t="shared" si="68"/>
        <v>1470.0097119541074</v>
      </c>
      <c r="L174" s="22">
        <f t="shared" si="68"/>
        <v>1524.389851221893</v>
      </c>
      <c r="M174" s="22">
        <f t="shared" si="68"/>
        <v>1580.7816775708834</v>
      </c>
      <c r="N174" s="22">
        <f t="shared" si="68"/>
        <v>1639.2596094370588</v>
      </c>
      <c r="O174" s="15"/>
      <c r="P174" s="22"/>
    </row>
    <row r="175" spans="2:20" ht="16" thickBot="1" x14ac:dyDescent="0.25">
      <c r="B175" s="49" t="s">
        <v>52</v>
      </c>
      <c r="C175" s="50"/>
      <c r="D175" s="50"/>
      <c r="E175" s="51">
        <f>SUM(E171:E174)</f>
        <v>15845</v>
      </c>
      <c r="F175" s="51">
        <f t="shared" ref="F175:N175" si="69">SUM(F171:F174)</f>
        <v>15112</v>
      </c>
      <c r="G175" s="51">
        <f t="shared" si="69"/>
        <v>15019</v>
      </c>
      <c r="H175" s="51">
        <f t="shared" si="69"/>
        <v>14682</v>
      </c>
      <c r="I175" s="51">
        <f t="shared" si="69"/>
        <v>15215</v>
      </c>
      <c r="J175" s="51">
        <f t="shared" ca="1" si="69"/>
        <v>15357.089273592432</v>
      </c>
      <c r="K175" s="51">
        <f t="shared" ca="1" si="69"/>
        <v>15669.16592576883</v>
      </c>
      <c r="L175" s="51">
        <f t="shared" ca="1" si="69"/>
        <v>15992.787244398498</v>
      </c>
      <c r="M175" s="51">
        <f t="shared" ca="1" si="69"/>
        <v>16328.380301877229</v>
      </c>
      <c r="N175" s="51">
        <f t="shared" ca="1" si="69"/>
        <v>16676.387969310301</v>
      </c>
      <c r="O175" s="58"/>
      <c r="P175" s="59"/>
    </row>
    <row r="176" spans="2:20" ht="16" thickTop="1" x14ac:dyDescent="0.2"/>
    <row r="177" spans="1:16" x14ac:dyDescent="0.2">
      <c r="B177" s="44" t="s">
        <v>53</v>
      </c>
      <c r="C177" s="45"/>
      <c r="D177" s="45"/>
      <c r="E177" s="45"/>
      <c r="F177" s="45"/>
      <c r="G177" s="45"/>
      <c r="H177" s="45"/>
      <c r="I177" s="45"/>
      <c r="J177" s="45"/>
      <c r="K177" s="45"/>
      <c r="L177" s="45"/>
      <c r="M177" s="45"/>
      <c r="N177" s="45"/>
      <c r="O177" s="45"/>
      <c r="P177" s="45"/>
    </row>
    <row r="178" spans="1:16" x14ac:dyDescent="0.2">
      <c r="B178" t="s">
        <v>127</v>
      </c>
      <c r="E178" s="48">
        <f>E241</f>
        <v>7875</v>
      </c>
      <c r="F178" s="48">
        <f t="shared" ref="F178:N178" si="70">F241</f>
        <v>9525</v>
      </c>
      <c r="G178" s="48">
        <f t="shared" si="70"/>
        <v>9703</v>
      </c>
      <c r="H178" s="48">
        <f t="shared" si="70"/>
        <v>9927</v>
      </c>
      <c r="I178" s="48">
        <f t="shared" si="70"/>
        <v>10150</v>
      </c>
      <c r="J178" s="48">
        <f t="shared" si="70"/>
        <v>10632.8</v>
      </c>
      <c r="K178" s="48">
        <f t="shared" si="70"/>
        <v>11115.599999999999</v>
      </c>
      <c r="L178" s="48">
        <f t="shared" si="70"/>
        <v>11598.399999999998</v>
      </c>
      <c r="M178" s="48">
        <f t="shared" si="70"/>
        <v>12081.199999999997</v>
      </c>
      <c r="N178" s="48">
        <f t="shared" si="70"/>
        <v>12563.999999999996</v>
      </c>
      <c r="O178" s="43"/>
    </row>
    <row r="179" spans="1:16" x14ac:dyDescent="0.2">
      <c r="B179" t="s">
        <v>54</v>
      </c>
      <c r="E179" s="48">
        <f>E235</f>
        <v>-65</v>
      </c>
      <c r="F179" s="48">
        <f t="shared" ref="F179:N179" si="71">F235</f>
        <v>-229</v>
      </c>
      <c r="G179" s="48">
        <f t="shared" si="71"/>
        <v>-2778</v>
      </c>
      <c r="H179" s="48">
        <f t="shared" si="71"/>
        <v>-2724</v>
      </c>
      <c r="I179" s="48">
        <f t="shared" si="71"/>
        <v>-3546</v>
      </c>
      <c r="J179" s="48">
        <f t="shared" ca="1" si="71"/>
        <v>-7900.1103870185925</v>
      </c>
      <c r="K179" s="48">
        <f t="shared" ca="1" si="71"/>
        <v>-12509.847089550518</v>
      </c>
      <c r="L179" s="48">
        <f t="shared" ca="1" si="71"/>
        <v>-17368.672203109541</v>
      </c>
      <c r="M179" s="48">
        <f t="shared" ca="1" si="71"/>
        <v>-22409.505363496122</v>
      </c>
      <c r="N179" s="48">
        <f t="shared" ca="1" si="71"/>
        <v>-27638.038082807092</v>
      </c>
      <c r="O179" s="43"/>
    </row>
    <row r="180" spans="1:16" x14ac:dyDescent="0.2">
      <c r="B180" t="s">
        <v>55</v>
      </c>
      <c r="E180" s="48">
        <f>E228</f>
        <v>10268</v>
      </c>
      <c r="F180" s="48">
        <f t="shared" ref="F180:N180" si="72">F228</f>
        <v>15061</v>
      </c>
      <c r="G180" s="48">
        <f t="shared" si="72"/>
        <v>20219</v>
      </c>
      <c r="H180" s="48">
        <f t="shared" si="72"/>
        <v>24871</v>
      </c>
      <c r="I180" s="48">
        <f t="shared" si="72"/>
        <v>29620</v>
      </c>
      <c r="J180" s="48">
        <f t="shared" ca="1" si="72"/>
        <v>34498.365459434397</v>
      </c>
      <c r="K180" s="48">
        <f t="shared" ca="1" si="72"/>
        <v>39646.249557401628</v>
      </c>
      <c r="L180" s="48">
        <f t="shared" ca="1" si="72"/>
        <v>45056.759079044503</v>
      </c>
      <c r="M180" s="48">
        <f t="shared" ca="1" si="72"/>
        <v>50659.168096185233</v>
      </c>
      <c r="N180" s="48">
        <f t="shared" ca="1" si="72"/>
        <v>56459.477433067805</v>
      </c>
      <c r="O180" s="43"/>
    </row>
    <row r="181" spans="1:16" x14ac:dyDescent="0.2">
      <c r="B181" t="s">
        <v>56</v>
      </c>
      <c r="E181" s="53">
        <v>1413</v>
      </c>
      <c r="F181" s="53">
        <v>1413</v>
      </c>
      <c r="G181" s="53">
        <v>1413</v>
      </c>
      <c r="H181" s="53">
        <v>1413</v>
      </c>
      <c r="I181" s="53">
        <v>1413</v>
      </c>
      <c r="J181" s="43">
        <f>I181</f>
        <v>1413</v>
      </c>
      <c r="K181" s="43">
        <f t="shared" ref="K181:N181" si="73">J181</f>
        <v>1413</v>
      </c>
      <c r="L181" s="43">
        <f t="shared" si="73"/>
        <v>1413</v>
      </c>
      <c r="M181" s="43">
        <f t="shared" si="73"/>
        <v>1413</v>
      </c>
      <c r="N181" s="43">
        <f t="shared" si="73"/>
        <v>1413</v>
      </c>
      <c r="O181" s="43"/>
    </row>
    <row r="182" spans="1:16" ht="16" thickBot="1" x14ac:dyDescent="0.25">
      <c r="B182" s="49" t="s">
        <v>57</v>
      </c>
      <c r="C182" s="50"/>
      <c r="D182" s="50"/>
      <c r="E182" s="51">
        <f>SUM(E178:E181)</f>
        <v>19491</v>
      </c>
      <c r="F182" s="51">
        <f t="shared" ref="F182:N182" si="74">SUM(F178:F181)</f>
        <v>25770</v>
      </c>
      <c r="G182" s="51">
        <f t="shared" si="74"/>
        <v>28557</v>
      </c>
      <c r="H182" s="51">
        <f t="shared" si="74"/>
        <v>33487</v>
      </c>
      <c r="I182" s="51">
        <f t="shared" si="74"/>
        <v>37637</v>
      </c>
      <c r="J182" s="51">
        <f t="shared" ca="1" si="74"/>
        <v>38644.055072415802</v>
      </c>
      <c r="K182" s="51">
        <f t="shared" ca="1" si="74"/>
        <v>39665.002467851111</v>
      </c>
      <c r="L182" s="51">
        <f t="shared" ca="1" si="74"/>
        <v>40699.486875934963</v>
      </c>
      <c r="M182" s="51">
        <f t="shared" ca="1" si="74"/>
        <v>41743.862732689107</v>
      </c>
      <c r="N182" s="51">
        <f t="shared" ca="1" si="74"/>
        <v>42798.439350260713</v>
      </c>
      <c r="O182" s="58"/>
      <c r="P182" s="59"/>
    </row>
    <row r="183" spans="1:16" ht="16" thickTop="1" x14ac:dyDescent="0.2">
      <c r="E183" s="43"/>
      <c r="F183" s="43"/>
      <c r="G183" s="43"/>
      <c r="H183" s="43"/>
      <c r="I183" s="43"/>
      <c r="K183" s="60"/>
    </row>
    <row r="184" spans="1:16" x14ac:dyDescent="0.2">
      <c r="B184" t="s">
        <v>58</v>
      </c>
      <c r="E184" s="61" t="str">
        <f>IF(ABS(E164-(E175+E182))&lt;0.0001,"Y","N")</f>
        <v>Y</v>
      </c>
      <c r="F184" s="61" t="str">
        <f t="shared" ref="F184:N184" si="75">IF(ABS(F164-(F175+F182))&lt;0.0001,"Y","N")</f>
        <v>Y</v>
      </c>
      <c r="G184" s="61" t="str">
        <f t="shared" si="75"/>
        <v>Y</v>
      </c>
      <c r="H184" s="61" t="str">
        <f t="shared" si="75"/>
        <v>Y</v>
      </c>
      <c r="I184" s="61" t="str">
        <f t="shared" si="75"/>
        <v>Y</v>
      </c>
      <c r="J184" s="61" t="str">
        <f t="shared" ca="1" si="75"/>
        <v>Y</v>
      </c>
      <c r="K184" s="61" t="str">
        <f t="shared" ca="1" si="75"/>
        <v>Y</v>
      </c>
      <c r="L184" s="61" t="str">
        <f t="shared" ca="1" si="75"/>
        <v>Y</v>
      </c>
      <c r="M184" s="61" t="str">
        <f t="shared" ca="1" si="75"/>
        <v>Y</v>
      </c>
      <c r="N184" s="61" t="str">
        <f t="shared" ca="1" si="75"/>
        <v>Y</v>
      </c>
      <c r="O184" s="61"/>
      <c r="P184" s="61"/>
    </row>
    <row r="185" spans="1:16" x14ac:dyDescent="0.2">
      <c r="B185" t="s">
        <v>218</v>
      </c>
      <c r="E185" s="62">
        <f>E164-E175-E182</f>
        <v>0</v>
      </c>
      <c r="F185" s="62">
        <f t="shared" ref="F185:N185" si="76">F164-F175-F182</f>
        <v>0</v>
      </c>
      <c r="G185" s="62">
        <f t="shared" si="76"/>
        <v>0</v>
      </c>
      <c r="H185" s="62">
        <f t="shared" si="76"/>
        <v>0</v>
      </c>
      <c r="I185" s="62">
        <f t="shared" si="76"/>
        <v>0</v>
      </c>
      <c r="J185" s="62">
        <f t="shared" ca="1" si="76"/>
        <v>0</v>
      </c>
      <c r="K185" s="62">
        <f t="shared" ca="1" si="76"/>
        <v>0</v>
      </c>
      <c r="L185" s="62">
        <f t="shared" ca="1" si="76"/>
        <v>0</v>
      </c>
      <c r="M185" s="62">
        <f t="shared" ca="1" si="76"/>
        <v>0</v>
      </c>
      <c r="N185" s="62">
        <f t="shared" ca="1" si="76"/>
        <v>0</v>
      </c>
      <c r="O185" s="61"/>
      <c r="P185" s="61"/>
    </row>
    <row r="186" spans="1:16" x14ac:dyDescent="0.2">
      <c r="E186" s="62"/>
      <c r="F186" s="62"/>
      <c r="G186" s="62"/>
      <c r="H186" s="62"/>
      <c r="I186" s="62"/>
      <c r="J186" s="62"/>
      <c r="K186" s="62"/>
      <c r="L186" s="62"/>
      <c r="M186" s="62"/>
      <c r="N186" s="62"/>
      <c r="O186" s="61"/>
      <c r="P186" s="61"/>
    </row>
    <row r="187" spans="1:16" x14ac:dyDescent="0.2">
      <c r="A187" t="s">
        <v>10</v>
      </c>
      <c r="B187" s="1" t="s">
        <v>59</v>
      </c>
      <c r="C187" s="2"/>
      <c r="D187" s="2"/>
      <c r="E187" s="3" t="s">
        <v>1</v>
      </c>
      <c r="F187" s="3" t="s">
        <v>2</v>
      </c>
      <c r="G187" s="3" t="s">
        <v>3</v>
      </c>
      <c r="H187" s="3" t="s">
        <v>4</v>
      </c>
      <c r="I187" s="3" t="s">
        <v>5</v>
      </c>
      <c r="J187" s="3" t="s">
        <v>12</v>
      </c>
      <c r="K187" s="3" t="s">
        <v>13</v>
      </c>
      <c r="L187" s="3" t="s">
        <v>14</v>
      </c>
      <c r="M187" s="3" t="s">
        <v>15</v>
      </c>
      <c r="N187" s="3" t="s">
        <v>16</v>
      </c>
      <c r="O187" s="3"/>
      <c r="P187" s="3"/>
    </row>
    <row r="188" spans="1:16" x14ac:dyDescent="0.2">
      <c r="B188" t="s">
        <v>60</v>
      </c>
      <c r="E188" s="63">
        <v>4140</v>
      </c>
      <c r="F188" s="64">
        <f>E221</f>
        <v>5109</v>
      </c>
      <c r="G188" s="64">
        <f t="shared" ref="G188:N188" si="77">F221</f>
        <v>3598</v>
      </c>
      <c r="H188" s="64">
        <f t="shared" si="77"/>
        <v>1655</v>
      </c>
      <c r="I188" s="64">
        <f t="shared" si="77"/>
        <v>1092</v>
      </c>
      <c r="J188" s="64">
        <f t="shared" si="77"/>
        <v>1530</v>
      </c>
      <c r="K188" s="64">
        <f t="shared" ca="1" si="77"/>
        <v>6042.635413371946</v>
      </c>
      <c r="L188" s="64">
        <f t="shared" ca="1" si="77"/>
        <v>5703.8002195758791</v>
      </c>
      <c r="M188" s="64">
        <f t="shared" ca="1" si="77"/>
        <v>5319.3324034472416</v>
      </c>
      <c r="N188" s="64">
        <f t="shared" ca="1" si="77"/>
        <v>4884.7807087263218</v>
      </c>
      <c r="O188" s="64"/>
      <c r="P188" s="64"/>
    </row>
    <row r="189" spans="1:16" x14ac:dyDescent="0.2">
      <c r="E189" s="52"/>
      <c r="F189" s="43"/>
      <c r="G189" s="43"/>
      <c r="H189" s="43"/>
      <c r="I189" s="43"/>
      <c r="J189" s="43"/>
      <c r="K189" s="43"/>
      <c r="L189" s="43"/>
      <c r="M189" s="43"/>
      <c r="N189" s="43"/>
    </row>
    <row r="190" spans="1:16" x14ac:dyDescent="0.2">
      <c r="B190" s="44" t="s">
        <v>61</v>
      </c>
      <c r="C190" s="45"/>
      <c r="D190" s="45"/>
      <c r="E190" s="45"/>
      <c r="F190" s="45"/>
      <c r="G190" s="45"/>
      <c r="H190" s="45"/>
      <c r="I190" s="45"/>
      <c r="J190" s="45"/>
      <c r="K190" s="45"/>
      <c r="L190" s="45"/>
      <c r="M190" s="45"/>
      <c r="N190" s="45"/>
      <c r="O190" s="45"/>
      <c r="P190" s="45"/>
    </row>
    <row r="191" spans="1:16" x14ac:dyDescent="0.2">
      <c r="B191" t="s">
        <v>62</v>
      </c>
      <c r="E191" s="52">
        <f>E143</f>
        <v>5089</v>
      </c>
      <c r="F191" s="52">
        <f t="shared" ref="F191:N191" si="78">F143</f>
        <v>5135</v>
      </c>
      <c r="G191" s="52">
        <f t="shared" si="78"/>
        <v>5313</v>
      </c>
      <c r="H191" s="52">
        <f t="shared" si="78"/>
        <v>4687</v>
      </c>
      <c r="I191" s="52">
        <f t="shared" si="78"/>
        <v>4861</v>
      </c>
      <c r="J191" s="52">
        <f t="shared" ca="1" si="78"/>
        <v>5029.1014483159497</v>
      </c>
      <c r="K191" s="52">
        <f t="shared" ca="1" si="78"/>
        <v>5306.94790870615</v>
      </c>
      <c r="L191" s="52">
        <f t="shared" ca="1" si="78"/>
        <v>5577.6881616770506</v>
      </c>
      <c r="M191" s="52">
        <f t="shared" ca="1" si="78"/>
        <v>5775.5171350830888</v>
      </c>
      <c r="N191" s="52">
        <f t="shared" ca="1" si="78"/>
        <v>5979.5323514320608</v>
      </c>
      <c r="O191" s="52"/>
      <c r="P191" s="52"/>
    </row>
    <row r="192" spans="1:16" x14ac:dyDescent="0.2">
      <c r="B192" t="s">
        <v>63</v>
      </c>
      <c r="E192" s="48">
        <f>-E247</f>
        <v>3183</v>
      </c>
      <c r="F192" s="48">
        <f t="shared" ref="F192:N192" si="79">-F247</f>
        <v>3317</v>
      </c>
      <c r="G192" s="48">
        <f t="shared" si="79"/>
        <v>4165</v>
      </c>
      <c r="H192" s="48">
        <f t="shared" si="79"/>
        <v>4716</v>
      </c>
      <c r="I192" s="48">
        <f t="shared" si="79"/>
        <v>1949</v>
      </c>
      <c r="J192" s="48">
        <f t="shared" si="79"/>
        <v>3840.9141186634197</v>
      </c>
      <c r="K192" s="48">
        <f t="shared" si="79"/>
        <v>3983.0012375375309</v>
      </c>
      <c r="L192" s="48">
        <f t="shared" si="79"/>
        <v>4130.3445919655287</v>
      </c>
      <c r="M192" s="48">
        <f t="shared" si="79"/>
        <v>4283.1386261195303</v>
      </c>
      <c r="N192" s="48">
        <f t="shared" si="79"/>
        <v>4441.5849772541706</v>
      </c>
      <c r="O192" s="52"/>
      <c r="P192" s="52"/>
    </row>
    <row r="193" spans="2:16" x14ac:dyDescent="0.2">
      <c r="B193" t="s">
        <v>64</v>
      </c>
      <c r="E193" s="48">
        <f>-E254</f>
        <v>77</v>
      </c>
      <c r="F193" s="48">
        <f t="shared" ref="F193:N193" si="80">-F254</f>
        <v>56</v>
      </c>
      <c r="G193" s="48">
        <f t="shared" si="80"/>
        <v>68</v>
      </c>
      <c r="H193" s="48">
        <f t="shared" si="80"/>
        <v>56</v>
      </c>
      <c r="I193" s="48">
        <f t="shared" si="80"/>
        <v>66</v>
      </c>
      <c r="J193" s="48">
        <f t="shared" si="80"/>
        <v>54.440068380568931</v>
      </c>
      <c r="K193" s="48">
        <f t="shared" si="80"/>
        <v>45.948031001540215</v>
      </c>
      <c r="L193" s="48">
        <f t="shared" si="80"/>
        <v>38.780655787567859</v>
      </c>
      <c r="M193" s="48">
        <f t="shared" si="80"/>
        <v>32.731310363732618</v>
      </c>
      <c r="N193" s="48">
        <f t="shared" si="80"/>
        <v>27.625594677809328</v>
      </c>
      <c r="O193" s="15"/>
      <c r="P193" s="22"/>
    </row>
    <row r="194" spans="2:16" x14ac:dyDescent="0.2">
      <c r="B194" t="s">
        <v>92</v>
      </c>
      <c r="D194" s="52"/>
      <c r="E194" s="48">
        <f>E234</f>
        <v>217</v>
      </c>
      <c r="F194" s="48">
        <f t="shared" ref="F194:N194" si="81">F234</f>
        <v>198</v>
      </c>
      <c r="G194" s="48">
        <f t="shared" si="81"/>
        <v>243</v>
      </c>
      <c r="H194" s="48">
        <f t="shared" si="81"/>
        <v>328</v>
      </c>
      <c r="I194" s="48">
        <f t="shared" si="81"/>
        <v>378</v>
      </c>
      <c r="J194" s="48">
        <f t="shared" si="81"/>
        <v>272.8</v>
      </c>
      <c r="K194" s="48">
        <f t="shared" si="81"/>
        <v>272.8</v>
      </c>
      <c r="L194" s="48">
        <f t="shared" si="81"/>
        <v>272.8</v>
      </c>
      <c r="M194" s="48">
        <f t="shared" si="81"/>
        <v>272.8</v>
      </c>
      <c r="N194" s="48">
        <f t="shared" si="81"/>
        <v>272.8</v>
      </c>
      <c r="O194" s="38"/>
      <c r="P194" s="53"/>
    </row>
    <row r="195" spans="2:16" x14ac:dyDescent="0.2">
      <c r="B195" s="52"/>
      <c r="D195" s="43"/>
      <c r="E195" s="22" t="s">
        <v>65</v>
      </c>
      <c r="F195" s="22"/>
      <c r="G195" s="22"/>
      <c r="H195" s="22"/>
      <c r="I195" s="22"/>
    </row>
    <row r="196" spans="2:16" x14ac:dyDescent="0.2">
      <c r="B196" t="s">
        <v>125</v>
      </c>
      <c r="E196" s="53">
        <v>151</v>
      </c>
      <c r="F196" s="22">
        <f>E154-F154</f>
        <v>-1719</v>
      </c>
      <c r="G196" s="22">
        <f t="shared" ref="G196:N196" si="82">F154-G154</f>
        <v>2283</v>
      </c>
      <c r="H196" s="22">
        <f t="shared" si="82"/>
        <v>-717</v>
      </c>
      <c r="I196" s="22">
        <f t="shared" si="82"/>
        <v>-1399</v>
      </c>
      <c r="J196" s="22">
        <f t="shared" si="82"/>
        <v>-196.47007587948883</v>
      </c>
      <c r="K196" s="22">
        <f t="shared" si="82"/>
        <v>-203.73810275128199</v>
      </c>
      <c r="L196" s="22">
        <f t="shared" si="82"/>
        <v>-211.27499608720518</v>
      </c>
      <c r="M196" s="22">
        <f t="shared" si="82"/>
        <v>-219.09070207716741</v>
      </c>
      <c r="N196" s="22">
        <f t="shared" si="82"/>
        <v>-227.19553485095639</v>
      </c>
      <c r="O196" s="15"/>
      <c r="P196" s="22"/>
    </row>
    <row r="197" spans="2:16" x14ac:dyDescent="0.2">
      <c r="B197" t="s">
        <v>66</v>
      </c>
      <c r="E197" s="53">
        <v>250</v>
      </c>
      <c r="F197" s="22">
        <f>E155-F155</f>
        <v>-472</v>
      </c>
      <c r="G197" s="22">
        <f t="shared" ref="G197:N197" si="83">F155-G155</f>
        <v>-1523</v>
      </c>
      <c r="H197" s="22">
        <f t="shared" si="83"/>
        <v>-255</v>
      </c>
      <c r="I197" s="22">
        <f t="shared" si="83"/>
        <v>886</v>
      </c>
      <c r="J197" s="22">
        <f t="shared" si="83"/>
        <v>-161.74589681364887</v>
      </c>
      <c r="K197" s="22">
        <f t="shared" si="83"/>
        <v>-171.97127830755835</v>
      </c>
      <c r="L197" s="22">
        <f t="shared" si="83"/>
        <v>-178.33301999427931</v>
      </c>
      <c r="M197" s="22">
        <f t="shared" si="83"/>
        <v>-184.9301018941278</v>
      </c>
      <c r="N197" s="22">
        <f t="shared" si="83"/>
        <v>-191.77122995881291</v>
      </c>
      <c r="O197" s="15"/>
      <c r="P197" s="22"/>
    </row>
    <row r="198" spans="2:16" x14ac:dyDescent="0.2">
      <c r="B198" t="s">
        <v>181</v>
      </c>
      <c r="E198" s="53">
        <v>10</v>
      </c>
      <c r="F198" s="22">
        <f>E156-F156</f>
        <v>-391</v>
      </c>
      <c r="G198" s="22">
        <f t="shared" ref="G198:N198" si="84">F156-G156</f>
        <v>-279</v>
      </c>
      <c r="H198" s="22">
        <f t="shared" si="84"/>
        <v>-552</v>
      </c>
      <c r="I198" s="22">
        <f t="shared" si="84"/>
        <v>435</v>
      </c>
      <c r="J198" s="22">
        <f t="shared" si="84"/>
        <v>-40.914310661403533</v>
      </c>
      <c r="K198" s="22">
        <f t="shared" si="84"/>
        <v>-42.427855703806699</v>
      </c>
      <c r="L198" s="22">
        <f t="shared" si="84"/>
        <v>-43.997391390029861</v>
      </c>
      <c r="M198" s="22">
        <f t="shared" si="84"/>
        <v>-45.624988984625816</v>
      </c>
      <c r="N198" s="22">
        <f t="shared" si="84"/>
        <v>-47.31279637453531</v>
      </c>
      <c r="O198" s="15"/>
      <c r="P198" s="22"/>
    </row>
    <row r="199" spans="2:16" x14ac:dyDescent="0.2">
      <c r="B199" t="s">
        <v>67</v>
      </c>
      <c r="E199" s="53">
        <v>22</v>
      </c>
      <c r="F199" s="22">
        <f>E157-F157</f>
        <v>-17</v>
      </c>
      <c r="G199" s="22">
        <f t="shared" ref="G199:N199" si="85">F157-G157</f>
        <v>-71</v>
      </c>
      <c r="H199" s="22">
        <f t="shared" si="85"/>
        <v>-303</v>
      </c>
      <c r="I199" s="22">
        <f t="shared" si="85"/>
        <v>-938</v>
      </c>
      <c r="J199" s="22">
        <f t="shared" si="85"/>
        <v>-54.601738278690618</v>
      </c>
      <c r="K199" s="22">
        <f t="shared" si="85"/>
        <v>-56.621622982657072</v>
      </c>
      <c r="L199" s="22">
        <f t="shared" si="85"/>
        <v>-58.71622937765278</v>
      </c>
      <c r="M199" s="22">
        <f t="shared" si="85"/>
        <v>-60.88832164675182</v>
      </c>
      <c r="N199" s="22">
        <f t="shared" si="85"/>
        <v>-63.140766228584425</v>
      </c>
      <c r="O199" s="15"/>
      <c r="P199" s="22"/>
    </row>
    <row r="200" spans="2:16" x14ac:dyDescent="0.2">
      <c r="B200" t="s">
        <v>126</v>
      </c>
      <c r="E200" s="53">
        <v>0</v>
      </c>
      <c r="F200" s="48">
        <f>E160-F160</f>
        <v>0</v>
      </c>
      <c r="G200" s="48">
        <f t="shared" ref="G200:N200" si="86">F160-G160</f>
        <v>0</v>
      </c>
      <c r="H200" s="48">
        <f t="shared" si="86"/>
        <v>-584</v>
      </c>
      <c r="I200" s="48">
        <f t="shared" si="86"/>
        <v>33</v>
      </c>
      <c r="J200" s="48">
        <f t="shared" si="86"/>
        <v>-20.383169235473247</v>
      </c>
      <c r="K200" s="48">
        <f t="shared" si="86"/>
        <v>-21.137204785531253</v>
      </c>
      <c r="L200" s="48">
        <f t="shared" si="86"/>
        <v>-21.919134408595369</v>
      </c>
      <c r="M200" s="48">
        <f t="shared" si="86"/>
        <v>-22.729989991436469</v>
      </c>
      <c r="N200" s="48">
        <f t="shared" si="86"/>
        <v>-23.570841593462092</v>
      </c>
      <c r="O200" s="15"/>
      <c r="P200" s="22"/>
    </row>
    <row r="201" spans="2:16" x14ac:dyDescent="0.2">
      <c r="B201" t="s">
        <v>68</v>
      </c>
      <c r="E201" s="53">
        <v>-485</v>
      </c>
      <c r="F201" s="48">
        <f>F167-E167</f>
        <v>710</v>
      </c>
      <c r="G201" s="48">
        <f t="shared" ref="G201:N201" si="87">G167-F167</f>
        <v>252</v>
      </c>
      <c r="H201" s="48">
        <f t="shared" si="87"/>
        <v>1191</v>
      </c>
      <c r="I201" s="48">
        <f t="shared" si="87"/>
        <v>-492</v>
      </c>
      <c r="J201" s="48">
        <f t="shared" si="87"/>
        <v>191.9538445582084</v>
      </c>
      <c r="K201" s="48">
        <f t="shared" si="87"/>
        <v>204.08893625757628</v>
      </c>
      <c r="L201" s="48">
        <f t="shared" si="87"/>
        <v>211.63880799410254</v>
      </c>
      <c r="M201" s="48">
        <f t="shared" si="87"/>
        <v>219.46797249526026</v>
      </c>
      <c r="N201" s="48">
        <f t="shared" si="87"/>
        <v>227.58676165158886</v>
      </c>
      <c r="O201" s="15"/>
      <c r="P201" s="22"/>
    </row>
    <row r="202" spans="2:16" x14ac:dyDescent="0.2">
      <c r="B202" t="s">
        <v>69</v>
      </c>
      <c r="E202" s="53">
        <v>-361</v>
      </c>
      <c r="F202" s="48">
        <f>F170-E170</f>
        <v>113</v>
      </c>
      <c r="G202" s="48">
        <f t="shared" ref="G202:N202" si="88">G170-F170</f>
        <v>-67</v>
      </c>
      <c r="H202" s="48">
        <f t="shared" si="88"/>
        <v>94</v>
      </c>
      <c r="I202" s="48">
        <f t="shared" si="88"/>
        <v>396</v>
      </c>
      <c r="J202" s="48">
        <f t="shared" si="88"/>
        <v>34.921436947888878</v>
      </c>
      <c r="K202" s="48">
        <f t="shared" si="88"/>
        <v>36.213287327661419</v>
      </c>
      <c r="L202" s="48">
        <f t="shared" si="88"/>
        <v>37.552927190043647</v>
      </c>
      <c r="M202" s="48">
        <f t="shared" si="88"/>
        <v>38.94212441364084</v>
      </c>
      <c r="N202" s="48">
        <f t="shared" si="88"/>
        <v>40.382712276276152</v>
      </c>
      <c r="O202" s="15"/>
      <c r="P202" s="22"/>
    </row>
    <row r="203" spans="2:16" x14ac:dyDescent="0.2">
      <c r="B203" s="24" t="s">
        <v>121</v>
      </c>
      <c r="C203" s="24"/>
      <c r="D203" s="24"/>
      <c r="E203" s="56">
        <v>0</v>
      </c>
      <c r="F203" s="65">
        <f>F173-E173</f>
        <v>0</v>
      </c>
      <c r="G203" s="65">
        <f t="shared" ref="G203:N203" si="89">G173-F173</f>
        <v>0</v>
      </c>
      <c r="H203" s="65">
        <f t="shared" si="89"/>
        <v>533</v>
      </c>
      <c r="I203" s="65">
        <f t="shared" si="89"/>
        <v>-29</v>
      </c>
      <c r="J203" s="65">
        <f t="shared" si="89"/>
        <v>18.644495997601666</v>
      </c>
      <c r="K203" s="65">
        <f t="shared" si="89"/>
        <v>19.334212725785392</v>
      </c>
      <c r="L203" s="65">
        <f t="shared" si="89"/>
        <v>20.049444177735154</v>
      </c>
      <c r="M203" s="65">
        <f t="shared" si="89"/>
        <v>20.791134220842082</v>
      </c>
      <c r="N203" s="65">
        <f t="shared" si="89"/>
        <v>21.560261639028795</v>
      </c>
      <c r="O203" s="15"/>
      <c r="P203" s="22"/>
    </row>
    <row r="204" spans="2:16" x14ac:dyDescent="0.2">
      <c r="B204" s="27" t="s">
        <v>70</v>
      </c>
      <c r="C204" s="27"/>
      <c r="D204" s="27"/>
      <c r="E204" s="66">
        <f>SUM(E191:E203)</f>
        <v>8153</v>
      </c>
      <c r="F204" s="66">
        <f t="shared" ref="F204:N204" si="90">SUM(F191:F203)</f>
        <v>6930</v>
      </c>
      <c r="G204" s="66">
        <f t="shared" si="90"/>
        <v>10384</v>
      </c>
      <c r="H204" s="66">
        <f t="shared" si="90"/>
        <v>9194</v>
      </c>
      <c r="I204" s="66">
        <f t="shared" si="90"/>
        <v>6146</v>
      </c>
      <c r="J204" s="66">
        <f t="shared" ca="1" si="90"/>
        <v>8968.6602219949345</v>
      </c>
      <c r="K204" s="66">
        <f t="shared" ca="1" si="90"/>
        <v>9372.4375490254097</v>
      </c>
      <c r="L204" s="66">
        <f t="shared" ca="1" si="90"/>
        <v>9774.6138175342658</v>
      </c>
      <c r="M204" s="66">
        <f t="shared" ca="1" si="90"/>
        <v>10110.124198101987</v>
      </c>
      <c r="N204" s="66">
        <f t="shared" ca="1" si="90"/>
        <v>10458.081489924585</v>
      </c>
      <c r="O204" s="66"/>
      <c r="P204" s="66"/>
    </row>
    <row r="206" spans="2:16" x14ac:dyDescent="0.2">
      <c r="B206" s="44" t="s">
        <v>71</v>
      </c>
      <c r="C206" s="45"/>
      <c r="D206" s="45"/>
      <c r="E206" s="45"/>
      <c r="F206" s="45"/>
      <c r="G206" s="45"/>
      <c r="H206" s="45"/>
      <c r="I206" s="45"/>
      <c r="J206" s="45"/>
      <c r="K206" s="45"/>
      <c r="L206" s="45"/>
      <c r="M206" s="45"/>
      <c r="N206" s="45"/>
      <c r="O206" s="45"/>
      <c r="P206" s="45"/>
    </row>
    <row r="207" spans="2:16" x14ac:dyDescent="0.2">
      <c r="B207" t="s">
        <v>72</v>
      </c>
      <c r="E207" s="48">
        <f>-E246</f>
        <v>-7928</v>
      </c>
      <c r="F207" s="48">
        <f t="shared" ref="F207:N207" si="91">-F246</f>
        <v>-7558</v>
      </c>
      <c r="G207" s="48">
        <f t="shared" si="91"/>
        <v>-8733</v>
      </c>
      <c r="H207" s="48">
        <f t="shared" si="91"/>
        <v>-7507</v>
      </c>
      <c r="I207" s="48">
        <f t="shared" si="91"/>
        <v>-4131</v>
      </c>
      <c r="J207" s="48">
        <f t="shared" si="91"/>
        <v>75.464035647484707</v>
      </c>
      <c r="K207" s="48">
        <f t="shared" si="91"/>
        <v>-5066.7725644129277</v>
      </c>
      <c r="L207" s="48">
        <f t="shared" si="91"/>
        <v>-5254.2079231390308</v>
      </c>
      <c r="M207" s="48">
        <f t="shared" si="91"/>
        <v>-5448.5770870150809</v>
      </c>
      <c r="N207" s="48">
        <f t="shared" si="91"/>
        <v>-5650.1365586251559</v>
      </c>
      <c r="O207" s="15"/>
      <c r="P207" s="22"/>
    </row>
    <row r="208" spans="2:16" x14ac:dyDescent="0.2">
      <c r="B208" s="24" t="s">
        <v>73</v>
      </c>
      <c r="C208" s="24"/>
      <c r="D208" s="24"/>
      <c r="E208" s="55">
        <v>391</v>
      </c>
      <c r="F208" s="65">
        <f t="shared" ref="F208:N208" si="92">E161+E163-F161-F163-F253</f>
        <v>-273</v>
      </c>
      <c r="G208" s="65">
        <f t="shared" si="92"/>
        <v>-547</v>
      </c>
      <c r="H208" s="65">
        <f t="shared" si="92"/>
        <v>-10</v>
      </c>
      <c r="I208" s="65">
        <f t="shared" si="92"/>
        <v>-1146</v>
      </c>
      <c r="J208" s="65">
        <f t="shared" si="92"/>
        <v>-133.2119644590548</v>
      </c>
      <c r="K208" s="65">
        <f t="shared" si="92"/>
        <v>-138.13988100308143</v>
      </c>
      <c r="L208" s="65">
        <f t="shared" si="92"/>
        <v>-143.2500961984606</v>
      </c>
      <c r="M208" s="65">
        <f t="shared" si="92"/>
        <v>-148.54935382788153</v>
      </c>
      <c r="N208" s="65">
        <f t="shared" si="92"/>
        <v>-154.04464714710866</v>
      </c>
      <c r="O208" s="31"/>
    </row>
    <row r="209" spans="1:16" x14ac:dyDescent="0.2">
      <c r="B209" s="27" t="s">
        <v>74</v>
      </c>
      <c r="C209" s="27"/>
      <c r="D209" s="27"/>
      <c r="E209" s="29">
        <f>SUM(E207:E208)</f>
        <v>-7537</v>
      </c>
      <c r="F209" s="29">
        <f t="shared" ref="F209:N209" si="93">SUM(F207:F208)</f>
        <v>-7831</v>
      </c>
      <c r="G209" s="29">
        <f t="shared" si="93"/>
        <v>-9280</v>
      </c>
      <c r="H209" s="29">
        <f t="shared" si="93"/>
        <v>-7517</v>
      </c>
      <c r="I209" s="29">
        <f t="shared" si="93"/>
        <v>-5277</v>
      </c>
      <c r="J209" s="29">
        <f t="shared" si="93"/>
        <v>-57.747928811570091</v>
      </c>
      <c r="K209" s="29">
        <f t="shared" si="93"/>
        <v>-5204.9124454160092</v>
      </c>
      <c r="L209" s="29">
        <f t="shared" si="93"/>
        <v>-5397.4580193374914</v>
      </c>
      <c r="M209" s="29">
        <f t="shared" si="93"/>
        <v>-5597.1264408429624</v>
      </c>
      <c r="N209" s="29">
        <f t="shared" si="93"/>
        <v>-5804.1812057722645</v>
      </c>
      <c r="O209" s="28"/>
      <c r="P209" s="29"/>
    </row>
    <row r="211" spans="1:16" x14ac:dyDescent="0.2">
      <c r="B211" s="44" t="s">
        <v>75</v>
      </c>
      <c r="C211" s="45"/>
      <c r="D211" s="45"/>
      <c r="E211" s="45"/>
      <c r="F211" s="45"/>
      <c r="G211" s="45"/>
      <c r="H211" s="45"/>
      <c r="I211" s="45"/>
      <c r="J211" s="45"/>
      <c r="K211" s="45"/>
      <c r="L211" s="45"/>
      <c r="M211" s="45"/>
      <c r="N211" s="45"/>
      <c r="O211" s="45"/>
      <c r="P211" s="45"/>
    </row>
    <row r="212" spans="1:16" x14ac:dyDescent="0.2">
      <c r="B212" t="s">
        <v>76</v>
      </c>
      <c r="E212" s="53">
        <v>0</v>
      </c>
      <c r="F212" s="48">
        <f>F168-E168</f>
        <v>-263</v>
      </c>
      <c r="G212" s="48">
        <f t="shared" ref="G212:N212" si="94">G168-F168</f>
        <v>-143</v>
      </c>
      <c r="H212" s="48">
        <f t="shared" si="94"/>
        <v>-142</v>
      </c>
      <c r="I212" s="48">
        <f t="shared" si="94"/>
        <v>81</v>
      </c>
      <c r="J212" s="48">
        <f t="shared" ca="1" si="94"/>
        <v>-154</v>
      </c>
      <c r="K212" s="48">
        <f t="shared" ca="1" si="94"/>
        <v>0</v>
      </c>
      <c r="L212" s="48">
        <f t="shared" ca="1" si="94"/>
        <v>0</v>
      </c>
      <c r="M212" s="48">
        <f t="shared" ca="1" si="94"/>
        <v>0</v>
      </c>
      <c r="N212" s="48">
        <f t="shared" ca="1" si="94"/>
        <v>0</v>
      </c>
      <c r="O212" s="15"/>
    </row>
    <row r="213" spans="1:16" x14ac:dyDescent="0.2">
      <c r="B213" t="s">
        <v>77</v>
      </c>
      <c r="E213" s="53">
        <v>877</v>
      </c>
      <c r="F213" s="48">
        <f>F169+F172-E172-E169</f>
        <v>-1235</v>
      </c>
      <c r="G213" s="48">
        <f t="shared" ref="G213:N213" si="95">G169+G172-F172-F169</f>
        <v>-642</v>
      </c>
      <c r="H213" s="48">
        <f t="shared" si="95"/>
        <v>-2066</v>
      </c>
      <c r="I213" s="48">
        <f t="shared" si="95"/>
        <v>351</v>
      </c>
      <c r="J213" s="48">
        <f t="shared" si="95"/>
        <v>0</v>
      </c>
      <c r="K213" s="48">
        <f t="shared" si="95"/>
        <v>0</v>
      </c>
      <c r="L213" s="48">
        <f t="shared" si="95"/>
        <v>0</v>
      </c>
      <c r="M213" s="48">
        <f t="shared" si="95"/>
        <v>0</v>
      </c>
      <c r="N213" s="48">
        <f t="shared" si="95"/>
        <v>0</v>
      </c>
      <c r="O213" s="15"/>
    </row>
    <row r="214" spans="1:16" x14ac:dyDescent="0.2">
      <c r="B214" t="s">
        <v>78</v>
      </c>
      <c r="E214" s="53">
        <v>-476</v>
      </c>
      <c r="F214" s="48">
        <f>F174-E174</f>
        <v>-58</v>
      </c>
      <c r="G214" s="48">
        <f t="shared" ref="G214:N214" si="96">G174-F174</f>
        <v>507</v>
      </c>
      <c r="H214" s="48">
        <f t="shared" si="96"/>
        <v>53</v>
      </c>
      <c r="I214" s="48">
        <f t="shared" si="96"/>
        <v>226</v>
      </c>
      <c r="J214" s="48">
        <f t="shared" si="96"/>
        <v>50.569496088733104</v>
      </c>
      <c r="K214" s="48">
        <f t="shared" si="96"/>
        <v>52.440215865374284</v>
      </c>
      <c r="L214" s="48">
        <f t="shared" si="96"/>
        <v>54.38013926778558</v>
      </c>
      <c r="M214" s="48">
        <f t="shared" si="96"/>
        <v>56.391826348990435</v>
      </c>
      <c r="N214" s="48">
        <f t="shared" si="96"/>
        <v>58.477931866175368</v>
      </c>
      <c r="O214" s="15"/>
    </row>
    <row r="215" spans="1:16" x14ac:dyDescent="0.2">
      <c r="B215" t="s">
        <v>79</v>
      </c>
      <c r="E215" s="48">
        <f>E227</f>
        <v>-120</v>
      </c>
      <c r="F215" s="48">
        <f t="shared" ref="F215:N215" si="97">F227</f>
        <v>-342</v>
      </c>
      <c r="G215" s="48">
        <f t="shared" si="97"/>
        <v>-155</v>
      </c>
      <c r="H215" s="48">
        <f t="shared" si="97"/>
        <v>-35</v>
      </c>
      <c r="I215" s="48">
        <f t="shared" si="97"/>
        <v>-112</v>
      </c>
      <c r="J215" s="48">
        <f t="shared" ca="1" si="97"/>
        <v>-150.73598888155902</v>
      </c>
      <c r="K215" s="48">
        <f t="shared" ca="1" si="97"/>
        <v>-159.06381073891728</v>
      </c>
      <c r="L215" s="48">
        <f t="shared" ca="1" si="97"/>
        <v>-167.17864003417398</v>
      </c>
      <c r="M215" s="48">
        <f t="shared" ca="1" si="97"/>
        <v>-173.10811794235346</v>
      </c>
      <c r="N215" s="48">
        <f t="shared" ca="1" si="97"/>
        <v>-179.22301454948897</v>
      </c>
      <c r="O215" s="15"/>
    </row>
    <row r="216" spans="1:16" x14ac:dyDescent="0.2">
      <c r="B216" t="s">
        <v>80</v>
      </c>
      <c r="E216" s="48">
        <f>E240</f>
        <v>139</v>
      </c>
      <c r="F216" s="48">
        <f t="shared" ref="F216:N216" si="98">F240</f>
        <v>1650</v>
      </c>
      <c r="G216" s="48">
        <f t="shared" si="98"/>
        <v>178</v>
      </c>
      <c r="H216" s="48">
        <f t="shared" si="98"/>
        <v>224</v>
      </c>
      <c r="I216" s="48">
        <f t="shared" si="98"/>
        <v>223</v>
      </c>
      <c r="J216" s="48">
        <f t="shared" si="98"/>
        <v>482.8</v>
      </c>
      <c r="K216" s="48">
        <f t="shared" si="98"/>
        <v>482.8</v>
      </c>
      <c r="L216" s="48">
        <f t="shared" si="98"/>
        <v>482.8</v>
      </c>
      <c r="M216" s="48">
        <f t="shared" si="98"/>
        <v>482.8</v>
      </c>
      <c r="N216" s="48">
        <f t="shared" si="98"/>
        <v>482.8</v>
      </c>
      <c r="O216" s="15"/>
    </row>
    <row r="217" spans="1:16" x14ac:dyDescent="0.2">
      <c r="B217" s="24" t="s">
        <v>81</v>
      </c>
      <c r="C217" s="24"/>
      <c r="D217" s="24"/>
      <c r="E217" s="65">
        <f>E233</f>
        <v>-67</v>
      </c>
      <c r="F217" s="65">
        <f t="shared" ref="F217:N217" si="99">F233</f>
        <v>-362</v>
      </c>
      <c r="G217" s="65">
        <f t="shared" si="99"/>
        <v>-2792</v>
      </c>
      <c r="H217" s="65">
        <f t="shared" si="99"/>
        <v>-274</v>
      </c>
      <c r="I217" s="65">
        <f t="shared" si="99"/>
        <v>-1200</v>
      </c>
      <c r="J217" s="65">
        <f t="shared" ca="1" si="99"/>
        <v>-4626.9103870185927</v>
      </c>
      <c r="K217" s="65">
        <f t="shared" ca="1" si="99"/>
        <v>-4882.5367025319247</v>
      </c>
      <c r="L217" s="65">
        <f t="shared" ca="1" si="99"/>
        <v>-5131.6251135590237</v>
      </c>
      <c r="M217" s="65">
        <f t="shared" ca="1" si="99"/>
        <v>-5313.6331603865801</v>
      </c>
      <c r="N217" s="65">
        <f t="shared" ca="1" si="99"/>
        <v>-5501.3327193109681</v>
      </c>
      <c r="O217" s="31"/>
    </row>
    <row r="218" spans="1:16" x14ac:dyDescent="0.2">
      <c r="B218" s="27" t="s">
        <v>82</v>
      </c>
      <c r="C218" s="27"/>
      <c r="D218" s="27"/>
      <c r="E218" s="29">
        <f>SUM(E212:E217)</f>
        <v>353</v>
      </c>
      <c r="F218" s="29">
        <f t="shared" ref="F218:N218" si="100">SUM(F212:F217)</f>
        <v>-610</v>
      </c>
      <c r="G218" s="29">
        <f t="shared" si="100"/>
        <v>-3047</v>
      </c>
      <c r="H218" s="29">
        <f t="shared" si="100"/>
        <v>-2240</v>
      </c>
      <c r="I218" s="29">
        <f t="shared" si="100"/>
        <v>-431</v>
      </c>
      <c r="J218" s="29">
        <f t="shared" ca="1" si="100"/>
        <v>-4398.2768798114184</v>
      </c>
      <c r="K218" s="29">
        <f t="shared" ca="1" si="100"/>
        <v>-4506.3602974054675</v>
      </c>
      <c r="L218" s="29">
        <f t="shared" ca="1" si="100"/>
        <v>-4761.6236143254118</v>
      </c>
      <c r="M218" s="29">
        <f t="shared" ca="1" si="100"/>
        <v>-4947.5494519799431</v>
      </c>
      <c r="N218" s="29">
        <f t="shared" ca="1" si="100"/>
        <v>-5139.2778019942816</v>
      </c>
      <c r="O218" s="28"/>
      <c r="P218" s="29"/>
    </row>
    <row r="220" spans="1:16" x14ac:dyDescent="0.2">
      <c r="B220" s="67" t="s">
        <v>83</v>
      </c>
      <c r="C220" s="67"/>
      <c r="D220" s="67"/>
      <c r="E220" s="68">
        <f>E218+E209+E204</f>
        <v>969</v>
      </c>
      <c r="F220" s="68">
        <f t="shared" ref="F220:N220" si="101">F218+F209+F204</f>
        <v>-1511</v>
      </c>
      <c r="G220" s="68">
        <f t="shared" si="101"/>
        <v>-1943</v>
      </c>
      <c r="H220" s="68">
        <f t="shared" si="101"/>
        <v>-563</v>
      </c>
      <c r="I220" s="68">
        <f t="shared" si="101"/>
        <v>438</v>
      </c>
      <c r="J220" s="68">
        <f t="shared" ca="1" si="101"/>
        <v>4512.635413371946</v>
      </c>
      <c r="K220" s="68">
        <f t="shared" ca="1" si="101"/>
        <v>-338.83519379606696</v>
      </c>
      <c r="L220" s="68">
        <f t="shared" ca="1" si="101"/>
        <v>-384.46781612863742</v>
      </c>
      <c r="M220" s="68">
        <f t="shared" ca="1" si="101"/>
        <v>-434.55169472091984</v>
      </c>
      <c r="N220" s="68">
        <f t="shared" ca="1" si="101"/>
        <v>-485.37751784196007</v>
      </c>
      <c r="O220" s="66"/>
      <c r="P220" s="66"/>
    </row>
    <row r="221" spans="1:16" ht="16" thickBot="1" x14ac:dyDescent="0.25">
      <c r="B221" s="49" t="s">
        <v>84</v>
      </c>
      <c r="C221" s="49"/>
      <c r="D221" s="49"/>
      <c r="E221" s="69">
        <f>E220+E188</f>
        <v>5109</v>
      </c>
      <c r="F221" s="69">
        <f t="shared" ref="F221:N221" si="102">F220+F188</f>
        <v>3598</v>
      </c>
      <c r="G221" s="69">
        <f t="shared" si="102"/>
        <v>1655</v>
      </c>
      <c r="H221" s="69">
        <f t="shared" si="102"/>
        <v>1092</v>
      </c>
      <c r="I221" s="69">
        <f t="shared" si="102"/>
        <v>1530</v>
      </c>
      <c r="J221" s="69">
        <f t="shared" ca="1" si="102"/>
        <v>6042.635413371946</v>
      </c>
      <c r="K221" s="69">
        <f t="shared" ca="1" si="102"/>
        <v>5703.8002195758791</v>
      </c>
      <c r="L221" s="69">
        <f t="shared" ca="1" si="102"/>
        <v>5319.3324034472416</v>
      </c>
      <c r="M221" s="69">
        <f t="shared" ca="1" si="102"/>
        <v>4884.7807087263218</v>
      </c>
      <c r="N221" s="69">
        <f t="shared" ca="1" si="102"/>
        <v>4399.4031908843617</v>
      </c>
      <c r="O221" s="70"/>
      <c r="P221" s="70"/>
    </row>
    <row r="222" spans="1:16" ht="16" thickTop="1" x14ac:dyDescent="0.2">
      <c r="G222" s="43"/>
      <c r="H222" s="43"/>
      <c r="I222" s="43"/>
      <c r="J222" s="43"/>
    </row>
    <row r="223" spans="1:16" x14ac:dyDescent="0.2">
      <c r="A223" t="s">
        <v>10</v>
      </c>
      <c r="B223" s="1" t="s">
        <v>55</v>
      </c>
      <c r="C223" s="2"/>
      <c r="D223" s="2"/>
      <c r="E223" s="3" t="s">
        <v>1</v>
      </c>
      <c r="F223" s="3" t="s">
        <v>2</v>
      </c>
      <c r="G223" s="3" t="s">
        <v>3</v>
      </c>
      <c r="H223" s="3" t="s">
        <v>4</v>
      </c>
      <c r="I223" s="3" t="s">
        <v>5</v>
      </c>
      <c r="J223" s="3" t="s">
        <v>12</v>
      </c>
      <c r="K223" s="3" t="s">
        <v>13</v>
      </c>
      <c r="L223" s="3" t="s">
        <v>14</v>
      </c>
      <c r="M223" s="3" t="s">
        <v>15</v>
      </c>
      <c r="N223" s="3" t="s">
        <v>16</v>
      </c>
      <c r="O223" s="3"/>
      <c r="P223" s="3"/>
    </row>
    <row r="225" spans="1:16" x14ac:dyDescent="0.2">
      <c r="B225" s="27" t="s">
        <v>85</v>
      </c>
      <c r="C225" s="27"/>
      <c r="D225" s="27"/>
      <c r="E225" s="71">
        <v>5299</v>
      </c>
      <c r="F225" s="66">
        <f>E228</f>
        <v>10268</v>
      </c>
      <c r="G225" s="66">
        <f t="shared" ref="G225:N225" si="103">F228</f>
        <v>15061</v>
      </c>
      <c r="H225" s="66">
        <f t="shared" si="103"/>
        <v>20219</v>
      </c>
      <c r="I225" s="66">
        <f t="shared" si="103"/>
        <v>24871</v>
      </c>
      <c r="J225" s="66">
        <f t="shared" si="103"/>
        <v>29620</v>
      </c>
      <c r="K225" s="66">
        <f t="shared" ca="1" si="103"/>
        <v>34498.365459434397</v>
      </c>
      <c r="L225" s="66">
        <f t="shared" ca="1" si="103"/>
        <v>39646.249557401628</v>
      </c>
      <c r="M225" s="66">
        <f t="shared" ca="1" si="103"/>
        <v>45056.759079044503</v>
      </c>
      <c r="N225" s="66">
        <f t="shared" ca="1" si="103"/>
        <v>50659.168096185233</v>
      </c>
    </row>
    <row r="226" spans="1:16" x14ac:dyDescent="0.2">
      <c r="B226" t="s">
        <v>62</v>
      </c>
      <c r="E226" s="22">
        <f>E143</f>
        <v>5089</v>
      </c>
      <c r="F226" s="22">
        <f t="shared" ref="F226:N226" si="104">F143</f>
        <v>5135</v>
      </c>
      <c r="G226" s="22">
        <f t="shared" si="104"/>
        <v>5313</v>
      </c>
      <c r="H226" s="22">
        <f t="shared" si="104"/>
        <v>4687</v>
      </c>
      <c r="I226" s="22">
        <f t="shared" si="104"/>
        <v>4861</v>
      </c>
      <c r="J226" s="22">
        <f t="shared" ca="1" si="104"/>
        <v>5029.1014483159497</v>
      </c>
      <c r="K226" s="22">
        <f t="shared" ca="1" si="104"/>
        <v>5306.94790870615</v>
      </c>
      <c r="L226" s="22">
        <f t="shared" ca="1" si="104"/>
        <v>5577.6881616770506</v>
      </c>
      <c r="M226" s="22">
        <f t="shared" ca="1" si="104"/>
        <v>5775.5171350830888</v>
      </c>
      <c r="N226" s="22">
        <f t="shared" ca="1" si="104"/>
        <v>5979.5323514320608</v>
      </c>
    </row>
    <row r="227" spans="1:16" x14ac:dyDescent="0.2">
      <c r="B227" s="24" t="s">
        <v>86</v>
      </c>
      <c r="C227" s="24"/>
      <c r="D227" s="24"/>
      <c r="E227" s="72">
        <v>-120</v>
      </c>
      <c r="F227" s="72">
        <v>-342</v>
      </c>
      <c r="G227" s="72">
        <v>-155</v>
      </c>
      <c r="H227" s="72">
        <v>-35</v>
      </c>
      <c r="I227" s="72">
        <v>-112</v>
      </c>
      <c r="J227" s="73">
        <f ca="1">J226*$J$121</f>
        <v>-150.73598888155902</v>
      </c>
      <c r="K227" s="73">
        <f t="shared" ref="K227:N227" ca="1" si="105">K226*$J$121</f>
        <v>-159.06381073891728</v>
      </c>
      <c r="L227" s="73">
        <f t="shared" ca="1" si="105"/>
        <v>-167.17864003417398</v>
      </c>
      <c r="M227" s="73">
        <f t="shared" ca="1" si="105"/>
        <v>-173.10811794235346</v>
      </c>
      <c r="N227" s="73">
        <f t="shared" ca="1" si="105"/>
        <v>-179.22301454948897</v>
      </c>
    </row>
    <row r="228" spans="1:16" x14ac:dyDescent="0.2">
      <c r="B228" s="27" t="s">
        <v>87</v>
      </c>
      <c r="C228" s="27"/>
      <c r="D228" s="27"/>
      <c r="E228" s="66">
        <f>SUM(E225:E227)</f>
        <v>10268</v>
      </c>
      <c r="F228" s="66">
        <f t="shared" ref="F228:N228" si="106">SUM(F225:F227)</f>
        <v>15061</v>
      </c>
      <c r="G228" s="66">
        <f t="shared" si="106"/>
        <v>20219</v>
      </c>
      <c r="H228" s="66">
        <f t="shared" si="106"/>
        <v>24871</v>
      </c>
      <c r="I228" s="66">
        <f t="shared" si="106"/>
        <v>29620</v>
      </c>
      <c r="J228" s="66">
        <f t="shared" ca="1" si="106"/>
        <v>34498.365459434397</v>
      </c>
      <c r="K228" s="66">
        <f t="shared" ca="1" si="106"/>
        <v>39646.249557401628</v>
      </c>
      <c r="L228" s="66">
        <f t="shared" ca="1" si="106"/>
        <v>45056.759079044503</v>
      </c>
      <c r="M228" s="66">
        <f t="shared" ca="1" si="106"/>
        <v>50659.168096185233</v>
      </c>
      <c r="N228" s="66">
        <f t="shared" ca="1" si="106"/>
        <v>56459.477433067805</v>
      </c>
    </row>
    <row r="229" spans="1:16" x14ac:dyDescent="0.2">
      <c r="H229" s="43"/>
      <c r="I229" s="43"/>
    </row>
    <row r="230" spans="1:16" x14ac:dyDescent="0.2">
      <c r="A230" t="s">
        <v>10</v>
      </c>
      <c r="B230" s="1" t="s">
        <v>54</v>
      </c>
      <c r="C230" s="2"/>
      <c r="D230" s="2"/>
      <c r="E230" s="3" t="s">
        <v>1</v>
      </c>
      <c r="F230" s="3" t="s">
        <v>2</v>
      </c>
      <c r="G230" s="3" t="s">
        <v>3</v>
      </c>
      <c r="H230" s="3" t="s">
        <v>4</v>
      </c>
      <c r="I230" s="3" t="s">
        <v>5</v>
      </c>
      <c r="J230" s="3" t="s">
        <v>12</v>
      </c>
      <c r="K230" s="3" t="s">
        <v>13</v>
      </c>
      <c r="L230" s="3" t="s">
        <v>14</v>
      </c>
      <c r="M230" s="3" t="s">
        <v>15</v>
      </c>
      <c r="N230" s="3" t="s">
        <v>16</v>
      </c>
      <c r="O230" s="3"/>
      <c r="P230" s="3"/>
    </row>
    <row r="232" spans="1:16" x14ac:dyDescent="0.2">
      <c r="B232" s="27" t="s">
        <v>88</v>
      </c>
      <c r="C232" s="27"/>
      <c r="D232" s="27"/>
      <c r="E232" s="74">
        <v>-215</v>
      </c>
      <c r="F232" s="29">
        <f>E235</f>
        <v>-65</v>
      </c>
      <c r="G232" s="29">
        <f t="shared" ref="G232:N232" si="107">F235</f>
        <v>-229</v>
      </c>
      <c r="H232" s="29">
        <f t="shared" si="107"/>
        <v>-2778</v>
      </c>
      <c r="I232" s="29">
        <f t="shared" si="107"/>
        <v>-2724</v>
      </c>
      <c r="J232" s="29">
        <f t="shared" si="107"/>
        <v>-3546</v>
      </c>
      <c r="K232" s="29">
        <f t="shared" ca="1" si="107"/>
        <v>-7900.1103870185925</v>
      </c>
      <c r="L232" s="29">
        <f t="shared" ca="1" si="107"/>
        <v>-12509.847089550518</v>
      </c>
      <c r="M232" s="29">
        <f t="shared" ca="1" si="107"/>
        <v>-17368.672203109541</v>
      </c>
      <c r="N232" s="29">
        <f t="shared" ca="1" si="107"/>
        <v>-22409.505363496122</v>
      </c>
    </row>
    <row r="233" spans="1:16" x14ac:dyDescent="0.2">
      <c r="B233" t="s">
        <v>89</v>
      </c>
      <c r="E233" s="20">
        <v>-67</v>
      </c>
      <c r="F233" s="20">
        <v>-362</v>
      </c>
      <c r="G233" s="20">
        <v>-2792</v>
      </c>
      <c r="H233" s="20">
        <v>-274</v>
      </c>
      <c r="I233" s="20">
        <v>-1200</v>
      </c>
      <c r="J233" s="39">
        <f ca="1">J226*$J$122</f>
        <v>-4626.9103870185927</v>
      </c>
      <c r="K233" s="39">
        <f t="shared" ref="K233:N233" ca="1" si="108">K226*$J$122</f>
        <v>-4882.5367025319247</v>
      </c>
      <c r="L233" s="39">
        <f t="shared" ca="1" si="108"/>
        <v>-5131.6251135590237</v>
      </c>
      <c r="M233" s="39">
        <f t="shared" ca="1" si="108"/>
        <v>-5313.6331603865801</v>
      </c>
      <c r="N233" s="39">
        <f t="shared" ca="1" si="108"/>
        <v>-5501.3327193109681</v>
      </c>
    </row>
    <row r="234" spans="1:16" x14ac:dyDescent="0.2">
      <c r="B234" s="24" t="s">
        <v>92</v>
      </c>
      <c r="C234" s="24"/>
      <c r="D234" s="24"/>
      <c r="E234" s="56">
        <v>217</v>
      </c>
      <c r="F234" s="56">
        <v>198</v>
      </c>
      <c r="G234" s="56">
        <v>243</v>
      </c>
      <c r="H234" s="56">
        <v>328</v>
      </c>
      <c r="I234" s="56">
        <v>378</v>
      </c>
      <c r="J234" s="47">
        <f>$J$123</f>
        <v>272.8</v>
      </c>
      <c r="K234" s="47">
        <f t="shared" ref="K234:N234" si="109">$J$123</f>
        <v>272.8</v>
      </c>
      <c r="L234" s="47">
        <f t="shared" si="109"/>
        <v>272.8</v>
      </c>
      <c r="M234" s="47">
        <f t="shared" si="109"/>
        <v>272.8</v>
      </c>
      <c r="N234" s="47">
        <f t="shared" si="109"/>
        <v>272.8</v>
      </c>
    </row>
    <row r="235" spans="1:16" x14ac:dyDescent="0.2">
      <c r="B235" s="27" t="s">
        <v>90</v>
      </c>
      <c r="C235" s="27"/>
      <c r="D235" s="27"/>
      <c r="E235" s="29">
        <f>SUM(E232:E234)</f>
        <v>-65</v>
      </c>
      <c r="F235" s="29">
        <f t="shared" ref="F235:N235" si="110">SUM(F232:F234)</f>
        <v>-229</v>
      </c>
      <c r="G235" s="29">
        <f t="shared" si="110"/>
        <v>-2778</v>
      </c>
      <c r="H235" s="29">
        <f t="shared" si="110"/>
        <v>-2724</v>
      </c>
      <c r="I235" s="29">
        <f t="shared" si="110"/>
        <v>-3546</v>
      </c>
      <c r="J235" s="29">
        <f t="shared" ca="1" si="110"/>
        <v>-7900.1103870185925</v>
      </c>
      <c r="K235" s="29">
        <f t="shared" ca="1" si="110"/>
        <v>-12509.847089550518</v>
      </c>
      <c r="L235" s="29">
        <f t="shared" ca="1" si="110"/>
        <v>-17368.672203109541</v>
      </c>
      <c r="M235" s="29">
        <f t="shared" ca="1" si="110"/>
        <v>-22409.505363496122</v>
      </c>
      <c r="N235" s="29">
        <f t="shared" ca="1" si="110"/>
        <v>-27638.038082807092</v>
      </c>
    </row>
    <row r="237" spans="1:16" x14ac:dyDescent="0.2">
      <c r="A237" t="s">
        <v>10</v>
      </c>
      <c r="B237" s="1" t="s">
        <v>127</v>
      </c>
      <c r="C237" s="2"/>
      <c r="D237" s="2"/>
      <c r="E237" s="3" t="s">
        <v>1</v>
      </c>
      <c r="F237" s="3" t="s">
        <v>2</v>
      </c>
      <c r="G237" s="3" t="s">
        <v>3</v>
      </c>
      <c r="H237" s="3" t="s">
        <v>4</v>
      </c>
      <c r="I237" s="3" t="s">
        <v>5</v>
      </c>
      <c r="J237" s="3" t="s">
        <v>12</v>
      </c>
      <c r="K237" s="3" t="s">
        <v>13</v>
      </c>
      <c r="L237" s="3" t="s">
        <v>14</v>
      </c>
      <c r="M237" s="3" t="s">
        <v>15</v>
      </c>
      <c r="N237" s="3" t="s">
        <v>16</v>
      </c>
      <c r="O237" s="3"/>
      <c r="P237" s="3"/>
    </row>
    <row r="239" spans="1:16" x14ac:dyDescent="0.2">
      <c r="B239" s="27" t="s">
        <v>128</v>
      </c>
      <c r="C239" s="27"/>
      <c r="D239" s="27"/>
      <c r="E239" s="74">
        <v>7736</v>
      </c>
      <c r="F239" s="29">
        <f>E241</f>
        <v>7875</v>
      </c>
      <c r="G239" s="29">
        <f t="shared" ref="G239:N239" si="111">F241</f>
        <v>9525</v>
      </c>
      <c r="H239" s="29">
        <f t="shared" si="111"/>
        <v>9703</v>
      </c>
      <c r="I239" s="29">
        <f t="shared" si="111"/>
        <v>9927</v>
      </c>
      <c r="J239" s="29">
        <f t="shared" si="111"/>
        <v>10150</v>
      </c>
      <c r="K239" s="29">
        <f t="shared" si="111"/>
        <v>10632.8</v>
      </c>
      <c r="L239" s="29">
        <f t="shared" si="111"/>
        <v>11115.599999999999</v>
      </c>
      <c r="M239" s="29">
        <f t="shared" si="111"/>
        <v>11598.399999999998</v>
      </c>
      <c r="N239" s="29">
        <f t="shared" si="111"/>
        <v>12081.199999999997</v>
      </c>
    </row>
    <row r="240" spans="1:16" x14ac:dyDescent="0.2">
      <c r="B240" t="s">
        <v>91</v>
      </c>
      <c r="E240" s="56">
        <v>139</v>
      </c>
      <c r="F240" s="56">
        <v>1650</v>
      </c>
      <c r="G240" s="56">
        <v>178</v>
      </c>
      <c r="H240" s="56">
        <v>224</v>
      </c>
      <c r="I240" s="56">
        <v>223</v>
      </c>
      <c r="J240" s="65">
        <f>$J$124</f>
        <v>482.8</v>
      </c>
      <c r="K240" s="65">
        <f t="shared" ref="K240:N240" si="112">$J$124</f>
        <v>482.8</v>
      </c>
      <c r="L240" s="65">
        <f t="shared" si="112"/>
        <v>482.8</v>
      </c>
      <c r="M240" s="65">
        <f t="shared" si="112"/>
        <v>482.8</v>
      </c>
      <c r="N240" s="65">
        <f t="shared" si="112"/>
        <v>482.8</v>
      </c>
    </row>
    <row r="241" spans="1:16" x14ac:dyDescent="0.2">
      <c r="B241" s="27" t="s">
        <v>129</v>
      </c>
      <c r="C241" s="27"/>
      <c r="D241" s="27"/>
      <c r="E241" s="29">
        <f>SUM(E239:E240)</f>
        <v>7875</v>
      </c>
      <c r="F241" s="29">
        <f t="shared" ref="F241:N241" si="113">SUM(F239:F240)</f>
        <v>9525</v>
      </c>
      <c r="G241" s="29">
        <f t="shared" si="113"/>
        <v>9703</v>
      </c>
      <c r="H241" s="29">
        <f t="shared" si="113"/>
        <v>9927</v>
      </c>
      <c r="I241" s="29">
        <f t="shared" si="113"/>
        <v>10150</v>
      </c>
      <c r="J241" s="29">
        <f t="shared" si="113"/>
        <v>10632.8</v>
      </c>
      <c r="K241" s="29">
        <f t="shared" si="113"/>
        <v>11115.599999999999</v>
      </c>
      <c r="L241" s="29">
        <f t="shared" si="113"/>
        <v>11598.399999999998</v>
      </c>
      <c r="M241" s="29">
        <f t="shared" si="113"/>
        <v>12081.199999999997</v>
      </c>
      <c r="N241" s="29">
        <f t="shared" si="113"/>
        <v>12563.999999999996</v>
      </c>
    </row>
    <row r="243" spans="1:16" x14ac:dyDescent="0.2">
      <c r="A243" t="s">
        <v>10</v>
      </c>
      <c r="B243" s="1" t="s">
        <v>93</v>
      </c>
      <c r="C243" s="2"/>
      <c r="D243" s="2"/>
      <c r="E243" s="3" t="s">
        <v>1</v>
      </c>
      <c r="F243" s="3" t="s">
        <v>2</v>
      </c>
      <c r="G243" s="3" t="s">
        <v>3</v>
      </c>
      <c r="H243" s="3" t="s">
        <v>4</v>
      </c>
      <c r="I243" s="3" t="s">
        <v>5</v>
      </c>
      <c r="J243" s="3" t="s">
        <v>12</v>
      </c>
      <c r="K243" s="3" t="s">
        <v>13</v>
      </c>
      <c r="L243" s="3" t="s">
        <v>14</v>
      </c>
      <c r="M243" s="3" t="s">
        <v>15</v>
      </c>
      <c r="N243" s="3" t="s">
        <v>16</v>
      </c>
      <c r="O243" s="3"/>
      <c r="P243" s="3"/>
    </row>
    <row r="245" spans="1:16" x14ac:dyDescent="0.2">
      <c r="B245" s="27" t="s">
        <v>94</v>
      </c>
      <c r="C245" s="27"/>
      <c r="D245" s="27"/>
      <c r="E245" s="74">
        <v>14686</v>
      </c>
      <c r="F245" s="29">
        <f>E248</f>
        <v>19431</v>
      </c>
      <c r="G245" s="29">
        <f t="shared" ref="G245:N245" si="114">F248</f>
        <v>23672</v>
      </c>
      <c r="H245" s="29">
        <f t="shared" si="114"/>
        <v>28240</v>
      </c>
      <c r="I245" s="29">
        <f t="shared" si="114"/>
        <v>31031</v>
      </c>
      <c r="J245" s="29">
        <f t="shared" si="114"/>
        <v>33213</v>
      </c>
      <c r="K245" s="29">
        <f t="shared" si="114"/>
        <v>29296.621845689097</v>
      </c>
      <c r="L245" s="29">
        <f t="shared" si="114"/>
        <v>30380.393172564494</v>
      </c>
      <c r="M245" s="29">
        <f t="shared" si="114"/>
        <v>31504.256503737997</v>
      </c>
      <c r="N245" s="29">
        <f t="shared" si="114"/>
        <v>32669.694964633549</v>
      </c>
    </row>
    <row r="246" spans="1:16" x14ac:dyDescent="0.2">
      <c r="B246" t="s">
        <v>95</v>
      </c>
      <c r="E246" s="57">
        <v>7928</v>
      </c>
      <c r="F246" s="57">
        <v>7558</v>
      </c>
      <c r="G246" s="57">
        <v>8733</v>
      </c>
      <c r="H246" s="57">
        <v>7507</v>
      </c>
      <c r="I246" s="57">
        <v>4131</v>
      </c>
      <c r="J246" s="48">
        <f>J131*$J$112-J245</f>
        <v>-75.464035647484707</v>
      </c>
      <c r="K246" s="48">
        <f t="shared" ref="K246:N246" si="115">K131*$J$112-K245</f>
        <v>5066.7725644129277</v>
      </c>
      <c r="L246" s="48">
        <f t="shared" si="115"/>
        <v>5254.2079231390308</v>
      </c>
      <c r="M246" s="48">
        <f t="shared" si="115"/>
        <v>5448.5770870150809</v>
      </c>
      <c r="N246" s="48">
        <f t="shared" si="115"/>
        <v>5650.1365586251559</v>
      </c>
    </row>
    <row r="247" spans="1:16" x14ac:dyDescent="0.2">
      <c r="B247" s="24" t="s">
        <v>63</v>
      </c>
      <c r="C247" s="24"/>
      <c r="D247" s="24"/>
      <c r="E247" s="55">
        <v>-3183</v>
      </c>
      <c r="F247" s="55">
        <v>-3317</v>
      </c>
      <c r="G247" s="55">
        <v>-4165</v>
      </c>
      <c r="H247" s="55">
        <v>-4716</v>
      </c>
      <c r="I247" s="55">
        <v>-1949</v>
      </c>
      <c r="J247" s="47">
        <f>(J245+J246)*$J$113</f>
        <v>-3840.9141186634197</v>
      </c>
      <c r="K247" s="47">
        <f t="shared" ref="K247:N247" si="116">(K245+K246)*$J$113</f>
        <v>-3983.0012375375309</v>
      </c>
      <c r="L247" s="47">
        <f t="shared" si="116"/>
        <v>-4130.3445919655287</v>
      </c>
      <c r="M247" s="47">
        <f t="shared" si="116"/>
        <v>-4283.1386261195303</v>
      </c>
      <c r="N247" s="47">
        <f t="shared" si="116"/>
        <v>-4441.5849772541706</v>
      </c>
    </row>
    <row r="248" spans="1:16" x14ac:dyDescent="0.2">
      <c r="B248" s="27" t="s">
        <v>96</v>
      </c>
      <c r="C248" s="27"/>
      <c r="D248" s="27"/>
      <c r="E248" s="66">
        <f>SUM(E245:E247)</f>
        <v>19431</v>
      </c>
      <c r="F248" s="66">
        <f t="shared" ref="F248:N248" si="117">SUM(F245:F247)</f>
        <v>23672</v>
      </c>
      <c r="G248" s="66">
        <f t="shared" si="117"/>
        <v>28240</v>
      </c>
      <c r="H248" s="66">
        <f t="shared" si="117"/>
        <v>31031</v>
      </c>
      <c r="I248" s="66">
        <f t="shared" si="117"/>
        <v>33213</v>
      </c>
      <c r="J248" s="66">
        <f t="shared" si="117"/>
        <v>29296.621845689097</v>
      </c>
      <c r="K248" s="66">
        <f t="shared" si="117"/>
        <v>30380.393172564494</v>
      </c>
      <c r="L248" s="66">
        <f t="shared" si="117"/>
        <v>31504.256503737997</v>
      </c>
      <c r="M248" s="66">
        <f t="shared" si="117"/>
        <v>32669.694964633549</v>
      </c>
      <c r="N248" s="66">
        <f t="shared" si="117"/>
        <v>33878.246546004535</v>
      </c>
    </row>
    <row r="249" spans="1:16" x14ac:dyDescent="0.2">
      <c r="E249" s="38"/>
      <c r="F249" s="38"/>
      <c r="G249" s="38"/>
      <c r="H249" s="38"/>
      <c r="I249" s="38"/>
    </row>
    <row r="250" spans="1:16" x14ac:dyDescent="0.2">
      <c r="A250" t="s">
        <v>10</v>
      </c>
      <c r="B250" s="1" t="s">
        <v>97</v>
      </c>
      <c r="C250" s="2"/>
      <c r="D250" s="2"/>
      <c r="E250" s="3" t="s">
        <v>1</v>
      </c>
      <c r="F250" s="3" t="s">
        <v>2</v>
      </c>
      <c r="G250" s="3" t="s">
        <v>3</v>
      </c>
      <c r="H250" s="3" t="s">
        <v>4</v>
      </c>
      <c r="I250" s="3" t="s">
        <v>5</v>
      </c>
      <c r="J250" s="3" t="s">
        <v>12</v>
      </c>
      <c r="K250" s="3" t="s">
        <v>13</v>
      </c>
      <c r="L250" s="3" t="s">
        <v>14</v>
      </c>
      <c r="M250" s="3" t="s">
        <v>15</v>
      </c>
      <c r="N250" s="3" t="s">
        <v>16</v>
      </c>
      <c r="O250" s="3"/>
      <c r="P250" s="3"/>
    </row>
    <row r="252" spans="1:16" x14ac:dyDescent="0.2">
      <c r="B252" s="27" t="s">
        <v>98</v>
      </c>
      <c r="C252" s="27"/>
      <c r="D252" s="27"/>
      <c r="E252" s="74">
        <v>464</v>
      </c>
      <c r="F252" s="29">
        <f>E255</f>
        <v>387</v>
      </c>
      <c r="G252" s="29">
        <f t="shared" ref="G252:N252" si="118">F255</f>
        <v>331</v>
      </c>
      <c r="H252" s="29">
        <f t="shared" si="118"/>
        <v>340</v>
      </c>
      <c r="I252" s="29">
        <f t="shared" si="118"/>
        <v>334</v>
      </c>
      <c r="J252" s="29">
        <f t="shared" si="118"/>
        <v>349</v>
      </c>
      <c r="K252" s="29">
        <f t="shared" si="118"/>
        <v>294.55993161943104</v>
      </c>
      <c r="L252" s="29">
        <f t="shared" si="118"/>
        <v>248.61190061789083</v>
      </c>
      <c r="M252" s="29">
        <f t="shared" si="118"/>
        <v>209.83124483032296</v>
      </c>
      <c r="N252" s="29">
        <f t="shared" si="118"/>
        <v>177.09993446659035</v>
      </c>
    </row>
    <row r="253" spans="1:16" x14ac:dyDescent="0.2">
      <c r="B253" t="s">
        <v>130</v>
      </c>
      <c r="E253" s="57">
        <v>0</v>
      </c>
      <c r="F253" s="57">
        <v>0</v>
      </c>
      <c r="G253" s="57">
        <v>77</v>
      </c>
      <c r="H253" s="57">
        <v>50</v>
      </c>
      <c r="I253" s="57">
        <v>81</v>
      </c>
      <c r="J253" s="57">
        <v>0</v>
      </c>
      <c r="K253" s="57">
        <v>0</v>
      </c>
      <c r="L253" s="57">
        <v>0</v>
      </c>
      <c r="M253" s="57">
        <v>0</v>
      </c>
      <c r="N253" s="57">
        <v>0</v>
      </c>
    </row>
    <row r="254" spans="1:16" x14ac:dyDescent="0.2">
      <c r="B254" s="24" t="s">
        <v>64</v>
      </c>
      <c r="C254" s="24"/>
      <c r="D254" s="24"/>
      <c r="E254" s="55">
        <v>-77</v>
      </c>
      <c r="F254" s="55">
        <v>-56</v>
      </c>
      <c r="G254" s="55">
        <v>-68</v>
      </c>
      <c r="H254" s="55">
        <v>-56</v>
      </c>
      <c r="I254" s="55">
        <v>-66</v>
      </c>
      <c r="J254" s="75">
        <f>(J252+J253)*$J$116</f>
        <v>-54.440068380568931</v>
      </c>
      <c r="K254" s="75">
        <f t="shared" ref="K254:N254" si="119">(K252+K253)*$J$116</f>
        <v>-45.948031001540215</v>
      </c>
      <c r="L254" s="75">
        <f t="shared" si="119"/>
        <v>-38.780655787567859</v>
      </c>
      <c r="M254" s="75">
        <f t="shared" si="119"/>
        <v>-32.731310363732618</v>
      </c>
      <c r="N254" s="75">
        <f t="shared" si="119"/>
        <v>-27.625594677809328</v>
      </c>
    </row>
    <row r="255" spans="1:16" x14ac:dyDescent="0.2">
      <c r="B255" s="27" t="s">
        <v>99</v>
      </c>
      <c r="C255" s="27"/>
      <c r="D255" s="27"/>
      <c r="E255" s="29">
        <f>SUM(E252:E254)</f>
        <v>387</v>
      </c>
      <c r="F255" s="29">
        <f t="shared" ref="F255:N255" si="120">SUM(F252:F254)</f>
        <v>331</v>
      </c>
      <c r="G255" s="29">
        <f t="shared" si="120"/>
        <v>340</v>
      </c>
      <c r="H255" s="29">
        <f t="shared" si="120"/>
        <v>334</v>
      </c>
      <c r="I255" s="29">
        <f t="shared" si="120"/>
        <v>349</v>
      </c>
      <c r="J255" s="29">
        <f t="shared" si="120"/>
        <v>294.55993161943104</v>
      </c>
      <c r="K255" s="29">
        <f t="shared" si="120"/>
        <v>248.61190061789083</v>
      </c>
      <c r="L255" s="29">
        <f t="shared" si="120"/>
        <v>209.83124483032296</v>
      </c>
      <c r="M255" s="29">
        <f t="shared" si="120"/>
        <v>177.09993446659035</v>
      </c>
      <c r="N255" s="29">
        <f t="shared" si="120"/>
        <v>149.47433978878104</v>
      </c>
    </row>
    <row r="256" spans="1:16" x14ac:dyDescent="0.2">
      <c r="E256" s="38"/>
      <c r="F256" s="38"/>
      <c r="G256" s="38"/>
      <c r="H256" s="38"/>
      <c r="I256" s="38"/>
    </row>
    <row r="257" spans="1:16" x14ac:dyDescent="0.2">
      <c r="A257" t="s">
        <v>10</v>
      </c>
      <c r="B257" s="1" t="s">
        <v>100</v>
      </c>
      <c r="C257" s="2"/>
      <c r="D257" s="2"/>
      <c r="E257" s="3" t="s">
        <v>1</v>
      </c>
      <c r="F257" s="3" t="s">
        <v>2</v>
      </c>
      <c r="G257" s="3" t="s">
        <v>3</v>
      </c>
      <c r="H257" s="3" t="s">
        <v>4</v>
      </c>
      <c r="I257" s="3" t="s">
        <v>5</v>
      </c>
      <c r="J257" s="3" t="s">
        <v>12</v>
      </c>
      <c r="K257" s="3" t="s">
        <v>13</v>
      </c>
      <c r="L257" s="3" t="s">
        <v>14</v>
      </c>
      <c r="M257" s="3" t="s">
        <v>15</v>
      </c>
      <c r="N257" s="3" t="s">
        <v>16</v>
      </c>
      <c r="O257" s="3"/>
      <c r="P257" s="3"/>
    </row>
    <row r="258" spans="1:16" x14ac:dyDescent="0.2">
      <c r="B258" s="44" t="s">
        <v>101</v>
      </c>
      <c r="C258" s="45"/>
      <c r="D258" s="45"/>
      <c r="E258" s="45"/>
      <c r="F258" s="45"/>
      <c r="G258" s="45"/>
      <c r="H258" s="45"/>
      <c r="I258" s="45"/>
      <c r="J258" s="45"/>
      <c r="K258" s="45"/>
      <c r="L258" s="45"/>
      <c r="M258" s="45"/>
      <c r="N258" s="45"/>
      <c r="O258" s="45"/>
      <c r="P258" s="45"/>
    </row>
    <row r="259" spans="1:16" x14ac:dyDescent="0.2">
      <c r="B259" t="s">
        <v>131</v>
      </c>
      <c r="E259" s="52"/>
      <c r="F259" s="52"/>
      <c r="G259" s="52"/>
      <c r="H259" s="52"/>
      <c r="I259" s="52"/>
      <c r="J259" s="52">
        <f>J188</f>
        <v>1530</v>
      </c>
      <c r="K259" s="52">
        <f ca="1">K188</f>
        <v>6042.635413371946</v>
      </c>
      <c r="L259" s="52">
        <f ca="1">L188</f>
        <v>5703.8002195758791</v>
      </c>
      <c r="M259" s="52">
        <f ca="1">M188</f>
        <v>5319.3324034472416</v>
      </c>
      <c r="N259" s="52">
        <f ca="1">N188</f>
        <v>4884.7807087263218</v>
      </c>
    </row>
    <row r="260" spans="1:16" x14ac:dyDescent="0.2">
      <c r="B260" t="s">
        <v>102</v>
      </c>
      <c r="E260" s="52"/>
      <c r="F260" s="52"/>
      <c r="G260" s="52"/>
      <c r="H260" s="52"/>
      <c r="I260" s="52"/>
      <c r="J260" s="22">
        <f ca="1">J204+J209+J213+J214+J215+J216+J217</f>
        <v>4666.6354133719442</v>
      </c>
      <c r="K260" s="22">
        <f ca="1">K204+K209+K213+K214+K215+K216+K217</f>
        <v>-338.83519379606696</v>
      </c>
      <c r="L260" s="22">
        <f ca="1">L204+L209+L213+L214+L215+L216+L217</f>
        <v>-384.46781612863833</v>
      </c>
      <c r="M260" s="22">
        <f ca="1">M204+M209+M213+M214+M215+M216+M217</f>
        <v>-434.55169472091893</v>
      </c>
      <c r="N260" s="22">
        <f ca="1">N204+N209+N213+N214+N215+N216+N217</f>
        <v>-485.37751784196007</v>
      </c>
    </row>
    <row r="261" spans="1:16" x14ac:dyDescent="0.2">
      <c r="B261" s="24" t="s">
        <v>103</v>
      </c>
      <c r="C261" s="24"/>
      <c r="D261" s="24"/>
      <c r="E261" s="76"/>
      <c r="F261" s="76"/>
      <c r="G261" s="76"/>
      <c r="H261" s="76"/>
      <c r="I261" s="76"/>
      <c r="J261" s="76">
        <f>J131*$J$125</f>
        <v>1586.5993628498622</v>
      </c>
      <c r="K261" s="76">
        <f t="shared" ref="K261:N261" si="121">K131*$J$125</f>
        <v>1645.2925086245677</v>
      </c>
      <c r="L261" s="76">
        <f t="shared" si="121"/>
        <v>1706.1568927355495</v>
      </c>
      <c r="M261" s="76">
        <f t="shared" si="121"/>
        <v>1769.2728359059631</v>
      </c>
      <c r="N261" s="76">
        <f t="shared" si="121"/>
        <v>1834.7236301673006</v>
      </c>
    </row>
    <row r="262" spans="1:16" x14ac:dyDescent="0.2">
      <c r="B262" t="s">
        <v>101</v>
      </c>
      <c r="E262" s="43"/>
      <c r="F262" s="43"/>
      <c r="G262" s="43"/>
      <c r="H262" s="43"/>
      <c r="I262" s="43"/>
      <c r="J262" s="43">
        <f ca="1">J259+J260-J261</f>
        <v>4610.0360505220815</v>
      </c>
      <c r="K262" s="43">
        <f t="shared" ref="K262:N262" ca="1" si="122">K259+K260-K261</f>
        <v>4058.5077109513113</v>
      </c>
      <c r="L262" s="43">
        <f t="shared" ca="1" si="122"/>
        <v>3613.1755107116915</v>
      </c>
      <c r="M262" s="43">
        <f t="shared" ca="1" si="122"/>
        <v>3115.5078728203598</v>
      </c>
      <c r="N262" s="43">
        <f t="shared" ca="1" si="122"/>
        <v>2564.6795607170611</v>
      </c>
    </row>
    <row r="263" spans="1:16" x14ac:dyDescent="0.2">
      <c r="J263" s="77"/>
    </row>
    <row r="264" spans="1:16" x14ac:dyDescent="0.2">
      <c r="B264" s="44" t="s">
        <v>100</v>
      </c>
      <c r="C264" s="45"/>
      <c r="D264" s="45"/>
      <c r="E264" s="45"/>
      <c r="F264" s="45"/>
      <c r="G264" s="45"/>
      <c r="H264" s="45"/>
      <c r="I264" s="45"/>
      <c r="J264" s="45"/>
      <c r="K264" s="45"/>
      <c r="L264" s="45"/>
      <c r="M264" s="45"/>
      <c r="N264" s="45"/>
      <c r="O264" s="45"/>
      <c r="P264" s="45"/>
    </row>
    <row r="265" spans="1:16" x14ac:dyDescent="0.2">
      <c r="B265" t="s">
        <v>104</v>
      </c>
      <c r="E265" s="43"/>
      <c r="F265" s="43"/>
      <c r="G265" s="43"/>
      <c r="H265" s="43"/>
      <c r="I265" s="43"/>
      <c r="J265" s="43">
        <f>I168</f>
        <v>154</v>
      </c>
      <c r="K265" s="43">
        <f ca="1">J168</f>
        <v>0</v>
      </c>
      <c r="L265" s="43">
        <f ca="1">K168</f>
        <v>0</v>
      </c>
      <c r="M265" s="43">
        <f ca="1">L168</f>
        <v>0</v>
      </c>
      <c r="N265" s="43">
        <f ca="1">M168</f>
        <v>0</v>
      </c>
    </row>
    <row r="266" spans="1:16" x14ac:dyDescent="0.2">
      <c r="B266" s="24" t="s">
        <v>105</v>
      </c>
      <c r="C266" s="24"/>
      <c r="D266" s="24"/>
      <c r="E266" s="24"/>
      <c r="F266" s="24"/>
      <c r="G266" s="24"/>
      <c r="H266" s="24"/>
      <c r="I266" s="24"/>
      <c r="J266" s="47">
        <f ca="1">IF(J262&gt;J265,-J265,IF(J262&gt;0,-J262,-J262))</f>
        <v>-154</v>
      </c>
      <c r="K266" s="47">
        <f t="shared" ref="K266:N266" ca="1" si="123">IF(K262&gt;K265,-K265,IF(K262&gt;0,-K262,-K262))</f>
        <v>0</v>
      </c>
      <c r="L266" s="47">
        <f t="shared" ca="1" si="123"/>
        <v>0</v>
      </c>
      <c r="M266" s="47">
        <f t="shared" ca="1" si="123"/>
        <v>0</v>
      </c>
      <c r="N266" s="47">
        <f t="shared" ca="1" si="123"/>
        <v>0</v>
      </c>
    </row>
    <row r="267" spans="1:16" x14ac:dyDescent="0.2">
      <c r="B267" t="s">
        <v>106</v>
      </c>
      <c r="F267" s="43"/>
      <c r="G267" s="43"/>
      <c r="H267" s="43"/>
      <c r="I267" s="43"/>
      <c r="J267" s="43">
        <f ca="1">J265+J266</f>
        <v>0</v>
      </c>
      <c r="K267" s="43">
        <f ca="1">K265+K266</f>
        <v>0</v>
      </c>
      <c r="L267" s="43">
        <f ca="1">L265+L266</f>
        <v>0</v>
      </c>
      <c r="M267" s="43">
        <f ca="1">M265+M266</f>
        <v>0</v>
      </c>
      <c r="N267" s="43">
        <f ca="1">N265+N266</f>
        <v>0</v>
      </c>
    </row>
    <row r="268" spans="1:16" x14ac:dyDescent="0.2">
      <c r="F268" s="43"/>
      <c r="G268" s="43"/>
      <c r="H268" s="43"/>
      <c r="I268" s="43"/>
      <c r="J268" s="43"/>
      <c r="K268" s="43"/>
      <c r="L268" s="43"/>
      <c r="M268" s="43"/>
      <c r="N268" s="43"/>
    </row>
    <row r="269" spans="1:16" x14ac:dyDescent="0.2">
      <c r="A269" t="s">
        <v>10</v>
      </c>
      <c r="B269" s="1" t="s">
        <v>25</v>
      </c>
      <c r="C269" s="2"/>
      <c r="D269" s="2"/>
      <c r="E269" s="3" t="s">
        <v>1</v>
      </c>
      <c r="F269" s="3" t="s">
        <v>2</v>
      </c>
      <c r="G269" s="3" t="s">
        <v>3</v>
      </c>
      <c r="H269" s="3" t="s">
        <v>4</v>
      </c>
      <c r="I269" s="3" t="s">
        <v>5</v>
      </c>
      <c r="J269" s="3" t="s">
        <v>12</v>
      </c>
      <c r="K269" s="3" t="s">
        <v>13</v>
      </c>
      <c r="L269" s="3" t="s">
        <v>14</v>
      </c>
      <c r="M269" s="3" t="s">
        <v>15</v>
      </c>
      <c r="N269" s="3" t="s">
        <v>16</v>
      </c>
      <c r="O269" s="3"/>
      <c r="P269" s="3"/>
    </row>
    <row r="271" spans="1:16" x14ac:dyDescent="0.2">
      <c r="B271" t="s">
        <v>107</v>
      </c>
      <c r="F271" s="6">
        <f>F273/AVERAGE(E272:F272)</f>
        <v>3.2932113625421283E-2</v>
      </c>
      <c r="G271" s="6">
        <f>G273/AVERAGE(F272:G272)</f>
        <v>1.3847568561692E-2</v>
      </c>
      <c r="H271" s="6">
        <f>H273/AVERAGE(G272:H272)</f>
        <v>2.4209147064328945E-2</v>
      </c>
      <c r="I271" s="6">
        <f>I273/AVERAGE(H272:I272)</f>
        <v>2.4805150796340224E-2</v>
      </c>
      <c r="J271" s="5">
        <f>AVERAGE($F$271:$I$271)</f>
        <v>2.3948495011945615E-2</v>
      </c>
      <c r="K271" s="5">
        <f t="shared" ref="K271:N271" si="124">AVERAGE($F$271:$I$271)</f>
        <v>2.3948495011945615E-2</v>
      </c>
      <c r="L271" s="5">
        <f t="shared" si="124"/>
        <v>2.3948495011945615E-2</v>
      </c>
      <c r="M271" s="5">
        <f t="shared" si="124"/>
        <v>2.3948495011945615E-2</v>
      </c>
      <c r="N271" s="5">
        <f t="shared" si="124"/>
        <v>2.3948495011945615E-2</v>
      </c>
    </row>
    <row r="272" spans="1:16" x14ac:dyDescent="0.2">
      <c r="B272" s="24" t="s">
        <v>108</v>
      </c>
      <c r="C272" s="24"/>
      <c r="D272" s="24"/>
      <c r="E272" s="76">
        <f t="shared" ref="E272:N272" si="125">E168+E169+E172+E173</f>
        <v>11134</v>
      </c>
      <c r="F272" s="76">
        <f t="shared" si="125"/>
        <v>9636</v>
      </c>
      <c r="G272" s="76">
        <f t="shared" si="125"/>
        <v>8851</v>
      </c>
      <c r="H272" s="76">
        <f t="shared" si="125"/>
        <v>7176</v>
      </c>
      <c r="I272" s="76">
        <f t="shared" si="125"/>
        <v>7579</v>
      </c>
      <c r="J272" s="76">
        <f t="shared" ca="1" si="125"/>
        <v>7443.6444959976016</v>
      </c>
      <c r="K272" s="76">
        <f t="shared" ca="1" si="125"/>
        <v>7462.9787087233872</v>
      </c>
      <c r="L272" s="76">
        <f t="shared" ca="1" si="125"/>
        <v>7483.0281529011227</v>
      </c>
      <c r="M272" s="76">
        <f t="shared" ca="1" si="125"/>
        <v>7503.8192871219644</v>
      </c>
      <c r="N272" s="76">
        <f t="shared" ca="1" si="125"/>
        <v>7525.3795487609932</v>
      </c>
    </row>
    <row r="273" spans="1:16" x14ac:dyDescent="0.2">
      <c r="B273" s="27" t="s">
        <v>109</v>
      </c>
      <c r="C273" s="27"/>
      <c r="D273" s="27"/>
      <c r="E273" s="29">
        <f>E139</f>
        <v>601</v>
      </c>
      <c r="F273" s="29">
        <f>F139</f>
        <v>342</v>
      </c>
      <c r="G273" s="29">
        <f>G139</f>
        <v>128</v>
      </c>
      <c r="H273" s="29">
        <f>H139</f>
        <v>194</v>
      </c>
      <c r="I273" s="29">
        <f>I139</f>
        <v>183</v>
      </c>
      <c r="J273" s="29">
        <f ca="1">J271*(AVERAGE(I272:J272))</f>
        <v>179.8848633893154</v>
      </c>
      <c r="K273" s="29">
        <f ca="1">K271*(AVERAGE(J272:K272))</f>
        <v>178.49559573160667</v>
      </c>
      <c r="L273" s="29">
        <f ca="1">L271*(AVERAGE(K272:L272))</f>
        <v>178.96718538705974</v>
      </c>
      <c r="M273" s="29">
        <f ca="1">M271*(AVERAGE(L272:M272))</f>
        <v>179.4562205810914</v>
      </c>
      <c r="N273" s="29">
        <f ca="1">N271*(AVERAGE(M272:N272))</f>
        <v>179.96334667734092</v>
      </c>
    </row>
    <row r="275" spans="1:16" x14ac:dyDescent="0.2">
      <c r="A275" t="s">
        <v>10</v>
      </c>
      <c r="B275" s="1" t="s">
        <v>24</v>
      </c>
      <c r="C275" s="2"/>
      <c r="D275" s="2"/>
      <c r="E275" s="3" t="s">
        <v>1</v>
      </c>
      <c r="F275" s="3" t="s">
        <v>2</v>
      </c>
      <c r="G275" s="3" t="s">
        <v>3</v>
      </c>
      <c r="H275" s="3" t="s">
        <v>4</v>
      </c>
      <c r="I275" s="3" t="s">
        <v>5</v>
      </c>
      <c r="J275" s="3" t="s">
        <v>12</v>
      </c>
      <c r="K275" s="3" t="s">
        <v>13</v>
      </c>
      <c r="L275" s="3" t="s">
        <v>14</v>
      </c>
      <c r="M275" s="3" t="s">
        <v>15</v>
      </c>
      <c r="N275" s="3" t="s">
        <v>16</v>
      </c>
      <c r="O275" s="3"/>
      <c r="P275" s="3"/>
    </row>
    <row r="277" spans="1:16" x14ac:dyDescent="0.2">
      <c r="B277" t="s">
        <v>110</v>
      </c>
      <c r="E277" s="52">
        <f t="shared" ref="E277:N277" si="126">E188</f>
        <v>4140</v>
      </c>
      <c r="F277" s="52">
        <f t="shared" si="126"/>
        <v>5109</v>
      </c>
      <c r="G277" s="52">
        <f t="shared" si="126"/>
        <v>3598</v>
      </c>
      <c r="H277" s="52">
        <f t="shared" si="126"/>
        <v>1655</v>
      </c>
      <c r="I277" s="52">
        <f t="shared" si="126"/>
        <v>1092</v>
      </c>
      <c r="J277" s="52">
        <f t="shared" si="126"/>
        <v>1530</v>
      </c>
      <c r="K277" s="52">
        <f t="shared" ca="1" si="126"/>
        <v>6042.635413371946</v>
      </c>
      <c r="L277" s="52">
        <f t="shared" ca="1" si="126"/>
        <v>5703.8002195758791</v>
      </c>
      <c r="M277" s="52">
        <f t="shared" ca="1" si="126"/>
        <v>5319.3324034472416</v>
      </c>
      <c r="N277" s="52">
        <f t="shared" ca="1" si="126"/>
        <v>4884.7807087263218</v>
      </c>
    </row>
    <row r="278" spans="1:16" x14ac:dyDescent="0.2">
      <c r="B278" s="24" t="s">
        <v>111</v>
      </c>
      <c r="C278" s="24"/>
      <c r="D278" s="24"/>
      <c r="E278" s="78">
        <f>E279/E277</f>
        <v>9.9033816425120776E-3</v>
      </c>
      <c r="F278" s="78">
        <f t="shared" ref="F278:I278" si="127">F279/F277</f>
        <v>2.3487962419260128E-2</v>
      </c>
      <c r="G278" s="78">
        <f t="shared" si="127"/>
        <v>5.6976097832128959E-2</v>
      </c>
      <c r="H278" s="78">
        <f t="shared" si="127"/>
        <v>6.8882175226586101E-2</v>
      </c>
      <c r="I278" s="78">
        <f t="shared" si="127"/>
        <v>3.388278388278388E-2</v>
      </c>
      <c r="J278" s="78">
        <f>AVERAGE($E$278:$I$278)</f>
        <v>3.8626480200654227E-2</v>
      </c>
      <c r="K278" s="78">
        <f t="shared" ref="K278:N278" si="128">AVERAGE($E$278:$I$278)</f>
        <v>3.8626480200654227E-2</v>
      </c>
      <c r="L278" s="78">
        <f t="shared" si="128"/>
        <v>3.8626480200654227E-2</v>
      </c>
      <c r="M278" s="78">
        <f t="shared" si="128"/>
        <v>3.8626480200654227E-2</v>
      </c>
      <c r="N278" s="78">
        <f t="shared" si="128"/>
        <v>3.8626480200654227E-2</v>
      </c>
    </row>
    <row r="279" spans="1:16" x14ac:dyDescent="0.2">
      <c r="B279" s="27" t="s">
        <v>24</v>
      </c>
      <c r="C279" s="27"/>
      <c r="D279" s="27"/>
      <c r="E279" s="29">
        <f>E138</f>
        <v>41</v>
      </c>
      <c r="F279" s="29">
        <f>F138</f>
        <v>120</v>
      </c>
      <c r="G279" s="29">
        <f>G138</f>
        <v>205</v>
      </c>
      <c r="H279" s="29">
        <f>H138</f>
        <v>114</v>
      </c>
      <c r="I279" s="29">
        <f>I138</f>
        <v>37</v>
      </c>
      <c r="J279" s="29">
        <f>J278*AVERAGE(I277:J277)</f>
        <v>50.639315543057691</v>
      </c>
      <c r="K279" s="29">
        <f t="shared" ref="K279:N279" ca="1" si="129">K278*AVERAGE(J277:K277)</f>
        <v>146.25212593069224</v>
      </c>
      <c r="L279" s="29">
        <f t="shared" ca="1" si="129"/>
        <v>226.86173170215923</v>
      </c>
      <c r="M279" s="29">
        <f t="shared" ca="1" si="129"/>
        <v>212.89240700619413</v>
      </c>
      <c r="N279" s="29">
        <f t="shared" ca="1" si="129"/>
        <v>197.07448654630417</v>
      </c>
    </row>
    <row r="281" spans="1:16" x14ac:dyDescent="0.2">
      <c r="A281" t="s">
        <v>10</v>
      </c>
      <c r="B281" s="1" t="s">
        <v>168</v>
      </c>
      <c r="C281" s="2"/>
      <c r="D281" s="2"/>
      <c r="E281" s="3" t="s">
        <v>1</v>
      </c>
      <c r="F281" s="3" t="s">
        <v>2</v>
      </c>
      <c r="G281" s="3" t="s">
        <v>3</v>
      </c>
      <c r="H281" s="3" t="s">
        <v>4</v>
      </c>
      <c r="I281" s="3" t="s">
        <v>5</v>
      </c>
      <c r="J281" s="3" t="s">
        <v>12</v>
      </c>
      <c r="K281" s="3" t="s">
        <v>13</v>
      </c>
      <c r="L281" s="3" t="s">
        <v>14</v>
      </c>
      <c r="M281" s="3" t="s">
        <v>15</v>
      </c>
      <c r="N281" s="3" t="s">
        <v>16</v>
      </c>
      <c r="O281" s="3"/>
      <c r="P281" s="3"/>
    </row>
    <row r="282" spans="1:16" x14ac:dyDescent="0.2">
      <c r="E282" s="53"/>
      <c r="F282" s="53"/>
      <c r="G282" s="53"/>
      <c r="H282" s="53"/>
      <c r="I282" s="53"/>
    </row>
    <row r="283" spans="1:16" x14ac:dyDescent="0.2">
      <c r="B283" s="27" t="s">
        <v>169</v>
      </c>
      <c r="C283" s="27"/>
      <c r="D283" s="27"/>
      <c r="E283" s="27"/>
      <c r="F283" s="27"/>
      <c r="G283" s="27"/>
      <c r="H283" s="27"/>
      <c r="I283" s="27"/>
      <c r="J283" s="70">
        <f>I288</f>
        <v>1120</v>
      </c>
      <c r="K283" s="70">
        <f t="shared" ref="K283:N283" ca="1" si="130">J288</f>
        <v>1078.3371675955811</v>
      </c>
      <c r="L283" s="70">
        <f t="shared" ca="1" si="130"/>
        <v>1033.9232986488321</v>
      </c>
      <c r="M283" s="70">
        <f t="shared" ca="1" si="130"/>
        <v>986.82875373321622</v>
      </c>
      <c r="N283" s="70">
        <f t="shared" ca="1" si="130"/>
        <v>937.77544808979633</v>
      </c>
    </row>
    <row r="284" spans="1:16" x14ac:dyDescent="0.2">
      <c r="B284" t="s">
        <v>172</v>
      </c>
      <c r="I284" s="41">
        <f>C13</f>
        <v>92.92</v>
      </c>
      <c r="J284" s="41">
        <f>I284</f>
        <v>92.92</v>
      </c>
      <c r="K284" s="41">
        <f t="shared" ref="K284:N284" si="131">J284</f>
        <v>92.92</v>
      </c>
      <c r="L284" s="41">
        <f t="shared" si="131"/>
        <v>92.92</v>
      </c>
      <c r="M284" s="41">
        <f t="shared" si="131"/>
        <v>92.92</v>
      </c>
      <c r="N284" s="41">
        <f t="shared" si="131"/>
        <v>92.92</v>
      </c>
    </row>
    <row r="285" spans="1:16" x14ac:dyDescent="0.2">
      <c r="B285" t="s">
        <v>170</v>
      </c>
      <c r="J285" s="34">
        <f>J240/J284</f>
        <v>5.1958674128282389</v>
      </c>
      <c r="K285" s="34">
        <f>K240/K284</f>
        <v>5.1958674128282389</v>
      </c>
      <c r="L285" s="34">
        <f>L240/L284</f>
        <v>5.1958674128282389</v>
      </c>
      <c r="M285" s="34">
        <f>M240/M284</f>
        <v>5.1958674128282389</v>
      </c>
      <c r="N285" s="34">
        <f>N240/N284</f>
        <v>5.1958674128282389</v>
      </c>
    </row>
    <row r="286" spans="1:16" x14ac:dyDescent="0.2">
      <c r="B286" t="s">
        <v>171</v>
      </c>
      <c r="J286" s="34">
        <f ca="1">J233/J284</f>
        <v>-49.794558620518643</v>
      </c>
      <c r="K286" s="34">
        <f ca="1">K233/K284</f>
        <v>-52.545595162848954</v>
      </c>
      <c r="L286" s="34">
        <f ca="1">L233/L284</f>
        <v>-55.226271131715706</v>
      </c>
      <c r="M286" s="34">
        <f ca="1">M233/M284</f>
        <v>-57.185031859519803</v>
      </c>
      <c r="N286" s="34">
        <f ca="1">N233/N284</f>
        <v>-59.205044331801204</v>
      </c>
    </row>
    <row r="287" spans="1:16" x14ac:dyDescent="0.2">
      <c r="B287" s="24" t="s">
        <v>173</v>
      </c>
      <c r="C287" s="24"/>
      <c r="D287" s="24"/>
      <c r="E287" s="24"/>
      <c r="F287" s="24"/>
      <c r="G287" s="24"/>
      <c r="H287" s="24"/>
      <c r="I287" s="24"/>
      <c r="J287" s="81">
        <f>J234/J284</f>
        <v>2.9358588032716315</v>
      </c>
      <c r="K287" s="81">
        <f>K234/K284</f>
        <v>2.9358588032716315</v>
      </c>
      <c r="L287" s="81">
        <f>L234/L284</f>
        <v>2.9358588032716315</v>
      </c>
      <c r="M287" s="81">
        <f>M234/M284</f>
        <v>2.9358588032716315</v>
      </c>
      <c r="N287" s="81">
        <f>N234/N284</f>
        <v>2.9358588032716315</v>
      </c>
    </row>
    <row r="288" spans="1:16" x14ac:dyDescent="0.2">
      <c r="B288" s="27" t="s">
        <v>174</v>
      </c>
      <c r="C288" s="27"/>
      <c r="D288" s="27"/>
      <c r="E288" s="70">
        <f>E148</f>
        <v>1089</v>
      </c>
      <c r="F288" s="70">
        <f>F148</f>
        <v>1152</v>
      </c>
      <c r="G288" s="70">
        <f>G148</f>
        <v>1114</v>
      </c>
      <c r="H288" s="70">
        <f>H148</f>
        <v>1110</v>
      </c>
      <c r="I288" s="70">
        <f>I148</f>
        <v>1120</v>
      </c>
      <c r="J288" s="83">
        <f ca="1">J283+J285+J286+J287</f>
        <v>1078.3371675955811</v>
      </c>
      <c r="K288" s="83">
        <f t="shared" ref="K288:N288" ca="1" si="132">K283+K285+K286+K287</f>
        <v>1033.9232986488321</v>
      </c>
      <c r="L288" s="83">
        <f t="shared" ca="1" si="132"/>
        <v>986.82875373321622</v>
      </c>
      <c r="M288" s="83">
        <f t="shared" ca="1" si="132"/>
        <v>937.77544808979633</v>
      </c>
      <c r="N288" s="83">
        <f t="shared" ca="1" si="132"/>
        <v>886.70212997409499</v>
      </c>
    </row>
    <row r="289" spans="2:14" x14ac:dyDescent="0.2">
      <c r="B289" s="24" t="s">
        <v>175</v>
      </c>
      <c r="C289" s="24"/>
      <c r="D289" s="24"/>
      <c r="E289" s="76">
        <f>E290-E288</f>
        <v>65</v>
      </c>
      <c r="F289" s="76">
        <f t="shared" ref="F289:I289" si="133">F290-F288</f>
        <v>77</v>
      </c>
      <c r="G289" s="76">
        <f t="shared" si="133"/>
        <v>29</v>
      </c>
      <c r="H289" s="76">
        <f t="shared" si="133"/>
        <v>21</v>
      </c>
      <c r="I289" s="76">
        <f t="shared" si="133"/>
        <v>21</v>
      </c>
      <c r="J289" s="76">
        <f>I289</f>
        <v>21</v>
      </c>
      <c r="K289" s="76">
        <f t="shared" ref="K289:N289" si="134">J289</f>
        <v>21</v>
      </c>
      <c r="L289" s="76">
        <f t="shared" si="134"/>
        <v>21</v>
      </c>
      <c r="M289" s="76">
        <f t="shared" si="134"/>
        <v>21</v>
      </c>
      <c r="N289" s="76">
        <f t="shared" si="134"/>
        <v>21</v>
      </c>
    </row>
    <row r="290" spans="2:14" x14ac:dyDescent="0.2">
      <c r="B290" s="27" t="s">
        <v>176</v>
      </c>
      <c r="C290" s="27"/>
      <c r="D290" s="27"/>
      <c r="E290" s="70">
        <f>E149</f>
        <v>1154</v>
      </c>
      <c r="F290" s="70">
        <f>F149</f>
        <v>1229</v>
      </c>
      <c r="G290" s="70">
        <f>G149</f>
        <v>1143</v>
      </c>
      <c r="H290" s="70">
        <f>H149</f>
        <v>1131</v>
      </c>
      <c r="I290" s="70">
        <f>I149</f>
        <v>1141</v>
      </c>
      <c r="J290" s="70">
        <f ca="1">J288+J289</f>
        <v>1099.3371675955811</v>
      </c>
      <c r="K290" s="70">
        <f t="shared" ref="K290:N290" ca="1" si="135">K288+K289</f>
        <v>1054.9232986488321</v>
      </c>
      <c r="L290" s="70">
        <f t="shared" ca="1" si="135"/>
        <v>1007.8287537332162</v>
      </c>
      <c r="M290" s="70">
        <f t="shared" ca="1" si="135"/>
        <v>958.77544808979633</v>
      </c>
      <c r="N290" s="70">
        <f t="shared" ca="1" si="135"/>
        <v>907.70212997409499</v>
      </c>
    </row>
  </sheetData>
  <mergeCells count="8">
    <mergeCell ref="J61:L61"/>
    <mergeCell ref="B2:B3"/>
    <mergeCell ref="C2:C3"/>
    <mergeCell ref="D2:D3"/>
    <mergeCell ref="E2:F3"/>
    <mergeCell ref="G2:G3"/>
    <mergeCell ref="D61:F61"/>
    <mergeCell ref="G61:I61"/>
  </mergeCells>
  <conditionalFormatting sqref="E2:G4 E5:F18">
    <cfRule type="containsText" dxfId="17" priority="4" operator="containsText" text="BUY">
      <formula>NOT(ISERROR(SEARCH("BUY",E2)))</formula>
    </cfRule>
    <cfRule type="containsText" dxfId="16" priority="5" operator="containsText" text="HOLD">
      <formula>NOT(ISERROR(SEARCH("HOLD",E2)))</formula>
    </cfRule>
    <cfRule type="containsText" dxfId="15" priority="6" operator="containsText" text="SELL">
      <formula>NOT(ISERROR(SEARCH("SELL",E2)))</formula>
    </cfRule>
  </conditionalFormatting>
  <conditionalFormatting sqref="K5">
    <cfRule type="containsText" dxfId="14" priority="1" operator="containsText" text="BUY">
      <formula>NOT(ISERROR(SEARCH("BUY",K5)))</formula>
    </cfRule>
    <cfRule type="containsText" dxfId="13" priority="2" operator="containsText" text="HOLD">
      <formula>NOT(ISERROR(SEARCH("HOLD",K5)))</formula>
    </cfRule>
    <cfRule type="containsText" dxfId="12" priority="3" operator="containsText" text="SELL">
      <formula>NOT(ISERROR(SEARCH("SELL",K5)))</formula>
    </cfRule>
  </conditionalFormatting>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5DDB-5AEE-4987-911C-2A031E3B3699}">
  <dimension ref="A1:T294"/>
  <sheetViews>
    <sheetView showGridLines="0" topLeftCell="B1" zoomScaleNormal="115" workbookViewId="0">
      <selection activeCell="M10" sqref="M10"/>
    </sheetView>
  </sheetViews>
  <sheetFormatPr baseColWidth="10" defaultColWidth="8.83203125" defaultRowHeight="15" x14ac:dyDescent="0.2"/>
  <cols>
    <col min="1" max="1" width="3.6640625" customWidth="1"/>
    <col min="2" max="4" width="17.6640625" customWidth="1"/>
    <col min="5" max="9" width="13.6640625" customWidth="1"/>
    <col min="10" max="10" width="13.83203125" customWidth="1"/>
    <col min="11" max="16" width="13.6640625" customWidth="1"/>
    <col min="18" max="20" width="15.33203125" bestFit="1" customWidth="1"/>
  </cols>
  <sheetData>
    <row r="1" spans="2:16" ht="5" customHeight="1" x14ac:dyDescent="0.2"/>
    <row r="2" spans="2:16" ht="15" customHeight="1" x14ac:dyDescent="0.2">
      <c r="B2" s="150" t="s">
        <v>351</v>
      </c>
      <c r="C2" s="151" t="s">
        <v>191</v>
      </c>
      <c r="D2" s="152">
        <v>44720</v>
      </c>
      <c r="E2" s="153" t="s">
        <v>192</v>
      </c>
      <c r="F2" s="153"/>
      <c r="G2" s="153" t="str">
        <f>IF(COUNTIF(E16:E18,"BUY")=3,"BUY",IF(COUNTIF(E16:E18,"SELL")&gt;=2,"SELL","HOLD"))</f>
        <v>HOLD</v>
      </c>
    </row>
    <row r="3" spans="2:16" ht="15" customHeight="1" x14ac:dyDescent="0.2">
      <c r="B3" s="150"/>
      <c r="C3" s="151"/>
      <c r="D3" s="153"/>
      <c r="E3" s="153"/>
      <c r="F3" s="153"/>
      <c r="G3" s="153"/>
    </row>
    <row r="4" spans="2:16" ht="15" customHeight="1" x14ac:dyDescent="0.2">
      <c r="B4" s="1" t="s">
        <v>202</v>
      </c>
      <c r="C4" s="2"/>
      <c r="D4" s="2"/>
      <c r="E4" s="3"/>
      <c r="F4" s="3"/>
      <c r="G4" s="3"/>
      <c r="H4" s="3"/>
      <c r="I4" s="3"/>
      <c r="J4" s="3"/>
      <c r="K4" s="3"/>
      <c r="L4" s="4"/>
      <c r="M4" s="3"/>
      <c r="N4" s="3"/>
      <c r="O4" s="3"/>
      <c r="P4" s="3"/>
    </row>
    <row r="5" spans="2:16" ht="15" customHeight="1" x14ac:dyDescent="0.2">
      <c r="B5" s="67" t="s">
        <v>193</v>
      </c>
      <c r="C5" s="67"/>
      <c r="D5" s="67"/>
      <c r="E5" s="67"/>
      <c r="G5" s="67" t="s">
        <v>240</v>
      </c>
      <c r="H5" s="67"/>
      <c r="I5" s="67"/>
      <c r="J5" s="67"/>
      <c r="K5" s="67"/>
    </row>
    <row r="6" spans="2:16" ht="15" customHeight="1" x14ac:dyDescent="0.2">
      <c r="B6" t="s">
        <v>194</v>
      </c>
      <c r="C6" t="s">
        <v>352</v>
      </c>
    </row>
    <row r="7" spans="2:16" ht="15" customHeight="1" x14ac:dyDescent="0.2">
      <c r="B7" t="s">
        <v>195</v>
      </c>
      <c r="C7" t="s">
        <v>353</v>
      </c>
    </row>
    <row r="8" spans="2:16" ht="15" customHeight="1" x14ac:dyDescent="0.2">
      <c r="B8" t="s">
        <v>196</v>
      </c>
      <c r="C8" t="s">
        <v>243</v>
      </c>
    </row>
    <row r="9" spans="2:16" ht="15" customHeight="1" x14ac:dyDescent="0.2">
      <c r="B9" t="s">
        <v>197</v>
      </c>
      <c r="C9" t="s">
        <v>354</v>
      </c>
    </row>
    <row r="10" spans="2:16" ht="15" customHeight="1" x14ac:dyDescent="0.2">
      <c r="B10" t="s">
        <v>198</v>
      </c>
      <c r="C10" t="s">
        <v>199</v>
      </c>
    </row>
    <row r="11" spans="2:16" ht="15" customHeight="1" x14ac:dyDescent="0.2"/>
    <row r="12" spans="2:16" ht="15" customHeight="1" x14ac:dyDescent="0.2">
      <c r="B12" s="67" t="s">
        <v>200</v>
      </c>
      <c r="C12" s="67"/>
      <c r="D12" s="67"/>
      <c r="E12" s="67"/>
    </row>
    <row r="13" spans="2:16" ht="15" customHeight="1" x14ac:dyDescent="0.2">
      <c r="B13" t="s">
        <v>201</v>
      </c>
      <c r="C13" s="41">
        <v>86.39</v>
      </c>
    </row>
    <row r="14" spans="2:16" ht="15" customHeight="1" x14ac:dyDescent="0.2"/>
    <row r="15" spans="2:16" ht="15" customHeight="1" x14ac:dyDescent="0.2">
      <c r="B15" s="24"/>
      <c r="C15" s="85" t="s">
        <v>245</v>
      </c>
      <c r="D15" s="24" t="s">
        <v>246</v>
      </c>
      <c r="E15" s="24" t="s">
        <v>192</v>
      </c>
    </row>
    <row r="16" spans="2:16" ht="15" customHeight="1" x14ac:dyDescent="0.2">
      <c r="B16" t="s">
        <v>247</v>
      </c>
      <c r="C16" s="86">
        <f>MAX(E21:E25)</f>
        <v>119.71017299104997</v>
      </c>
      <c r="D16" s="12">
        <f>C16/$C$13-1</f>
        <v>0.38569479096018022</v>
      </c>
      <c r="E16" s="61" t="str">
        <f>IF(D16&gt;10%,"BUY",IF(D16&lt;-10%,"SELL","HOLD"))</f>
        <v>BUY</v>
      </c>
    </row>
    <row r="17" spans="2:16" ht="15" customHeight="1" x14ac:dyDescent="0.2">
      <c r="B17" t="s">
        <v>248</v>
      </c>
      <c r="C17" s="86">
        <f>AVERAGE(E21:E25)</f>
        <v>84.574816248121465</v>
      </c>
      <c r="D17" s="12">
        <f t="shared" ref="D17:D18" si="0">C17/$C$13-1</f>
        <v>-2.10115030892295E-2</v>
      </c>
      <c r="E17" s="61" t="str">
        <f t="shared" ref="E17:E18" si="1">IF(D17&gt;10%,"BUY",IF(D17&lt;-10%,"SELL","HOLD"))</f>
        <v>HOLD</v>
      </c>
    </row>
    <row r="18" spans="2:16" ht="15" customHeight="1" x14ac:dyDescent="0.2">
      <c r="B18" t="s">
        <v>249</v>
      </c>
      <c r="C18" s="86">
        <f>MIN(E21:E25)</f>
        <v>61.897448432259623</v>
      </c>
      <c r="D18" s="12">
        <f t="shared" si="0"/>
        <v>-0.2835114199298574</v>
      </c>
      <c r="E18" s="61" t="str">
        <f t="shared" si="1"/>
        <v>SELL</v>
      </c>
    </row>
    <row r="19" spans="2:16" ht="15" customHeight="1" x14ac:dyDescent="0.2"/>
    <row r="20" spans="2:16" ht="15" customHeight="1" x14ac:dyDescent="0.2">
      <c r="B20" s="67" t="s">
        <v>250</v>
      </c>
      <c r="C20" s="67"/>
      <c r="D20" s="67"/>
      <c r="E20" s="67"/>
    </row>
    <row r="21" spans="2:16" ht="15" customHeight="1" x14ac:dyDescent="0.2">
      <c r="B21" t="s">
        <v>251</v>
      </c>
      <c r="E21" s="41">
        <f>D34</f>
        <v>61.897448432259623</v>
      </c>
    </row>
    <row r="22" spans="2:16" ht="15" customHeight="1" x14ac:dyDescent="0.2">
      <c r="B22" t="s">
        <v>252</v>
      </c>
      <c r="E22" s="41">
        <f>D58</f>
        <v>62.643047499764428</v>
      </c>
    </row>
    <row r="23" spans="2:16" ht="15" customHeight="1" x14ac:dyDescent="0.2">
      <c r="B23" t="s">
        <v>253</v>
      </c>
      <c r="E23" s="41">
        <f>D76</f>
        <v>119.71017299104997</v>
      </c>
    </row>
    <row r="24" spans="2:16" ht="15" customHeight="1" x14ac:dyDescent="0.2">
      <c r="B24" t="s">
        <v>254</v>
      </c>
      <c r="E24" s="41">
        <f>D81</f>
        <v>99.836967143811037</v>
      </c>
    </row>
    <row r="25" spans="2:16" ht="15" customHeight="1" x14ac:dyDescent="0.2">
      <c r="B25" t="s">
        <v>255</v>
      </c>
      <c r="E25" s="41">
        <f>D85</f>
        <v>78.786445173722242</v>
      </c>
    </row>
    <row r="26" spans="2:16" ht="15" customHeight="1" x14ac:dyDescent="0.2"/>
    <row r="27" spans="2:16" x14ac:dyDescent="0.2">
      <c r="B27" s="1" t="s">
        <v>256</v>
      </c>
      <c r="C27" s="2"/>
      <c r="D27" s="2"/>
      <c r="E27" s="3"/>
      <c r="F27" s="3"/>
      <c r="G27" s="3"/>
      <c r="H27" s="3"/>
      <c r="I27" s="3"/>
      <c r="J27" s="3"/>
      <c r="K27" s="3"/>
      <c r="L27" s="3"/>
      <c r="M27" s="3"/>
      <c r="N27" s="3"/>
      <c r="O27" s="3"/>
      <c r="P27" s="3"/>
    </row>
    <row r="28" spans="2:16" x14ac:dyDescent="0.2">
      <c r="B28" s="44" t="s">
        <v>257</v>
      </c>
      <c r="C28" s="45"/>
      <c r="D28" s="45"/>
      <c r="E28" s="45"/>
      <c r="F28" s="45"/>
      <c r="G28" s="45"/>
      <c r="H28" s="45"/>
      <c r="I28" s="45"/>
      <c r="J28" s="87" t="s">
        <v>12</v>
      </c>
      <c r="K28" s="87" t="s">
        <v>13</v>
      </c>
      <c r="L28" s="87" t="s">
        <v>14</v>
      </c>
      <c r="M28" s="87" t="s">
        <v>15</v>
      </c>
      <c r="N28" s="87" t="s">
        <v>16</v>
      </c>
    </row>
    <row r="29" spans="2:16" x14ac:dyDescent="0.2">
      <c r="B29" t="s">
        <v>258</v>
      </c>
      <c r="E29" s="88"/>
      <c r="F29" s="88"/>
      <c r="G29" s="88"/>
      <c r="H29" s="88"/>
      <c r="I29" s="88"/>
      <c r="J29" s="117">
        <f>-J224/J149</f>
        <v>1.3583430924689439</v>
      </c>
      <c r="K29" s="117">
        <f t="shared" ref="K29:N29" si="2">-K224/K149</f>
        <v>1.6067837501397026</v>
      </c>
      <c r="L29" s="117">
        <f t="shared" si="2"/>
        <v>1.9087450530498811</v>
      </c>
      <c r="M29" s="117">
        <f t="shared" si="2"/>
        <v>2.2453405197840306</v>
      </c>
      <c r="N29" s="117">
        <f t="shared" si="2"/>
        <v>2.6251320735548158</v>
      </c>
    </row>
    <row r="30" spans="2:16" x14ac:dyDescent="0.2">
      <c r="B30" t="s">
        <v>259</v>
      </c>
      <c r="D30" s="5">
        <v>8.5000000000000006E-2</v>
      </c>
      <c r="F30" s="6"/>
      <c r="G30" s="6"/>
      <c r="H30" s="6"/>
      <c r="I30" s="6"/>
      <c r="J30" s="89"/>
      <c r="K30" s="89"/>
      <c r="L30" s="89"/>
      <c r="M30" s="89"/>
      <c r="N30" s="89"/>
    </row>
    <row r="31" spans="2:16" x14ac:dyDescent="0.2">
      <c r="B31" t="s">
        <v>260</v>
      </c>
      <c r="D31" s="145">
        <f>'CAPM Models'!X7</f>
        <v>0.11502750420017108</v>
      </c>
    </row>
    <row r="32" spans="2:16" x14ac:dyDescent="0.2">
      <c r="B32" t="s">
        <v>261</v>
      </c>
      <c r="D32" s="90"/>
      <c r="N32" s="117">
        <f>(N29*(1+D30))/(D31-D30)</f>
        <v>94.855312676660901</v>
      </c>
    </row>
    <row r="33" spans="2:16" ht="16" thickBot="1" x14ac:dyDescent="0.25">
      <c r="B33" t="s">
        <v>262</v>
      </c>
      <c r="E33" s="77"/>
      <c r="F33" s="77"/>
      <c r="G33" s="77"/>
      <c r="H33" s="77"/>
      <c r="I33" s="77"/>
      <c r="J33" s="118">
        <f>J29</f>
        <v>1.3583430924689439</v>
      </c>
      <c r="K33" s="118">
        <f t="shared" ref="K33:M33" si="3">K29</f>
        <v>1.6067837501397026</v>
      </c>
      <c r="L33" s="118">
        <f t="shared" si="3"/>
        <v>1.9087450530498811</v>
      </c>
      <c r="M33" s="118">
        <f t="shared" si="3"/>
        <v>2.2453405197840306</v>
      </c>
      <c r="N33" s="118">
        <f>N29+N32</f>
        <v>97.48044475021571</v>
      </c>
    </row>
    <row r="34" spans="2:16" ht="16" thickBot="1" x14ac:dyDescent="0.25">
      <c r="B34" s="91" t="s">
        <v>172</v>
      </c>
      <c r="C34" s="92"/>
      <c r="D34" s="120">
        <f>NPV(D31,J33:N33)</f>
        <v>61.897448432259623</v>
      </c>
    </row>
    <row r="36" spans="2:16" x14ac:dyDescent="0.2">
      <c r="B36" s="44" t="s">
        <v>263</v>
      </c>
      <c r="C36" s="45"/>
      <c r="D36" s="45"/>
      <c r="E36" s="45"/>
      <c r="F36" s="45"/>
      <c r="G36" s="44" t="s">
        <v>264</v>
      </c>
      <c r="H36" s="45"/>
      <c r="I36" s="45"/>
      <c r="J36" s="45"/>
      <c r="K36" s="45"/>
      <c r="L36" s="44" t="s">
        <v>265</v>
      </c>
      <c r="M36" s="45"/>
      <c r="N36" s="45"/>
      <c r="O36" s="45"/>
      <c r="P36" s="45" t="s">
        <v>266</v>
      </c>
    </row>
    <row r="37" spans="2:16" x14ac:dyDescent="0.2">
      <c r="B37" t="s">
        <v>267</v>
      </c>
      <c r="E37" s="121">
        <f>I149</f>
        <v>552</v>
      </c>
      <c r="G37" t="s">
        <v>268</v>
      </c>
      <c r="J37" s="124">
        <f>E39/SUM($E$39:$E$42)</f>
        <v>0.86118103928394196</v>
      </c>
      <c r="L37" t="s">
        <v>269</v>
      </c>
      <c r="O37" s="119">
        <f>D31</f>
        <v>0.11502750420017108</v>
      </c>
      <c r="P37" s="5"/>
    </row>
    <row r="38" spans="2:16" x14ac:dyDescent="0.2">
      <c r="B38" t="s">
        <v>270</v>
      </c>
      <c r="E38" s="117">
        <f>C13</f>
        <v>86.39</v>
      </c>
      <c r="G38" t="s">
        <v>271</v>
      </c>
      <c r="J38" s="124">
        <f t="shared" ref="J38:J40" si="4">E40/SUM($E$39:$E$42)</f>
        <v>0</v>
      </c>
      <c r="L38" t="s">
        <v>272</v>
      </c>
      <c r="O38" s="119">
        <f>0</f>
        <v>0</v>
      </c>
      <c r="P38" s="5"/>
    </row>
    <row r="39" spans="2:16" x14ac:dyDescent="0.2">
      <c r="B39" t="s">
        <v>273</v>
      </c>
      <c r="E39" s="122">
        <f>E37*E38</f>
        <v>47687.28</v>
      </c>
      <c r="G39" t="s">
        <v>274</v>
      </c>
      <c r="J39" s="124">
        <f t="shared" si="4"/>
        <v>0.13881896071605807</v>
      </c>
      <c r="L39" t="s">
        <v>275</v>
      </c>
      <c r="O39" s="119">
        <f>I275</f>
        <v>3.0826436367998082E-2</v>
      </c>
      <c r="P39" s="5"/>
    </row>
    <row r="40" spans="2:16" x14ac:dyDescent="0.2">
      <c r="B40" t="s">
        <v>276</v>
      </c>
      <c r="E40" s="117">
        <f>0</f>
        <v>0</v>
      </c>
      <c r="G40" t="s">
        <v>277</v>
      </c>
      <c r="J40" s="124">
        <f t="shared" si="4"/>
        <v>0</v>
      </c>
      <c r="L40" t="s">
        <v>278</v>
      </c>
      <c r="O40" s="119">
        <f>O39*(1-E43)</f>
        <v>2.620247091279837E-2</v>
      </c>
      <c r="P40" s="5"/>
    </row>
    <row r="41" spans="2:16" x14ac:dyDescent="0.2">
      <c r="B41" t="s">
        <v>279</v>
      </c>
      <c r="E41" s="122">
        <f>I169+I171</f>
        <v>7687</v>
      </c>
      <c r="L41" t="s">
        <v>280</v>
      </c>
      <c r="O41" s="119">
        <f>'CAPM Models'!X5</f>
        <v>3.0499999999999999E-2</v>
      </c>
      <c r="P41" s="5" t="s">
        <v>374</v>
      </c>
    </row>
    <row r="42" spans="2:16" x14ac:dyDescent="0.2">
      <c r="B42" t="s">
        <v>281</v>
      </c>
      <c r="E42" s="122">
        <f>I168</f>
        <v>0</v>
      </c>
      <c r="L42" t="s">
        <v>282</v>
      </c>
      <c r="O42" s="119">
        <f>O41*(1-E43)</f>
        <v>2.5925E-2</v>
      </c>
      <c r="P42" s="5"/>
    </row>
    <row r="43" spans="2:16" ht="16" thickBot="1" x14ac:dyDescent="0.25">
      <c r="B43" t="s">
        <v>283</v>
      </c>
      <c r="E43" s="123">
        <f>J108</f>
        <v>0.15</v>
      </c>
      <c r="G43" s="43"/>
      <c r="H43" s="15"/>
      <c r="P43" s="5"/>
    </row>
    <row r="44" spans="2:16" ht="16" thickBot="1" x14ac:dyDescent="0.25">
      <c r="B44" s="91" t="s">
        <v>284</v>
      </c>
      <c r="C44" s="93"/>
      <c r="D44" s="125">
        <f>J37*O37+J38*O38+J39*O40+J40*O42</f>
        <v>0.10269690539364874</v>
      </c>
      <c r="H44" s="43"/>
    </row>
    <row r="46" spans="2:16" x14ac:dyDescent="0.2">
      <c r="B46" s="44" t="s">
        <v>285</v>
      </c>
      <c r="C46" s="45"/>
      <c r="D46" s="45"/>
      <c r="E46" s="45"/>
      <c r="F46" s="45"/>
      <c r="G46" s="45"/>
      <c r="H46" s="45"/>
      <c r="I46" s="45"/>
      <c r="J46" s="87" t="s">
        <v>12</v>
      </c>
      <c r="K46" s="87" t="s">
        <v>13</v>
      </c>
      <c r="L46" s="87" t="s">
        <v>14</v>
      </c>
      <c r="M46" s="87" t="s">
        <v>15</v>
      </c>
      <c r="N46" s="87" t="s">
        <v>16</v>
      </c>
      <c r="O46" s="45"/>
      <c r="P46" s="45"/>
    </row>
    <row r="47" spans="2:16" x14ac:dyDescent="0.2">
      <c r="B47" t="s">
        <v>286</v>
      </c>
      <c r="E47" s="52"/>
      <c r="F47" s="52"/>
      <c r="G47" s="52"/>
      <c r="H47" s="52"/>
      <c r="I47" s="52"/>
      <c r="J47" s="128">
        <f>J201+J204</f>
        <v>901.77055482926357</v>
      </c>
      <c r="K47" s="128">
        <f t="shared" ref="K47:N47" si="5">K201+K204</f>
        <v>1235.9836800161861</v>
      </c>
      <c r="L47" s="128">
        <f t="shared" si="5"/>
        <v>1319.5178106464623</v>
      </c>
      <c r="M47" s="128">
        <f t="shared" si="5"/>
        <v>1423.9990262258359</v>
      </c>
      <c r="N47" s="128">
        <f t="shared" si="5"/>
        <v>1551.8090964250077</v>
      </c>
    </row>
    <row r="48" spans="2:16" x14ac:dyDescent="0.2">
      <c r="B48" t="s">
        <v>287</v>
      </c>
      <c r="D48" s="5">
        <v>7.4999999999999997E-2</v>
      </c>
    </row>
    <row r="49" spans="2:16" x14ac:dyDescent="0.2">
      <c r="B49" t="s">
        <v>288</v>
      </c>
      <c r="D49" s="119">
        <f>D44</f>
        <v>0.10269690539364874</v>
      </c>
    </row>
    <row r="50" spans="2:16" x14ac:dyDescent="0.2">
      <c r="B50" t="s">
        <v>289</v>
      </c>
      <c r="N50" s="122">
        <f>(N47*(1+D48))/(D49-D48)</f>
        <v>60230.367073406749</v>
      </c>
    </row>
    <row r="51" spans="2:16" x14ac:dyDescent="0.2">
      <c r="B51" t="s">
        <v>262</v>
      </c>
      <c r="E51" s="52"/>
      <c r="F51" s="52"/>
      <c r="G51" s="52"/>
      <c r="H51" s="52"/>
      <c r="I51" s="52"/>
      <c r="J51" s="128">
        <f>J47</f>
        <v>901.77055482926357</v>
      </c>
      <c r="K51" s="128">
        <f t="shared" ref="K51:M51" si="6">K47</f>
        <v>1235.9836800161861</v>
      </c>
      <c r="L51" s="128">
        <f t="shared" si="6"/>
        <v>1319.5178106464623</v>
      </c>
      <c r="M51" s="128">
        <f t="shared" si="6"/>
        <v>1423.9990262258359</v>
      </c>
      <c r="N51" s="128">
        <f>N47+N50</f>
        <v>61782.176169831757</v>
      </c>
    </row>
    <row r="52" spans="2:16" x14ac:dyDescent="0.2">
      <c r="B52" t="s">
        <v>290</v>
      </c>
      <c r="D52" s="126">
        <f>NPV(D49,J51:N51)</f>
        <v>41676.562219869964</v>
      </c>
    </row>
    <row r="53" spans="2:16" x14ac:dyDescent="0.2">
      <c r="B53" t="s">
        <v>291</v>
      </c>
      <c r="D53" s="9">
        <v>0.7</v>
      </c>
    </row>
    <row r="54" spans="2:16" x14ac:dyDescent="0.2">
      <c r="B54" t="s">
        <v>292</v>
      </c>
      <c r="D54" s="121">
        <f>I154*D53</f>
        <v>589.4</v>
      </c>
    </row>
    <row r="55" spans="2:16" x14ac:dyDescent="0.2">
      <c r="B55" t="s">
        <v>293</v>
      </c>
      <c r="D55" s="122">
        <f>D52+D54</f>
        <v>42265.962219869965</v>
      </c>
    </row>
    <row r="56" spans="2:16" x14ac:dyDescent="0.2">
      <c r="B56" t="s">
        <v>294</v>
      </c>
      <c r="D56" s="121">
        <f>E40+E41+E42</f>
        <v>7687</v>
      </c>
    </row>
    <row r="57" spans="2:16" ht="16" thickBot="1" x14ac:dyDescent="0.25">
      <c r="B57" t="s">
        <v>295</v>
      </c>
      <c r="D57" s="121">
        <f>D55-D56</f>
        <v>34578.962219869965</v>
      </c>
    </row>
    <row r="58" spans="2:16" ht="16" thickBot="1" x14ac:dyDescent="0.25">
      <c r="B58" s="91" t="s">
        <v>172</v>
      </c>
      <c r="C58" s="92"/>
      <c r="D58" s="127">
        <f>D57/E37</f>
        <v>62.643047499764428</v>
      </c>
    </row>
    <row r="60" spans="2:16" x14ac:dyDescent="0.2">
      <c r="B60" s="44" t="s">
        <v>296</v>
      </c>
      <c r="C60" s="45"/>
      <c r="D60" s="45"/>
      <c r="E60" s="45"/>
      <c r="F60" s="45"/>
      <c r="G60" s="45"/>
      <c r="H60" s="45"/>
      <c r="I60" s="45"/>
      <c r="J60" s="45"/>
      <c r="K60" s="45"/>
      <c r="L60" s="45"/>
      <c r="M60" s="45"/>
      <c r="N60" s="45"/>
      <c r="O60" s="45"/>
      <c r="P60" s="45"/>
    </row>
    <row r="61" spans="2:16" x14ac:dyDescent="0.2">
      <c r="D61" s="149" t="s">
        <v>297</v>
      </c>
      <c r="E61" s="149"/>
      <c r="F61" s="149"/>
      <c r="G61" s="154" t="s">
        <v>298</v>
      </c>
      <c r="H61" s="149"/>
      <c r="I61" s="155"/>
      <c r="J61" s="149" t="s">
        <v>256</v>
      </c>
      <c r="K61" s="149"/>
      <c r="L61" s="149"/>
    </row>
    <row r="62" spans="2:16" x14ac:dyDescent="0.2">
      <c r="D62" s="94" t="s">
        <v>299</v>
      </c>
      <c r="E62" s="94" t="s">
        <v>300</v>
      </c>
      <c r="F62" s="94" t="s">
        <v>301</v>
      </c>
      <c r="G62" s="95" t="s">
        <v>302</v>
      </c>
      <c r="H62" s="94" t="s">
        <v>303</v>
      </c>
      <c r="I62" s="96" t="s">
        <v>304</v>
      </c>
      <c r="J62" s="94" t="s">
        <v>305</v>
      </c>
      <c r="K62" s="94" t="s">
        <v>306</v>
      </c>
      <c r="L62" s="94" t="s">
        <v>307</v>
      </c>
    </row>
    <row r="63" spans="2:16" x14ac:dyDescent="0.2">
      <c r="B63" t="s">
        <v>308</v>
      </c>
      <c r="D63" s="41">
        <v>101.9</v>
      </c>
      <c r="E63" s="97">
        <v>165715</v>
      </c>
      <c r="F63" s="97">
        <v>284365</v>
      </c>
      <c r="G63" s="98">
        <v>26434</v>
      </c>
      <c r="H63" s="99">
        <v>14116</v>
      </c>
      <c r="I63" s="100">
        <v>3162</v>
      </c>
      <c r="J63" s="101">
        <f>F63/G63</f>
        <v>10.757547098433836</v>
      </c>
      <c r="K63" s="101">
        <f>F63/H63</f>
        <v>20.144871068291302</v>
      </c>
      <c r="L63" s="101">
        <f>E63/I63</f>
        <v>52.408285895003161</v>
      </c>
      <c r="M63" s="42"/>
    </row>
    <row r="64" spans="2:16" x14ac:dyDescent="0.2">
      <c r="B64" t="s">
        <v>309</v>
      </c>
      <c r="D64" s="41">
        <v>138.96</v>
      </c>
      <c r="E64" s="97">
        <v>158921</v>
      </c>
      <c r="F64" s="97">
        <v>274666</v>
      </c>
      <c r="G64" s="98">
        <v>33566</v>
      </c>
      <c r="H64" s="99">
        <v>11376</v>
      </c>
      <c r="I64" s="100">
        <v>9043</v>
      </c>
      <c r="J64" s="101">
        <f t="shared" ref="J64:J68" si="7">F64/G64</f>
        <v>8.1828636119883207</v>
      </c>
      <c r="K64" s="101">
        <f t="shared" ref="K64:K68" si="8">F64/H64</f>
        <v>24.144338959212376</v>
      </c>
      <c r="L64" s="101">
        <f t="shared" ref="L64:L68" si="9">E64/I64</f>
        <v>17.573924582550038</v>
      </c>
      <c r="M64" s="42"/>
    </row>
    <row r="65" spans="2:13" x14ac:dyDescent="0.2">
      <c r="B65" t="s">
        <v>310</v>
      </c>
      <c r="D65" s="41">
        <v>177.07</v>
      </c>
      <c r="E65" s="97">
        <v>47740</v>
      </c>
      <c r="F65" s="97">
        <v>98312</v>
      </c>
      <c r="G65" s="98">
        <v>11063</v>
      </c>
      <c r="H65" s="99">
        <v>3845</v>
      </c>
      <c r="I65" s="100">
        <v>1871</v>
      </c>
      <c r="J65" s="101">
        <f t="shared" si="7"/>
        <v>8.8865587996022786</v>
      </c>
      <c r="K65" s="101">
        <f t="shared" si="8"/>
        <v>25.568790637191157</v>
      </c>
      <c r="L65" s="101">
        <f t="shared" si="9"/>
        <v>25.515766969535008</v>
      </c>
      <c r="M65" s="42"/>
    </row>
    <row r="66" spans="2:13" x14ac:dyDescent="0.2">
      <c r="B66" t="s">
        <v>347</v>
      </c>
      <c r="D66" s="41">
        <v>50.71</v>
      </c>
      <c r="E66" s="97">
        <v>205832</v>
      </c>
      <c r="F66" s="97">
        <v>243933</v>
      </c>
      <c r="G66" s="98">
        <v>79024</v>
      </c>
      <c r="H66" s="99">
        <v>28861</v>
      </c>
      <c r="I66" s="100">
        <v>19868</v>
      </c>
      <c r="J66" s="101">
        <f t="shared" si="7"/>
        <v>3.0868217250455556</v>
      </c>
      <c r="K66" s="101">
        <f t="shared" si="8"/>
        <v>8.4519940404005407</v>
      </c>
      <c r="L66" s="101">
        <f t="shared" si="9"/>
        <v>10.359975840547614</v>
      </c>
      <c r="M66" s="42"/>
    </row>
    <row r="67" spans="2:13" x14ac:dyDescent="0.2">
      <c r="B67" t="s">
        <v>349</v>
      </c>
      <c r="D67" s="41">
        <v>294.92</v>
      </c>
      <c r="E67" s="97">
        <v>736120</v>
      </c>
      <c r="F67" s="97">
        <v>768340</v>
      </c>
      <c r="G67" s="98">
        <v>26914</v>
      </c>
      <c r="H67" s="99">
        <v>10652</v>
      </c>
      <c r="I67" s="100">
        <v>9752</v>
      </c>
      <c r="J67" s="101">
        <f t="shared" si="7"/>
        <v>28.547967600505313</v>
      </c>
      <c r="K67" s="101">
        <f t="shared" si="8"/>
        <v>72.131055200901244</v>
      </c>
      <c r="L67" s="101">
        <f t="shared" si="9"/>
        <v>75.484003281378179</v>
      </c>
      <c r="M67" s="42"/>
    </row>
    <row r="68" spans="2:13" x14ac:dyDescent="0.2">
      <c r="B68" t="s">
        <v>350</v>
      </c>
      <c r="D68" s="102">
        <v>92.92</v>
      </c>
      <c r="E68" s="103">
        <v>104070</v>
      </c>
      <c r="F68" s="103">
        <v>111649</v>
      </c>
      <c r="G68" s="104">
        <v>22705</v>
      </c>
      <c r="H68" s="103">
        <v>7298</v>
      </c>
      <c r="I68" s="105">
        <v>4861</v>
      </c>
      <c r="J68" s="106">
        <f t="shared" si="7"/>
        <v>4.9173750275269761</v>
      </c>
      <c r="K68" s="107">
        <f t="shared" si="8"/>
        <v>15.298574952041655</v>
      </c>
      <c r="L68" s="101">
        <f t="shared" si="9"/>
        <v>21.409175066858673</v>
      </c>
      <c r="M68" s="42"/>
    </row>
    <row r="69" spans="2:13" x14ac:dyDescent="0.2">
      <c r="B69" t="s">
        <v>6</v>
      </c>
      <c r="J69" s="129">
        <f>AVERAGE(J63:J68)</f>
        <v>10.72985564385038</v>
      </c>
      <c r="K69" s="129">
        <f t="shared" ref="K69" si="10">AVERAGE(K63:K68)</f>
        <v>27.623270809673045</v>
      </c>
      <c r="L69" s="146">
        <f>AVERAGE(L63:L68)</f>
        <v>33.791855272645442</v>
      </c>
    </row>
    <row r="71" spans="2:13" x14ac:dyDescent="0.2">
      <c r="B71" t="s">
        <v>359</v>
      </c>
      <c r="C71" s="77"/>
      <c r="D71" s="130">
        <f>C13</f>
        <v>86.39</v>
      </c>
      <c r="E71" s="43"/>
      <c r="F71" s="15"/>
      <c r="G71" s="122">
        <f>I132</f>
        <v>6820</v>
      </c>
      <c r="H71" s="122">
        <f>I138+I191+I192</f>
        <v>2252</v>
      </c>
      <c r="I71" s="122">
        <f>I144</f>
        <v>1287</v>
      </c>
      <c r="J71" s="108"/>
      <c r="K71" s="108"/>
    </row>
    <row r="72" spans="2:13" x14ac:dyDescent="0.2">
      <c r="C72" s="77"/>
      <c r="D72" s="43"/>
      <c r="E72" s="43"/>
      <c r="F72" s="22"/>
      <c r="G72" s="22"/>
      <c r="H72" s="22"/>
      <c r="I72" s="101"/>
      <c r="J72" s="101"/>
      <c r="K72" s="101"/>
    </row>
    <row r="73" spans="2:13" x14ac:dyDescent="0.2">
      <c r="B73" s="27" t="s">
        <v>313</v>
      </c>
      <c r="C73" s="77"/>
      <c r="D73" s="43"/>
      <c r="E73" s="43"/>
      <c r="F73" s="22"/>
      <c r="G73" s="22"/>
      <c r="H73" s="22"/>
      <c r="I73" s="101"/>
      <c r="J73" s="101"/>
      <c r="K73" s="101"/>
    </row>
    <row r="74" spans="2:13" x14ac:dyDescent="0.2">
      <c r="B74" t="s">
        <v>314</v>
      </c>
      <c r="D74" s="122">
        <f>G71*J69</f>
        <v>73177.615491059594</v>
      </c>
    </row>
    <row r="75" spans="2:13" ht="16" thickBot="1" x14ac:dyDescent="0.25">
      <c r="B75" t="s">
        <v>315</v>
      </c>
      <c r="D75" s="121">
        <f>D74+D54-D56</f>
        <v>66080.015491059588</v>
      </c>
    </row>
    <row r="76" spans="2:13" ht="16" thickBot="1" x14ac:dyDescent="0.25">
      <c r="B76" s="91" t="s">
        <v>172</v>
      </c>
      <c r="C76" s="92"/>
      <c r="D76" s="127">
        <f>D75/E37</f>
        <v>119.71017299104997</v>
      </c>
    </row>
    <row r="78" spans="2:13" x14ac:dyDescent="0.2">
      <c r="B78" s="27" t="s">
        <v>316</v>
      </c>
    </row>
    <row r="79" spans="2:13" x14ac:dyDescent="0.2">
      <c r="B79" t="s">
        <v>314</v>
      </c>
      <c r="D79" s="122">
        <f>H71*K69</f>
        <v>62207.605863383695</v>
      </c>
    </row>
    <row r="80" spans="2:13" ht="16" thickBot="1" x14ac:dyDescent="0.25">
      <c r="B80" t="s">
        <v>315</v>
      </c>
      <c r="D80" s="121">
        <f>D79+D54-D56</f>
        <v>55110.005863383696</v>
      </c>
    </row>
    <row r="81" spans="2:16" ht="16" thickBot="1" x14ac:dyDescent="0.25">
      <c r="B81" s="91" t="s">
        <v>172</v>
      </c>
      <c r="C81" s="92"/>
      <c r="D81" s="127">
        <f>D80/E37</f>
        <v>99.836967143811037</v>
      </c>
    </row>
    <row r="82" spans="2:16" x14ac:dyDescent="0.2">
      <c r="B82" s="27"/>
      <c r="D82" s="109"/>
    </row>
    <row r="83" spans="2:16" x14ac:dyDescent="0.2">
      <c r="B83" s="27" t="s">
        <v>317</v>
      </c>
    </row>
    <row r="84" spans="2:16" ht="16" thickBot="1" x14ac:dyDescent="0.25">
      <c r="B84" t="s">
        <v>314</v>
      </c>
      <c r="D84" s="122">
        <f>I71*L69</f>
        <v>43490.117735894681</v>
      </c>
    </row>
    <row r="85" spans="2:16" ht="16" thickBot="1" x14ac:dyDescent="0.25">
      <c r="B85" s="91" t="s">
        <v>172</v>
      </c>
      <c r="C85" s="92"/>
      <c r="D85" s="127">
        <f>D84/E37</f>
        <v>78.786445173722242</v>
      </c>
      <c r="E85" s="42"/>
    </row>
    <row r="86" spans="2:16" ht="15" customHeight="1" x14ac:dyDescent="0.2"/>
    <row r="87" spans="2:16" x14ac:dyDescent="0.2">
      <c r="B87" s="1" t="s">
        <v>361</v>
      </c>
      <c r="C87" s="2"/>
      <c r="D87" s="2"/>
      <c r="E87" s="3" t="s">
        <v>1</v>
      </c>
      <c r="F87" s="3" t="s">
        <v>2</v>
      </c>
      <c r="G87" s="3" t="s">
        <v>3</v>
      </c>
      <c r="H87" s="3" t="s">
        <v>4</v>
      </c>
      <c r="I87" s="3" t="s">
        <v>5</v>
      </c>
      <c r="J87" s="3" t="s">
        <v>12</v>
      </c>
      <c r="K87" s="3" t="s">
        <v>13</v>
      </c>
      <c r="L87" s="3" t="s">
        <v>14</v>
      </c>
      <c r="M87" s="3" t="s">
        <v>15</v>
      </c>
      <c r="N87" s="3" t="s">
        <v>16</v>
      </c>
      <c r="O87" s="3"/>
      <c r="P87" s="3"/>
    </row>
    <row r="89" spans="2:16" x14ac:dyDescent="0.2">
      <c r="B89" t="s">
        <v>363</v>
      </c>
      <c r="E89" s="143">
        <f>(E158-E156)/E170</f>
        <v>1.2023809523809523</v>
      </c>
      <c r="F89" s="143">
        <f t="shared" ref="F89:N89" si="11">(F158-F156)/F170</f>
        <v>0.84070796460176989</v>
      </c>
      <c r="G89" s="143">
        <f t="shared" si="11"/>
        <v>1.1840978593272171</v>
      </c>
      <c r="H89" s="143">
        <f t="shared" si="11"/>
        <v>0.73131229235880402</v>
      </c>
      <c r="I89" s="143">
        <f t="shared" si="11"/>
        <v>1.5164520743919885</v>
      </c>
      <c r="J89" s="143">
        <f t="shared" si="11"/>
        <v>1.2206674669893878</v>
      </c>
      <c r="K89" s="143">
        <f t="shared" si="11"/>
        <v>0.54334623290367479</v>
      </c>
      <c r="L89" s="143">
        <f t="shared" si="11"/>
        <v>0.74869664299459626</v>
      </c>
      <c r="M89" s="143">
        <f t="shared" si="11"/>
        <v>0.80170627881546996</v>
      </c>
      <c r="N89" s="143">
        <f t="shared" si="11"/>
        <v>0.72847992301879672</v>
      </c>
    </row>
    <row r="90" spans="2:16" x14ac:dyDescent="0.2">
      <c r="B90" t="s">
        <v>364</v>
      </c>
      <c r="E90" s="143">
        <f>(E168+E169+E171)/E163</f>
        <v>0.3908998215651287</v>
      </c>
      <c r="F90" s="143">
        <f t="shared" ref="F90:N90" si="12">(F168+F169+F171)/F163</f>
        <v>0.64064151177969786</v>
      </c>
      <c r="G90" s="143">
        <f t="shared" si="12"/>
        <v>0.62871352785145884</v>
      </c>
      <c r="H90" s="143">
        <f t="shared" si="12"/>
        <v>0.62324116205810287</v>
      </c>
      <c r="I90" s="143">
        <f t="shared" si="12"/>
        <v>0.53977950986588019</v>
      </c>
      <c r="J90" s="143">
        <f t="shared" si="12"/>
        <v>0.55042890439717362</v>
      </c>
      <c r="K90" s="143">
        <f t="shared" si="12"/>
        <v>0.54125896487876934</v>
      </c>
      <c r="L90" s="143">
        <f t="shared" si="12"/>
        <v>0.53641796533439678</v>
      </c>
      <c r="M90" s="143">
        <f t="shared" si="12"/>
        <v>0.53550128248250484</v>
      </c>
      <c r="N90" s="143">
        <f t="shared" si="12"/>
        <v>0.5379833853581949</v>
      </c>
    </row>
    <row r="91" spans="2:16" x14ac:dyDescent="0.2">
      <c r="B91" t="s">
        <v>365</v>
      </c>
      <c r="E91" s="143">
        <f>E138/E140</f>
        <v>4.7035175879396984</v>
      </c>
      <c r="F91" s="143">
        <f t="shared" ref="F91:N91" si="13">F138/F140</f>
        <v>1.4243027888446216</v>
      </c>
      <c r="G91" s="143">
        <f t="shared" si="13"/>
        <v>1.3038229376257546</v>
      </c>
      <c r="H91" s="143">
        <f t="shared" si="13"/>
        <v>2.8061797752808988</v>
      </c>
      <c r="I91" s="143">
        <f t="shared" si="13"/>
        <v>7.1984435797665371</v>
      </c>
      <c r="J91" s="143">
        <f t="shared" si="13"/>
        <v>3.8732033330306641</v>
      </c>
      <c r="K91" s="143">
        <f t="shared" si="13"/>
        <v>4.1588165775090902</v>
      </c>
      <c r="L91" s="143">
        <f t="shared" si="13"/>
        <v>4.585415343592695</v>
      </c>
      <c r="M91" s="143">
        <f t="shared" si="13"/>
        <v>4.965596849244978</v>
      </c>
      <c r="N91" s="143">
        <f t="shared" si="13"/>
        <v>5.2903495106937282</v>
      </c>
    </row>
    <row r="92" spans="2:16" x14ac:dyDescent="0.2">
      <c r="B92" t="s">
        <v>366</v>
      </c>
      <c r="E92" s="143">
        <f>E133/E156</f>
        <v>3.2773109243697478</v>
      </c>
      <c r="F92" s="143">
        <f t="shared" ref="F92:N92" si="14">F133/F156</f>
        <v>3.4008438818565403</v>
      </c>
      <c r="G92" s="143">
        <f t="shared" si="14"/>
        <v>2.9664233576642336</v>
      </c>
      <c r="H92" s="143">
        <f t="shared" si="14"/>
        <v>3.0962406015037596</v>
      </c>
      <c r="I92" s="143">
        <f t="shared" si="14"/>
        <v>2.7763466042154565</v>
      </c>
      <c r="J92" s="143">
        <f t="shared" si="14"/>
        <v>2.776346604215457</v>
      </c>
      <c r="K92" s="143">
        <f t="shared" si="14"/>
        <v>2.7763466042154565</v>
      </c>
      <c r="L92" s="143">
        <f t="shared" si="14"/>
        <v>2.7763466042154565</v>
      </c>
      <c r="M92" s="143">
        <f t="shared" si="14"/>
        <v>2.7763466042154565</v>
      </c>
      <c r="N92" s="143">
        <f t="shared" si="14"/>
        <v>2.776346604215457</v>
      </c>
    </row>
    <row r="93" spans="2:16" x14ac:dyDescent="0.2">
      <c r="B93" t="s">
        <v>367</v>
      </c>
      <c r="E93" s="143">
        <f>E132/E159</f>
        <v>5.1890482398956976</v>
      </c>
      <c r="F93" s="143">
        <f t="shared" ref="F93:N93" si="15">F132/F159</f>
        <v>5.3704819277108431</v>
      </c>
      <c r="G93" s="143">
        <f t="shared" si="15"/>
        <v>6.0274285714285716</v>
      </c>
      <c r="H93" s="143">
        <f t="shared" si="15"/>
        <v>6.382629107981221</v>
      </c>
      <c r="I93" s="143">
        <f t="shared" si="15"/>
        <v>7.0673575129533681</v>
      </c>
      <c r="J93" s="143">
        <f t="shared" si="15"/>
        <v>5.9437974116967167</v>
      </c>
      <c r="K93" s="143">
        <f t="shared" si="15"/>
        <v>5.9437974116967176</v>
      </c>
      <c r="L93" s="143">
        <f t="shared" si="15"/>
        <v>5.9437974116967176</v>
      </c>
      <c r="M93" s="143">
        <f t="shared" si="15"/>
        <v>5.9437974116967176</v>
      </c>
      <c r="N93" s="143">
        <f t="shared" si="15"/>
        <v>5.9437974116967176</v>
      </c>
    </row>
    <row r="94" spans="2:16" x14ac:dyDescent="0.2">
      <c r="B94" t="s">
        <v>368</v>
      </c>
      <c r="E94" s="143">
        <f>E144/E132</f>
        <v>6.4321608040201012E-2</v>
      </c>
      <c r="F94" s="143">
        <f t="shared" ref="F94:N94" si="16">F144/F132</f>
        <v>6.6741446999439152E-2</v>
      </c>
      <c r="G94" s="143">
        <f t="shared" si="16"/>
        <v>0.10826697004171407</v>
      </c>
      <c r="H94" s="143">
        <f t="shared" si="16"/>
        <v>6.4178006620080913E-2</v>
      </c>
      <c r="I94" s="143">
        <f t="shared" si="16"/>
        <v>0.18870967741935485</v>
      </c>
      <c r="J94" s="143">
        <f t="shared" si="16"/>
        <v>0.10977686129757112</v>
      </c>
      <c r="K94" s="143">
        <f t="shared" si="16"/>
        <v>0.11397077195881981</v>
      </c>
      <c r="L94" s="143">
        <f t="shared" si="16"/>
        <v>0.1187164529614284</v>
      </c>
      <c r="M94" s="143">
        <f t="shared" si="16"/>
        <v>0.12232600532761677</v>
      </c>
      <c r="N94" s="143">
        <f t="shared" si="16"/>
        <v>0.12512702746667895</v>
      </c>
    </row>
    <row r="95" spans="2:16" x14ac:dyDescent="0.2">
      <c r="B95" t="s">
        <v>369</v>
      </c>
      <c r="E95" s="143">
        <f>(E132-E133)/E132</f>
        <v>0.60804020100502509</v>
      </c>
      <c r="F95" s="143">
        <f t="shared" ref="F95:N95" si="17">(F132-F133)/F132</f>
        <v>0.54795288839035339</v>
      </c>
      <c r="G95" s="143">
        <f t="shared" si="17"/>
        <v>0.61471368979901408</v>
      </c>
      <c r="H95" s="143">
        <f t="shared" si="17"/>
        <v>0.62136815005516732</v>
      </c>
      <c r="I95" s="143">
        <f t="shared" si="17"/>
        <v>0.65234604105571847</v>
      </c>
      <c r="J95" s="143">
        <f t="shared" si="17"/>
        <v>0.60888419406105565</v>
      </c>
      <c r="K95" s="143">
        <f t="shared" si="17"/>
        <v>0.60888419406105565</v>
      </c>
      <c r="L95" s="143">
        <f t="shared" si="17"/>
        <v>0.60888419406105576</v>
      </c>
      <c r="M95" s="143">
        <f t="shared" si="17"/>
        <v>0.60888419406105565</v>
      </c>
      <c r="N95" s="143">
        <f t="shared" si="17"/>
        <v>0.60888419406105565</v>
      </c>
    </row>
    <row r="96" spans="2:16" x14ac:dyDescent="0.2">
      <c r="B96" t="s">
        <v>370</v>
      </c>
      <c r="E96" s="143">
        <f>E144/E163</f>
        <v>3.2628090746877392E-2</v>
      </c>
      <c r="F96" s="143">
        <f t="shared" ref="F96:N96" si="18">F144/F163</f>
        <v>2.2191831913967799E-2</v>
      </c>
      <c r="G96" s="143">
        <f t="shared" si="18"/>
        <v>3.7864721485411139E-2</v>
      </c>
      <c r="H96" s="143">
        <f t="shared" si="18"/>
        <v>2.4431221561078055E-2</v>
      </c>
      <c r="I96" s="143">
        <f t="shared" si="18"/>
        <v>9.0372867073941432E-2</v>
      </c>
      <c r="J96" s="143">
        <f t="shared" si="18"/>
        <v>5.5122763351554797E-2</v>
      </c>
      <c r="K96" s="143">
        <f t="shared" si="18"/>
        <v>6.2638020193511071E-2</v>
      </c>
      <c r="L96" s="143">
        <f t="shared" si="18"/>
        <v>7.0643743189738081E-2</v>
      </c>
      <c r="M96" s="143">
        <f t="shared" si="18"/>
        <v>7.8034113816320638E-2</v>
      </c>
      <c r="N96" s="143">
        <f t="shared" si="18"/>
        <v>8.4804654235767551E-2</v>
      </c>
    </row>
    <row r="97" spans="1:16" x14ac:dyDescent="0.2">
      <c r="B97" t="s">
        <v>371</v>
      </c>
      <c r="E97" s="143">
        <f>E144/E181</f>
        <v>8.9167537443399517E-2</v>
      </c>
      <c r="F97" s="143">
        <f t="shared" ref="F97:N97" si="19">F144/F181</f>
        <v>0.11793855302279485</v>
      </c>
      <c r="G97" s="143">
        <f t="shared" si="19"/>
        <v>0.17612584824182603</v>
      </c>
      <c r="H97" s="143">
        <f t="shared" si="19"/>
        <v>0.11100508905852417</v>
      </c>
      <c r="I97" s="143">
        <f t="shared" si="19"/>
        <v>0.32681564245810057</v>
      </c>
      <c r="J97" s="143">
        <f t="shared" si="19"/>
        <v>0.2147008365790071</v>
      </c>
      <c r="K97" s="143">
        <f t="shared" si="19"/>
        <v>0.25289324209040176</v>
      </c>
      <c r="L97" s="143">
        <f t="shared" si="19"/>
        <v>0.30052597310640744</v>
      </c>
      <c r="M97" s="143">
        <f t="shared" si="19"/>
        <v>0.35546634024773432</v>
      </c>
      <c r="N97" s="143">
        <f t="shared" si="19"/>
        <v>0.42034781998058146</v>
      </c>
    </row>
    <row r="98" spans="1:16" x14ac:dyDescent="0.2">
      <c r="B98" t="s">
        <v>362</v>
      </c>
      <c r="E98" s="143">
        <f>((E156/E133)*365)+((E155/E132)*365)-((E166/E133)*365)</f>
        <v>129.31139672722588</v>
      </c>
      <c r="F98" s="143">
        <f t="shared" ref="F98:N98" si="20">((F156/F133)*365)+((F155/F132)*365)-((F166/F133)*365)</f>
        <v>133.25993889537571</v>
      </c>
      <c r="G98" s="143">
        <f t="shared" si="20"/>
        <v>143.49554921782391</v>
      </c>
      <c r="H98" s="143">
        <f t="shared" si="20"/>
        <v>133.04080784564076</v>
      </c>
      <c r="I98" s="143">
        <f t="shared" si="20"/>
        <v>135.88361073627942</v>
      </c>
      <c r="J98" s="143">
        <f t="shared" si="20"/>
        <v>135.88361073627939</v>
      </c>
      <c r="K98" s="143">
        <f t="shared" si="20"/>
        <v>135.88361073627939</v>
      </c>
      <c r="L98" s="143">
        <f t="shared" si="20"/>
        <v>135.88361073627939</v>
      </c>
      <c r="M98" s="143">
        <f t="shared" si="20"/>
        <v>135.88361073627939</v>
      </c>
      <c r="N98" s="143">
        <f t="shared" si="20"/>
        <v>135.88361073627937</v>
      </c>
    </row>
    <row r="100" spans="1:16" x14ac:dyDescent="0.2">
      <c r="A100" t="s">
        <v>10</v>
      </c>
      <c r="B100" s="1" t="s">
        <v>0</v>
      </c>
      <c r="C100" s="2"/>
      <c r="D100" s="2"/>
      <c r="E100" s="3" t="s">
        <v>1</v>
      </c>
      <c r="F100" s="3" t="s">
        <v>2</v>
      </c>
      <c r="G100" s="3" t="s">
        <v>3</v>
      </c>
      <c r="H100" s="3" t="s">
        <v>4</v>
      </c>
      <c r="I100" s="3" t="s">
        <v>5</v>
      </c>
      <c r="J100" s="3" t="s">
        <v>6</v>
      </c>
      <c r="K100" s="3"/>
      <c r="L100" s="4" t="s">
        <v>7</v>
      </c>
      <c r="M100" s="3"/>
      <c r="N100" s="3"/>
      <c r="O100" s="3"/>
      <c r="P100" s="3"/>
    </row>
    <row r="101" spans="1:16" x14ac:dyDescent="0.2">
      <c r="B101" t="s">
        <v>8</v>
      </c>
      <c r="D101" s="5"/>
      <c r="E101" s="12">
        <v>6.8099999999999994E-2</v>
      </c>
      <c r="F101" s="12">
        <v>0.34396984924623109</v>
      </c>
      <c r="G101" s="12">
        <v>-1.4021312394840169E-2</v>
      </c>
      <c r="H101" s="12">
        <v>3.1095942358740913E-2</v>
      </c>
      <c r="I101" s="12">
        <v>0.25413755057006249</v>
      </c>
      <c r="J101" s="8">
        <v>0.13665640595603884</v>
      </c>
      <c r="K101" s="7"/>
      <c r="L101" s="8" t="s">
        <v>9</v>
      </c>
      <c r="M101" s="7"/>
      <c r="N101" s="7"/>
      <c r="O101" s="7"/>
      <c r="P101" s="7"/>
    </row>
    <row r="102" spans="1:16" x14ac:dyDescent="0.2">
      <c r="B102" t="s">
        <v>159</v>
      </c>
      <c r="E102" s="9">
        <v>0.39195979899497485</v>
      </c>
      <c r="F102" s="9">
        <v>0.45204711160964667</v>
      </c>
      <c r="G102" s="9">
        <v>0.38528631020098597</v>
      </c>
      <c r="H102" s="9">
        <v>0.37863184994483268</v>
      </c>
      <c r="I102" s="9">
        <v>0.34765395894428153</v>
      </c>
      <c r="J102" s="8">
        <v>0.39111580593894435</v>
      </c>
      <c r="K102" s="7"/>
      <c r="L102" s="8" t="s">
        <v>132</v>
      </c>
      <c r="M102" s="7"/>
      <c r="N102" s="7"/>
      <c r="O102" s="7"/>
      <c r="P102" s="7"/>
    </row>
    <row r="103" spans="1:16" x14ac:dyDescent="0.2">
      <c r="B103" t="s">
        <v>237</v>
      </c>
      <c r="E103" s="9">
        <v>0.2399497487437186</v>
      </c>
      <c r="F103" s="9">
        <v>0.25986165638437092</v>
      </c>
      <c r="G103" s="9">
        <v>0.32555934774364809</v>
      </c>
      <c r="H103" s="9">
        <v>0.28392791467451267</v>
      </c>
      <c r="I103" s="9">
        <v>0.23607038123167157</v>
      </c>
      <c r="J103" s="8">
        <v>0.26907380975558437</v>
      </c>
      <c r="K103" s="10"/>
      <c r="L103" s="11" t="s">
        <v>135</v>
      </c>
      <c r="M103" s="12"/>
      <c r="N103" s="12"/>
      <c r="O103" s="12"/>
      <c r="P103" s="12"/>
    </row>
    <row r="104" spans="1:16" x14ac:dyDescent="0.2">
      <c r="B104" t="s">
        <v>186</v>
      </c>
      <c r="E104" s="9">
        <v>0.1329145728643216</v>
      </c>
      <c r="F104" s="9">
        <v>0.15442138717517293</v>
      </c>
      <c r="G104" s="9">
        <v>0.16628744785741373</v>
      </c>
      <c r="H104" s="9">
        <v>0.15373299006987864</v>
      </c>
      <c r="I104" s="9">
        <v>0.14501466275659824</v>
      </c>
      <c r="J104" s="8">
        <v>0.15047421214467702</v>
      </c>
      <c r="K104" s="10"/>
      <c r="L104" s="11" t="s">
        <v>133</v>
      </c>
      <c r="M104" s="12"/>
      <c r="N104" s="12"/>
      <c r="O104" s="12"/>
      <c r="P104" s="12"/>
    </row>
    <row r="105" spans="1:16" x14ac:dyDescent="0.2">
      <c r="B105" t="s">
        <v>136</v>
      </c>
      <c r="E105" s="9"/>
      <c r="F105" s="9"/>
      <c r="G105" s="9"/>
      <c r="H105" s="9"/>
      <c r="I105" s="9"/>
      <c r="J105" s="8"/>
      <c r="K105" s="10"/>
      <c r="L105" s="11" t="s">
        <v>137</v>
      </c>
      <c r="M105" s="12"/>
      <c r="N105" s="12"/>
      <c r="O105" s="12"/>
      <c r="P105" s="12"/>
    </row>
    <row r="106" spans="1:16" x14ac:dyDescent="0.2">
      <c r="B106" t="s">
        <v>138</v>
      </c>
      <c r="E106" s="9"/>
      <c r="F106" s="9"/>
      <c r="G106" s="9"/>
      <c r="H106" s="9"/>
      <c r="I106" s="9"/>
      <c r="J106" s="8"/>
      <c r="K106" s="10"/>
      <c r="L106" s="11" t="s">
        <v>139</v>
      </c>
      <c r="M106" s="12"/>
      <c r="N106" s="12"/>
      <c r="O106" s="12"/>
      <c r="P106" s="12"/>
    </row>
    <row r="107" spans="1:16" x14ac:dyDescent="0.2">
      <c r="B107" t="s">
        <v>140</v>
      </c>
      <c r="E107" s="80">
        <v>-22</v>
      </c>
      <c r="F107" s="80">
        <v>-15</v>
      </c>
      <c r="G107" s="80">
        <v>-2</v>
      </c>
      <c r="H107" s="80">
        <v>-303</v>
      </c>
      <c r="I107" s="80">
        <v>-110</v>
      </c>
      <c r="J107" s="16">
        <v>-90.4</v>
      </c>
      <c r="K107" s="10"/>
      <c r="L107" s="11" t="s">
        <v>141</v>
      </c>
      <c r="M107" s="12"/>
      <c r="N107" s="12"/>
      <c r="O107" s="12"/>
      <c r="P107" s="12"/>
    </row>
    <row r="108" spans="1:16" x14ac:dyDescent="0.2">
      <c r="B108" t="s">
        <v>142</v>
      </c>
      <c r="E108" s="9"/>
      <c r="F108" s="9"/>
      <c r="G108" s="9"/>
      <c r="H108" s="9"/>
      <c r="I108" s="9"/>
      <c r="J108" s="8">
        <v>0.15</v>
      </c>
      <c r="K108" s="10"/>
      <c r="L108" s="11" t="s">
        <v>143</v>
      </c>
      <c r="M108" s="12"/>
      <c r="N108" s="12"/>
      <c r="O108" s="12"/>
      <c r="P108" s="12"/>
    </row>
    <row r="109" spans="1:16" x14ac:dyDescent="0.2">
      <c r="B109" t="s">
        <v>188</v>
      </c>
      <c r="E109" s="9"/>
      <c r="F109" s="9"/>
      <c r="G109" s="9"/>
      <c r="H109" s="9"/>
      <c r="I109" s="9"/>
      <c r="J109" s="8">
        <v>0.05</v>
      </c>
      <c r="K109" s="10"/>
      <c r="L109" s="11" t="s">
        <v>189</v>
      </c>
      <c r="M109" s="12"/>
      <c r="N109" s="12"/>
      <c r="O109" s="12"/>
      <c r="P109" s="12"/>
    </row>
    <row r="110" spans="1:16" x14ac:dyDescent="0.2">
      <c r="B110" t="s">
        <v>144</v>
      </c>
      <c r="E110" s="9"/>
      <c r="F110" s="9"/>
      <c r="G110" s="9"/>
      <c r="H110" s="9"/>
      <c r="I110" s="9"/>
      <c r="J110" s="8"/>
      <c r="K110" s="10"/>
      <c r="L110" s="11" t="s">
        <v>167</v>
      </c>
      <c r="M110" s="12"/>
      <c r="N110" s="12"/>
      <c r="O110" s="12"/>
      <c r="P110" s="12"/>
    </row>
    <row r="111" spans="1:16" x14ac:dyDescent="0.2">
      <c r="B111" t="s">
        <v>238</v>
      </c>
      <c r="E111" s="9"/>
      <c r="F111" s="9"/>
      <c r="G111" s="9"/>
      <c r="H111" s="9"/>
      <c r="I111" s="9"/>
      <c r="J111" s="8"/>
      <c r="K111" s="10"/>
      <c r="L111" s="11" t="s">
        <v>146</v>
      </c>
      <c r="M111" s="12"/>
      <c r="N111" s="12"/>
      <c r="O111" s="12"/>
      <c r="P111" s="12"/>
    </row>
    <row r="112" spans="1:16" x14ac:dyDescent="0.2">
      <c r="B112" t="s">
        <v>147</v>
      </c>
      <c r="E112" s="9"/>
      <c r="F112" s="9"/>
      <c r="G112" s="9"/>
      <c r="H112" s="9"/>
      <c r="I112" s="9"/>
      <c r="J112" s="8"/>
      <c r="K112" s="10"/>
      <c r="L112" s="11" t="s">
        <v>148</v>
      </c>
      <c r="M112" s="12"/>
      <c r="N112" s="12"/>
      <c r="O112" s="12"/>
      <c r="P112" s="12"/>
    </row>
    <row r="113" spans="1:16" x14ac:dyDescent="0.2">
      <c r="B113" t="s">
        <v>205</v>
      </c>
      <c r="E113" s="9">
        <v>0.21959798994974875</v>
      </c>
      <c r="F113" s="9">
        <v>0.19966348850252383</v>
      </c>
      <c r="G113" s="9">
        <v>0.19264315510049299</v>
      </c>
      <c r="H113" s="9">
        <v>0.18462670099301215</v>
      </c>
      <c r="I113" s="9">
        <v>0.17170087976539589</v>
      </c>
      <c r="J113" s="11">
        <v>0.19364644286223473</v>
      </c>
      <c r="K113" s="10"/>
      <c r="L113" s="11" t="s">
        <v>206</v>
      </c>
      <c r="M113" s="12"/>
      <c r="N113" s="12"/>
      <c r="O113" s="12"/>
      <c r="P113" s="12"/>
    </row>
    <row r="114" spans="1:16" x14ac:dyDescent="0.2">
      <c r="B114" t="s">
        <v>204</v>
      </c>
      <c r="E114" s="9">
        <v>-0.12242562929061784</v>
      </c>
      <c r="F114" s="9">
        <v>-6.741573033707865E-2</v>
      </c>
      <c r="G114" s="9">
        <v>-0.13877952755905512</v>
      </c>
      <c r="H114" s="9">
        <v>-0.15139442231075698</v>
      </c>
      <c r="I114" s="9">
        <v>-0.17591801878736124</v>
      </c>
      <c r="J114" s="11">
        <v>-0.13118666565697396</v>
      </c>
      <c r="K114" s="10"/>
      <c r="L114" s="11" t="s">
        <v>177</v>
      </c>
      <c r="M114" s="12"/>
      <c r="N114" s="12"/>
      <c r="O114" s="12"/>
      <c r="P114" s="12"/>
    </row>
    <row r="115" spans="1:16" x14ac:dyDescent="0.2">
      <c r="B115" t="s">
        <v>207</v>
      </c>
      <c r="E115" s="9"/>
      <c r="F115" s="9"/>
      <c r="G115" s="9"/>
      <c r="H115" s="9"/>
      <c r="I115" s="9"/>
      <c r="J115" s="8"/>
      <c r="K115" s="10"/>
      <c r="L115" s="11" t="s">
        <v>145</v>
      </c>
      <c r="M115" s="12"/>
      <c r="N115" s="12"/>
      <c r="O115" s="12"/>
      <c r="P115" s="12"/>
    </row>
    <row r="116" spans="1:16" x14ac:dyDescent="0.2">
      <c r="B116" t="s">
        <v>209</v>
      </c>
      <c r="E116" s="9"/>
      <c r="F116" s="9"/>
      <c r="G116" s="9"/>
      <c r="H116" s="9"/>
      <c r="I116" s="9"/>
      <c r="J116" s="8"/>
      <c r="K116" s="10"/>
      <c r="L116" s="11" t="s">
        <v>178</v>
      </c>
      <c r="M116" s="12"/>
      <c r="N116" s="12"/>
      <c r="O116" s="12"/>
      <c r="P116" s="12"/>
    </row>
    <row r="117" spans="1:16" x14ac:dyDescent="0.2">
      <c r="B117" t="s">
        <v>208</v>
      </c>
      <c r="E117" s="9">
        <v>-0.21326577614002765</v>
      </c>
      <c r="F117" s="9">
        <v>-8.6702849389416553E-2</v>
      </c>
      <c r="G117" s="9">
        <v>-0.1492007104795737</v>
      </c>
      <c r="H117" s="9">
        <v>-0.1539671443551206</v>
      </c>
      <c r="I117" s="9">
        <v>-4.5730284647690154E-2</v>
      </c>
      <c r="J117" s="11">
        <v>-0.12977335300236573</v>
      </c>
      <c r="K117" s="10"/>
      <c r="L117" s="11" t="s">
        <v>179</v>
      </c>
      <c r="M117" s="12"/>
      <c r="N117" s="12"/>
      <c r="O117" s="12"/>
      <c r="P117" s="12"/>
    </row>
    <row r="118" spans="1:16" x14ac:dyDescent="0.2">
      <c r="B118" t="s">
        <v>149</v>
      </c>
      <c r="E118" s="9"/>
      <c r="F118" s="9"/>
      <c r="G118" s="9"/>
      <c r="H118" s="9"/>
      <c r="I118" s="9"/>
      <c r="J118" s="8"/>
      <c r="K118" s="10"/>
      <c r="L118" s="11" t="s">
        <v>150</v>
      </c>
      <c r="M118" s="12"/>
      <c r="N118" s="12"/>
      <c r="O118" s="12"/>
      <c r="P118" s="12"/>
    </row>
    <row r="119" spans="1:16" x14ac:dyDescent="0.2">
      <c r="B119" t="s">
        <v>151</v>
      </c>
      <c r="E119" s="9"/>
      <c r="F119" s="9"/>
      <c r="G119" s="9"/>
      <c r="H119" s="9"/>
      <c r="I119" s="9"/>
      <c r="J119" s="8"/>
      <c r="K119" s="10"/>
      <c r="L119" s="11" t="s">
        <v>152</v>
      </c>
      <c r="M119" s="12"/>
      <c r="N119" s="12"/>
      <c r="O119" s="12"/>
      <c r="P119" s="12"/>
    </row>
    <row r="120" spans="1:16" x14ac:dyDescent="0.2">
      <c r="B120" t="s">
        <v>153</v>
      </c>
      <c r="E120" s="9"/>
      <c r="F120" s="9"/>
      <c r="G120" s="9"/>
      <c r="H120" s="9"/>
      <c r="I120" s="9"/>
      <c r="J120" s="8"/>
      <c r="K120" s="10"/>
      <c r="L120" s="11" t="s">
        <v>154</v>
      </c>
      <c r="M120" s="12"/>
      <c r="N120" s="12"/>
      <c r="O120" s="12"/>
      <c r="P120" s="12"/>
    </row>
    <row r="121" spans="1:16" x14ac:dyDescent="0.2">
      <c r="B121" t="s">
        <v>155</v>
      </c>
      <c r="E121" s="9"/>
      <c r="F121" s="9"/>
      <c r="G121" s="9"/>
      <c r="H121" s="9"/>
      <c r="I121" s="9"/>
      <c r="J121" s="8"/>
      <c r="K121" s="10"/>
      <c r="L121" s="11" t="s">
        <v>145</v>
      </c>
      <c r="M121" s="12"/>
      <c r="N121" s="12"/>
      <c r="O121" s="12"/>
      <c r="P121" s="12"/>
    </row>
    <row r="122" spans="1:16" x14ac:dyDescent="0.2">
      <c r="B122" t="s">
        <v>156</v>
      </c>
      <c r="E122" s="9">
        <v>-1.31640625</v>
      </c>
      <c r="F122" s="9">
        <v>-0.96358543417366949</v>
      </c>
      <c r="G122" s="9">
        <v>-0.61295971978984243</v>
      </c>
      <c r="H122" s="9">
        <v>-1.1146131805157593</v>
      </c>
      <c r="I122" s="9">
        <v>-0.39083139083139085</v>
      </c>
      <c r="J122" s="8">
        <v>-0.87967919506213244</v>
      </c>
      <c r="K122" s="10"/>
      <c r="L122" s="11" t="s">
        <v>160</v>
      </c>
      <c r="M122" s="12"/>
      <c r="N122" s="12"/>
      <c r="O122" s="12"/>
      <c r="P122" s="12"/>
    </row>
    <row r="123" spans="1:16" x14ac:dyDescent="0.2">
      <c r="B123" t="s">
        <v>161</v>
      </c>
      <c r="E123" s="9">
        <v>-0.390625</v>
      </c>
      <c r="F123" s="9">
        <v>-0.15126050420168066</v>
      </c>
      <c r="G123" s="9">
        <v>-0.15236427320490367</v>
      </c>
      <c r="H123" s="9">
        <v>-0.35816618911174786</v>
      </c>
      <c r="I123" s="9">
        <v>-0.14374514374514374</v>
      </c>
      <c r="J123" s="8">
        <v>-0.23923222205269518</v>
      </c>
      <c r="K123" s="10"/>
      <c r="L123" s="11" t="s">
        <v>162</v>
      </c>
      <c r="M123" s="12"/>
      <c r="N123" s="12"/>
      <c r="O123" s="12"/>
      <c r="P123" s="12"/>
    </row>
    <row r="124" spans="1:16" x14ac:dyDescent="0.2">
      <c r="B124" t="s">
        <v>163</v>
      </c>
      <c r="E124" s="13">
        <v>69</v>
      </c>
      <c r="F124" s="13">
        <v>80</v>
      </c>
      <c r="G124" s="13">
        <v>81</v>
      </c>
      <c r="H124" s="13">
        <v>67</v>
      </c>
      <c r="I124" s="13">
        <v>63</v>
      </c>
      <c r="J124" s="16">
        <v>72</v>
      </c>
      <c r="K124" s="10"/>
      <c r="L124" s="11" t="s">
        <v>164</v>
      </c>
      <c r="M124" s="12"/>
      <c r="N124" s="12"/>
      <c r="O124" s="12"/>
      <c r="P124" s="12"/>
    </row>
    <row r="125" spans="1:16" x14ac:dyDescent="0.2">
      <c r="B125" t="s">
        <v>165</v>
      </c>
      <c r="E125" s="13">
        <v>25</v>
      </c>
      <c r="F125" s="13">
        <v>117</v>
      </c>
      <c r="G125" s="13">
        <v>0</v>
      </c>
      <c r="H125" s="13">
        <v>0</v>
      </c>
      <c r="I125" s="13">
        <v>132</v>
      </c>
      <c r="J125" s="16">
        <v>54.8</v>
      </c>
      <c r="K125" s="10"/>
      <c r="L125" s="11" t="s">
        <v>166</v>
      </c>
      <c r="M125" s="12"/>
      <c r="N125" s="12"/>
      <c r="O125" s="12"/>
      <c r="P125" s="12"/>
    </row>
    <row r="126" spans="1:16" x14ac:dyDescent="0.2">
      <c r="B126" t="s">
        <v>183</v>
      </c>
      <c r="E126" s="9">
        <v>0.4376884422110553</v>
      </c>
      <c r="F126" s="9">
        <v>0.17274256870443072</v>
      </c>
      <c r="G126" s="9">
        <v>0.15320439893818733</v>
      </c>
      <c r="H126" s="9">
        <v>0.10371460095623392</v>
      </c>
      <c r="I126" s="9">
        <v>0.12346041055718475</v>
      </c>
      <c r="J126" s="11">
        <v>0.19816208427341839</v>
      </c>
      <c r="K126" s="10"/>
      <c r="L126" s="11" t="s">
        <v>184</v>
      </c>
      <c r="M126" s="12"/>
      <c r="N126" s="12"/>
      <c r="O126" s="12"/>
      <c r="P126" s="12"/>
    </row>
    <row r="127" spans="1:16" x14ac:dyDescent="0.2">
      <c r="E127" s="9"/>
      <c r="F127" s="9"/>
      <c r="G127" s="9"/>
      <c r="H127" s="9"/>
      <c r="I127" s="9"/>
      <c r="J127" s="11"/>
      <c r="K127" s="10"/>
      <c r="L127" s="11"/>
      <c r="M127" s="12"/>
      <c r="N127" s="12"/>
      <c r="O127" s="12"/>
      <c r="P127" s="12"/>
    </row>
    <row r="128" spans="1:16" x14ac:dyDescent="0.2">
      <c r="A128" t="s">
        <v>10</v>
      </c>
      <c r="B128" s="1" t="s">
        <v>11</v>
      </c>
      <c r="C128" s="2"/>
      <c r="D128" s="2"/>
      <c r="E128" s="3" t="s">
        <v>1</v>
      </c>
      <c r="F128" s="3" t="s">
        <v>2</v>
      </c>
      <c r="G128" s="3" t="s">
        <v>3</v>
      </c>
      <c r="H128" s="3" t="s">
        <v>4</v>
      </c>
      <c r="I128" s="3" t="s">
        <v>5</v>
      </c>
      <c r="J128" s="3" t="s">
        <v>12</v>
      </c>
      <c r="K128" s="3" t="s">
        <v>13</v>
      </c>
      <c r="L128" s="3" t="s">
        <v>14</v>
      </c>
      <c r="M128" s="3" t="s">
        <v>15</v>
      </c>
      <c r="N128" s="3" t="s">
        <v>16</v>
      </c>
      <c r="O128" s="3"/>
      <c r="P128" s="3"/>
    </row>
    <row r="129" spans="2:20" x14ac:dyDescent="0.2">
      <c r="B129" s="17"/>
      <c r="E129" s="18"/>
      <c r="F129" s="18"/>
      <c r="G129" s="18"/>
      <c r="H129" s="18"/>
      <c r="I129" s="18"/>
      <c r="J129" s="18"/>
      <c r="K129" s="18"/>
      <c r="L129" s="18"/>
      <c r="M129" s="18"/>
      <c r="N129" s="18"/>
      <c r="O129" s="18"/>
      <c r="P129" s="18"/>
    </row>
    <row r="130" spans="2:20" x14ac:dyDescent="0.2">
      <c r="B130" s="19" t="s">
        <v>17</v>
      </c>
      <c r="E130" s="20">
        <v>3980</v>
      </c>
      <c r="F130" s="20">
        <v>5349</v>
      </c>
      <c r="G130" s="20">
        <v>5274</v>
      </c>
      <c r="H130" s="20">
        <v>5438</v>
      </c>
      <c r="I130" s="20">
        <v>6820</v>
      </c>
      <c r="J130" s="21">
        <v>7751.9966886201855</v>
      </c>
      <c r="K130" s="21">
        <v>8811.3566950701352</v>
      </c>
      <c r="L130" s="21">
        <v>10015.485032615101</v>
      </c>
      <c r="M130" s="21">
        <v>11384.165221078782</v>
      </c>
      <c r="N130" s="21">
        <v>12939.884325001143</v>
      </c>
      <c r="O130" s="15"/>
      <c r="P130" s="22"/>
    </row>
    <row r="131" spans="2:20" x14ac:dyDescent="0.2">
      <c r="B131" s="23" t="s">
        <v>18</v>
      </c>
      <c r="C131" s="24"/>
      <c r="D131" s="24"/>
      <c r="E131" s="25">
        <v>6.8099999999999994E-2</v>
      </c>
      <c r="F131" s="26">
        <v>0.34396984924623109</v>
      </c>
      <c r="G131" s="26">
        <v>-1.4021312394840169E-2</v>
      </c>
      <c r="H131" s="26">
        <v>3.1095942358740913E-2</v>
      </c>
      <c r="I131" s="26">
        <v>0.25413755057006249</v>
      </c>
      <c r="J131" s="26">
        <v>0.1366564059560389</v>
      </c>
      <c r="K131" s="26">
        <v>0.1366564059560389</v>
      </c>
      <c r="L131" s="26">
        <v>0.1366564059560389</v>
      </c>
      <c r="M131" s="26">
        <v>0.1366564059560389</v>
      </c>
      <c r="N131" s="26">
        <v>0.1366564059560389</v>
      </c>
      <c r="O131" s="15"/>
      <c r="P131" s="22"/>
    </row>
    <row r="132" spans="2:20" x14ac:dyDescent="0.2">
      <c r="B132" s="27" t="s">
        <v>19</v>
      </c>
      <c r="E132" s="28">
        <v>3980</v>
      </c>
      <c r="F132" s="28">
        <v>5349</v>
      </c>
      <c r="G132" s="28">
        <v>5274</v>
      </c>
      <c r="H132" s="28">
        <v>5438</v>
      </c>
      <c r="I132" s="28">
        <v>6820</v>
      </c>
      <c r="J132" s="28">
        <v>7751.9966886201855</v>
      </c>
      <c r="K132" s="28">
        <v>8811.3566950701352</v>
      </c>
      <c r="L132" s="28">
        <v>10015.485032615101</v>
      </c>
      <c r="M132" s="28">
        <v>11384.165221078782</v>
      </c>
      <c r="N132" s="28">
        <v>12939.884325001143</v>
      </c>
      <c r="O132" s="28"/>
      <c r="P132" s="29"/>
    </row>
    <row r="133" spans="2:20" x14ac:dyDescent="0.2">
      <c r="B133" t="s">
        <v>20</v>
      </c>
      <c r="E133" s="30">
        <v>1560</v>
      </c>
      <c r="F133" s="30">
        <v>2418</v>
      </c>
      <c r="G133" s="30">
        <v>2032</v>
      </c>
      <c r="H133" s="30">
        <v>2059</v>
      </c>
      <c r="I133" s="30">
        <v>2371</v>
      </c>
      <c r="J133" s="31">
        <v>3031.9284325057115</v>
      </c>
      <c r="K133" s="31">
        <v>3446.260875207869</v>
      </c>
      <c r="L133" s="31">
        <v>3917.2145004006893</v>
      </c>
      <c r="M133" s="31">
        <v>4452.5269553843282</v>
      </c>
      <c r="N133" s="31">
        <v>5060.993286529535</v>
      </c>
      <c r="O133" s="31"/>
      <c r="P133" s="32"/>
    </row>
    <row r="134" spans="2:20" x14ac:dyDescent="0.2">
      <c r="B134" s="23" t="s">
        <v>18</v>
      </c>
      <c r="C134" s="24"/>
      <c r="D134" s="24"/>
      <c r="E134" s="25">
        <v>0.20133414190418431</v>
      </c>
      <c r="F134" s="26">
        <v>0.55000000000000004</v>
      </c>
      <c r="G134" s="26">
        <v>-0.15963606286186927</v>
      </c>
      <c r="H134" s="26">
        <v>1.3287401574803237E-2</v>
      </c>
      <c r="I134" s="26">
        <v>0.1515298688683826</v>
      </c>
      <c r="J134" s="26">
        <v>0.27875513812978125</v>
      </c>
      <c r="K134" s="26">
        <v>0.13665640595603912</v>
      </c>
      <c r="L134" s="26">
        <v>0.1366564059560389</v>
      </c>
      <c r="M134" s="26">
        <v>0.1366564059560389</v>
      </c>
      <c r="N134" s="26">
        <v>0.1366564059560389</v>
      </c>
      <c r="O134" s="31"/>
      <c r="P134" s="32"/>
    </row>
    <row r="135" spans="2:20" x14ac:dyDescent="0.2">
      <c r="B135" s="27" t="s">
        <v>21</v>
      </c>
      <c r="E135" s="28">
        <v>2420</v>
      </c>
      <c r="F135" s="28">
        <v>2931</v>
      </c>
      <c r="G135" s="28">
        <v>3242</v>
      </c>
      <c r="H135" s="28">
        <v>3379</v>
      </c>
      <c r="I135" s="28">
        <v>4449</v>
      </c>
      <c r="J135" s="28">
        <v>4720.068256114474</v>
      </c>
      <c r="K135" s="28">
        <v>5365.0958198622666</v>
      </c>
      <c r="L135" s="28">
        <v>6098.270532214412</v>
      </c>
      <c r="M135" s="28">
        <v>6931.6382656944534</v>
      </c>
      <c r="N135" s="28">
        <v>7878.8910384716082</v>
      </c>
      <c r="O135" s="28"/>
      <c r="P135" s="33"/>
      <c r="R135" s="34"/>
      <c r="S135" s="34"/>
      <c r="T135" s="34"/>
    </row>
    <row r="136" spans="2:20" x14ac:dyDescent="0.2">
      <c r="B136" t="s">
        <v>134</v>
      </c>
      <c r="E136" s="35">
        <v>955</v>
      </c>
      <c r="F136" s="35">
        <v>1390</v>
      </c>
      <c r="G136" s="35">
        <v>1717</v>
      </c>
      <c r="H136" s="35">
        <v>1544</v>
      </c>
      <c r="I136" s="35">
        <v>1610</v>
      </c>
      <c r="J136" s="31">
        <v>2085.8592822197079</v>
      </c>
      <c r="K136" s="31">
        <v>2370.9053150578961</v>
      </c>
      <c r="L136" s="31">
        <v>2694.9047142757786</v>
      </c>
      <c r="M136" s="31">
        <v>3063.180706922692</v>
      </c>
      <c r="N136" s="31">
        <v>3481.7839731246258</v>
      </c>
      <c r="O136" s="28"/>
      <c r="P136" s="33"/>
      <c r="R136" s="34"/>
      <c r="S136" s="34"/>
      <c r="T136" s="34"/>
    </row>
    <row r="137" spans="2:20" x14ac:dyDescent="0.2">
      <c r="B137" s="24" t="s">
        <v>22</v>
      </c>
      <c r="C137" s="24"/>
      <c r="D137" s="24"/>
      <c r="E137" s="36">
        <v>529</v>
      </c>
      <c r="F137" s="36">
        <v>826</v>
      </c>
      <c r="G137" s="36">
        <v>877</v>
      </c>
      <c r="H137" s="36">
        <v>836</v>
      </c>
      <c r="I137" s="36">
        <v>989</v>
      </c>
      <c r="J137" s="37">
        <v>1166.4755942682675</v>
      </c>
      <c r="K137" s="37">
        <v>1325.8819566164036</v>
      </c>
      <c r="L137" s="37">
        <v>1507.0722195295621</v>
      </c>
      <c r="M137" s="37">
        <v>1713.0232925666626</v>
      </c>
      <c r="N137" s="37">
        <v>1947.1188990478029</v>
      </c>
      <c r="O137" s="28"/>
      <c r="P137" s="33"/>
      <c r="R137" s="34"/>
      <c r="S137" s="34"/>
      <c r="T137" s="34"/>
    </row>
    <row r="138" spans="2:20" x14ac:dyDescent="0.2">
      <c r="B138" s="27" t="s">
        <v>23</v>
      </c>
      <c r="E138" s="28">
        <v>936</v>
      </c>
      <c r="F138" s="28">
        <v>715</v>
      </c>
      <c r="G138" s="28">
        <v>648</v>
      </c>
      <c r="H138" s="28">
        <v>999</v>
      </c>
      <c r="I138" s="28">
        <v>1850</v>
      </c>
      <c r="J138" s="28">
        <v>1467.7333796264986</v>
      </c>
      <c r="K138" s="28">
        <v>1668.3085481879668</v>
      </c>
      <c r="L138" s="28">
        <v>1896.2935984090714</v>
      </c>
      <c r="M138" s="28">
        <v>2155.4342662050985</v>
      </c>
      <c r="N138" s="28">
        <v>2449.9881662991793</v>
      </c>
      <c r="O138" s="28"/>
      <c r="P138" s="29"/>
    </row>
    <row r="139" spans="2:20" x14ac:dyDescent="0.2">
      <c r="B139" t="s">
        <v>24</v>
      </c>
      <c r="E139" s="38">
        <v>22</v>
      </c>
      <c r="F139" s="38">
        <v>8</v>
      </c>
      <c r="G139" s="38">
        <v>2</v>
      </c>
      <c r="H139" s="38">
        <v>1</v>
      </c>
      <c r="I139" s="38">
        <v>1</v>
      </c>
      <c r="J139" s="15">
        <v>2.7767725652265751</v>
      </c>
      <c r="K139" s="15">
        <v>4.6967188711006207</v>
      </c>
      <c r="L139" s="15">
        <v>6.4822207752494521</v>
      </c>
      <c r="M139" s="15">
        <v>7.3680577690086109</v>
      </c>
      <c r="N139" s="15">
        <v>8.3749500625977973</v>
      </c>
      <c r="O139" s="15"/>
      <c r="P139" s="22"/>
    </row>
    <row r="140" spans="2:20" x14ac:dyDescent="0.2">
      <c r="B140" t="s">
        <v>25</v>
      </c>
      <c r="E140" s="38">
        <v>199</v>
      </c>
      <c r="F140" s="38">
        <v>502</v>
      </c>
      <c r="G140" s="38">
        <v>497</v>
      </c>
      <c r="H140" s="38">
        <v>356</v>
      </c>
      <c r="I140" s="38">
        <v>257</v>
      </c>
      <c r="J140" s="15">
        <v>378.94560482009132</v>
      </c>
      <c r="K140" s="15">
        <v>401.1498264218219</v>
      </c>
      <c r="L140" s="15">
        <v>413.54892770156698</v>
      </c>
      <c r="M140" s="15">
        <v>434.07355281628099</v>
      </c>
      <c r="N140" s="15">
        <v>463.10516183228702</v>
      </c>
      <c r="O140" s="15"/>
      <c r="P140" s="22"/>
    </row>
    <row r="141" spans="2:20" x14ac:dyDescent="0.2">
      <c r="B141" s="24" t="s">
        <v>26</v>
      </c>
      <c r="C141" s="24"/>
      <c r="D141" s="24"/>
      <c r="E141" s="36">
        <v>-22</v>
      </c>
      <c r="F141" s="36">
        <v>-15</v>
      </c>
      <c r="G141" s="36">
        <v>-2</v>
      </c>
      <c r="H141" s="36">
        <v>-303</v>
      </c>
      <c r="I141" s="36">
        <v>-110</v>
      </c>
      <c r="J141" s="37">
        <v>-90.4</v>
      </c>
      <c r="K141" s="37">
        <v>-90.4</v>
      </c>
      <c r="L141" s="37">
        <v>-90.4</v>
      </c>
      <c r="M141" s="37">
        <v>-90.4</v>
      </c>
      <c r="N141" s="37">
        <v>-90.4</v>
      </c>
      <c r="O141" s="31"/>
      <c r="P141" s="39"/>
    </row>
    <row r="142" spans="2:20" x14ac:dyDescent="0.2">
      <c r="B142" s="27" t="s">
        <v>27</v>
      </c>
      <c r="E142" s="28">
        <v>737</v>
      </c>
      <c r="F142" s="28">
        <v>206</v>
      </c>
      <c r="G142" s="28">
        <v>151</v>
      </c>
      <c r="H142" s="28">
        <v>341</v>
      </c>
      <c r="I142" s="28">
        <v>1484</v>
      </c>
      <c r="J142" s="28">
        <v>1001.1645473716338</v>
      </c>
      <c r="K142" s="28">
        <v>1181.4554406372454</v>
      </c>
      <c r="L142" s="28">
        <v>1398.8268914827538</v>
      </c>
      <c r="M142" s="28">
        <v>1638.3287711578264</v>
      </c>
      <c r="N142" s="28">
        <v>1904.8579545294899</v>
      </c>
      <c r="O142" s="28"/>
      <c r="P142" s="29"/>
    </row>
    <row r="143" spans="2:20" x14ac:dyDescent="0.2">
      <c r="B143" s="24" t="s">
        <v>28</v>
      </c>
      <c r="C143" s="24"/>
      <c r="D143" s="24"/>
      <c r="E143" s="36">
        <v>481</v>
      </c>
      <c r="F143" s="36">
        <v>-151</v>
      </c>
      <c r="G143" s="36">
        <v>-420</v>
      </c>
      <c r="H143" s="36">
        <v>-8</v>
      </c>
      <c r="I143" s="36">
        <v>197</v>
      </c>
      <c r="J143" s="37">
        <v>150.17468210574506</v>
      </c>
      <c r="K143" s="37">
        <v>177.2183160955868</v>
      </c>
      <c r="L143" s="37">
        <v>209.82403372241308</v>
      </c>
      <c r="M143" s="37">
        <v>245.74931567367395</v>
      </c>
      <c r="N143" s="37">
        <v>285.72869317942349</v>
      </c>
      <c r="O143" s="31"/>
      <c r="P143" s="39"/>
    </row>
    <row r="144" spans="2:20" x14ac:dyDescent="0.2">
      <c r="B144" s="27" t="s">
        <v>29</v>
      </c>
      <c r="E144" s="28">
        <v>256</v>
      </c>
      <c r="F144" s="28">
        <v>357</v>
      </c>
      <c r="G144" s="28">
        <v>571</v>
      </c>
      <c r="H144" s="28">
        <v>349</v>
      </c>
      <c r="I144" s="28">
        <v>1287</v>
      </c>
      <c r="J144" s="28">
        <v>850.98986526588874</v>
      </c>
      <c r="K144" s="28">
        <v>1004.2371245416585</v>
      </c>
      <c r="L144" s="28">
        <v>1189.0028577603407</v>
      </c>
      <c r="M144" s="28">
        <v>1392.5794554841525</v>
      </c>
      <c r="N144" s="28">
        <v>1619.1292613500664</v>
      </c>
      <c r="O144" s="31"/>
      <c r="P144" s="39"/>
    </row>
    <row r="145" spans="1:19" x14ac:dyDescent="0.2">
      <c r="O145" s="15"/>
      <c r="P145" s="22"/>
    </row>
    <row r="146" spans="1:19" x14ac:dyDescent="0.2">
      <c r="B146" t="s">
        <v>30</v>
      </c>
      <c r="E146" s="40">
        <v>1.103448275862069</v>
      </c>
      <c r="F146" s="40">
        <v>1.5127118644067796</v>
      </c>
      <c r="G146" s="40">
        <v>1.1970649895178198</v>
      </c>
      <c r="H146" s="40">
        <v>0.67244701348747593</v>
      </c>
      <c r="I146" s="40">
        <v>2.3315217391304346</v>
      </c>
      <c r="J146" s="40">
        <v>1.5441346119058812</v>
      </c>
      <c r="K146" s="40">
        <v>1.8265564982768681</v>
      </c>
      <c r="L146" s="40">
        <v>2.1698194793785759</v>
      </c>
      <c r="M146" s="40">
        <v>2.5524538176959388</v>
      </c>
      <c r="N146" s="40">
        <v>2.9841925196030137</v>
      </c>
      <c r="O146" s="40"/>
      <c r="P146" s="41"/>
    </row>
    <row r="147" spans="1:19" x14ac:dyDescent="0.2">
      <c r="B147" t="s">
        <v>31</v>
      </c>
      <c r="E147" s="40">
        <v>1.032258064516129</v>
      </c>
      <c r="F147" s="40">
        <v>1.4337349397590362</v>
      </c>
      <c r="G147" s="40">
        <v>1.115234375</v>
      </c>
      <c r="H147" s="40">
        <v>0.64510166358595189</v>
      </c>
      <c r="I147" s="40">
        <v>2.2778761061946904</v>
      </c>
      <c r="J147" s="40">
        <v>1.5085498721069837</v>
      </c>
      <c r="K147" s="40">
        <v>1.7843651007712282</v>
      </c>
      <c r="L147" s="40">
        <v>2.1195360527260365</v>
      </c>
      <c r="M147" s="40">
        <v>2.4930502814131552</v>
      </c>
      <c r="N147" s="40">
        <v>2.9143640585909885</v>
      </c>
      <c r="O147" s="40"/>
      <c r="P147" s="41"/>
    </row>
    <row r="149" spans="1:19" x14ac:dyDescent="0.2">
      <c r="B149" t="s">
        <v>32</v>
      </c>
      <c r="D149" s="42"/>
      <c r="E149" s="38">
        <v>232</v>
      </c>
      <c r="F149" s="38">
        <v>236</v>
      </c>
      <c r="G149" s="38">
        <v>477</v>
      </c>
      <c r="H149" s="38">
        <v>519</v>
      </c>
      <c r="I149" s="38">
        <v>552</v>
      </c>
      <c r="J149" s="43">
        <v>551.11119115161614</v>
      </c>
      <c r="K149" s="43">
        <v>549.79800815853935</v>
      </c>
      <c r="L149" s="43">
        <v>547.97316968546363</v>
      </c>
      <c r="M149" s="43">
        <v>545.58458446124314</v>
      </c>
      <c r="N149" s="43">
        <v>542.56863480291099</v>
      </c>
      <c r="O149" s="43"/>
      <c r="P149" s="43"/>
    </row>
    <row r="150" spans="1:19" x14ac:dyDescent="0.2">
      <c r="B150" t="s">
        <v>33</v>
      </c>
      <c r="D150" s="42"/>
      <c r="E150" s="38">
        <v>248</v>
      </c>
      <c r="F150" s="38">
        <v>249</v>
      </c>
      <c r="G150" s="38">
        <v>512</v>
      </c>
      <c r="H150" s="38">
        <v>541</v>
      </c>
      <c r="I150" s="38">
        <v>565</v>
      </c>
      <c r="J150" s="43">
        <v>564.11119115161614</v>
      </c>
      <c r="K150" s="43">
        <v>562.79800815853935</v>
      </c>
      <c r="L150" s="43">
        <v>560.97316968546363</v>
      </c>
      <c r="M150" s="43">
        <v>558.58458446124314</v>
      </c>
      <c r="N150" s="43">
        <v>555.56863480291099</v>
      </c>
      <c r="O150" s="43"/>
      <c r="P150" s="43"/>
    </row>
    <row r="151" spans="1:19" x14ac:dyDescent="0.2">
      <c r="E151" s="46"/>
      <c r="F151" s="46"/>
      <c r="G151" s="46"/>
      <c r="H151" s="46"/>
      <c r="I151" s="46"/>
    </row>
    <row r="152" spans="1:19" x14ac:dyDescent="0.2">
      <c r="A152" t="s">
        <v>10</v>
      </c>
      <c r="B152" s="1" t="s">
        <v>34</v>
      </c>
      <c r="C152" s="2"/>
      <c r="D152" s="2"/>
      <c r="E152" s="3" t="s">
        <v>1</v>
      </c>
      <c r="F152" s="3" t="s">
        <v>2</v>
      </c>
      <c r="G152" s="3" t="s">
        <v>3</v>
      </c>
      <c r="H152" s="3" t="s">
        <v>4</v>
      </c>
      <c r="I152" s="3" t="s">
        <v>5</v>
      </c>
      <c r="J152" s="3" t="s">
        <v>12</v>
      </c>
      <c r="K152" s="3" t="s">
        <v>13</v>
      </c>
      <c r="L152" s="3" t="s">
        <v>14</v>
      </c>
      <c r="M152" s="3" t="s">
        <v>15</v>
      </c>
      <c r="N152" s="3" t="s">
        <v>16</v>
      </c>
      <c r="O152" s="3"/>
      <c r="P152" s="3"/>
    </row>
    <row r="153" spans="1:19" x14ac:dyDescent="0.2">
      <c r="B153" s="44" t="s">
        <v>35</v>
      </c>
      <c r="C153" s="45"/>
      <c r="D153" s="45"/>
      <c r="E153" s="45"/>
      <c r="F153" s="45"/>
      <c r="G153" s="45"/>
      <c r="H153" s="45"/>
      <c r="I153" s="45"/>
      <c r="J153" s="45"/>
      <c r="K153" s="45"/>
      <c r="L153" s="45"/>
      <c r="M153" s="45"/>
      <c r="N153" s="45"/>
      <c r="O153" s="45"/>
      <c r="P153" s="45"/>
    </row>
    <row r="154" spans="1:19" x14ac:dyDescent="0.2">
      <c r="B154" t="s">
        <v>36</v>
      </c>
      <c r="E154" s="14">
        <v>1742</v>
      </c>
      <c r="F154" s="14">
        <v>924</v>
      </c>
      <c r="G154" s="14">
        <v>808</v>
      </c>
      <c r="H154" s="14">
        <v>564</v>
      </c>
      <c r="I154" s="14">
        <v>842</v>
      </c>
      <c r="J154" s="14">
        <v>1536.1518210976135</v>
      </c>
      <c r="K154" s="14">
        <v>1746.0768079716374</v>
      </c>
      <c r="L154" s="14">
        <v>1984.6893890722342</v>
      </c>
      <c r="M154" s="14">
        <v>2255.9099079219322</v>
      </c>
      <c r="N154" s="14">
        <v>2564.1944480991619</v>
      </c>
      <c r="O154" s="6"/>
      <c r="P154" s="6"/>
      <c r="Q154" s="6"/>
      <c r="R154" s="6"/>
      <c r="S154" s="6"/>
    </row>
    <row r="155" spans="1:19" x14ac:dyDescent="0.2">
      <c r="B155" t="s">
        <v>37</v>
      </c>
      <c r="E155" s="38">
        <v>563</v>
      </c>
      <c r="F155" s="38">
        <v>880</v>
      </c>
      <c r="G155" s="38">
        <v>934</v>
      </c>
      <c r="H155" s="38">
        <v>997</v>
      </c>
      <c r="I155" s="38">
        <v>1072</v>
      </c>
      <c r="J155" s="22">
        <v>1218.4956671848736</v>
      </c>
      <c r="K155" s="22">
        <v>1385.0109057353641</v>
      </c>
      <c r="L155" s="22">
        <v>1574.2815183230771</v>
      </c>
      <c r="M155" s="22">
        <v>1789.4171725801248</v>
      </c>
      <c r="N155" s="22">
        <v>2033.9524921409416</v>
      </c>
      <c r="O155" s="6"/>
      <c r="P155" s="6"/>
      <c r="Q155" s="6"/>
      <c r="R155" s="6"/>
      <c r="S155" s="6"/>
    </row>
    <row r="156" spans="1:19" x14ac:dyDescent="0.2">
      <c r="B156" t="s">
        <v>38</v>
      </c>
      <c r="E156" s="38">
        <v>476</v>
      </c>
      <c r="F156" s="38">
        <v>711</v>
      </c>
      <c r="G156" s="38">
        <v>685</v>
      </c>
      <c r="H156" s="38">
        <v>665</v>
      </c>
      <c r="I156" s="38">
        <v>854</v>
      </c>
      <c r="J156" s="22">
        <v>1092.0568879628331</v>
      </c>
      <c r="K156" s="22">
        <v>1241.2934573713708</v>
      </c>
      <c r="L156" s="22">
        <v>1410.9241599924878</v>
      </c>
      <c r="M156" s="22">
        <v>1603.7359847736045</v>
      </c>
      <c r="N156" s="22">
        <v>1822.896780555134</v>
      </c>
      <c r="O156" s="6"/>
      <c r="P156" s="6"/>
      <c r="Q156" s="6"/>
      <c r="R156" s="6"/>
      <c r="S156" s="6"/>
    </row>
    <row r="157" spans="1:19" x14ac:dyDescent="0.2">
      <c r="B157" s="24" t="s">
        <v>39</v>
      </c>
      <c r="C157" s="24"/>
      <c r="D157" s="24"/>
      <c r="E157" s="36">
        <v>119</v>
      </c>
      <c r="F157" s="36">
        <v>191</v>
      </c>
      <c r="G157" s="36">
        <v>194</v>
      </c>
      <c r="H157" s="36">
        <v>200</v>
      </c>
      <c r="I157" s="36">
        <v>206</v>
      </c>
      <c r="J157" s="47">
        <v>234.151219626944</v>
      </c>
      <c r="K157" s="47">
        <v>266.14948375138528</v>
      </c>
      <c r="L157" s="47">
        <v>302.52051564790474</v>
      </c>
      <c r="M157" s="47">
        <v>343.86188204431505</v>
      </c>
      <c r="N157" s="47">
        <v>390.85281098977055</v>
      </c>
      <c r="O157" s="6"/>
      <c r="P157" s="6"/>
      <c r="Q157" s="6"/>
      <c r="R157" s="6"/>
      <c r="S157" s="6"/>
    </row>
    <row r="158" spans="1:19" x14ac:dyDescent="0.2">
      <c r="B158" s="27" t="s">
        <v>40</v>
      </c>
      <c r="E158" s="28">
        <v>2900</v>
      </c>
      <c r="F158" s="28">
        <v>2706</v>
      </c>
      <c r="G158" s="28">
        <v>2621</v>
      </c>
      <c r="H158" s="28">
        <v>2426</v>
      </c>
      <c r="I158" s="28">
        <v>2974</v>
      </c>
      <c r="J158" s="28">
        <v>4080.8555958722641</v>
      </c>
      <c r="K158" s="28">
        <v>4638.5306548297576</v>
      </c>
      <c r="L158" s="28">
        <v>5272.415583035704</v>
      </c>
      <c r="M158" s="28">
        <v>5992.924947319977</v>
      </c>
      <c r="N158" s="28">
        <v>6811.8965317850079</v>
      </c>
      <c r="O158" s="6"/>
      <c r="P158" s="6"/>
      <c r="Q158" s="6"/>
      <c r="R158" s="6"/>
      <c r="S158" s="6"/>
    </row>
    <row r="159" spans="1:19" x14ac:dyDescent="0.2">
      <c r="B159" t="s">
        <v>41</v>
      </c>
      <c r="E159" s="14">
        <v>767</v>
      </c>
      <c r="F159" s="14">
        <v>996</v>
      </c>
      <c r="G159" s="14">
        <v>875</v>
      </c>
      <c r="H159" s="14">
        <v>852</v>
      </c>
      <c r="I159" s="14">
        <v>965</v>
      </c>
      <c r="J159" s="14">
        <v>1304.2161688359597</v>
      </c>
      <c r="K159" s="14">
        <v>1482.4456630588363</v>
      </c>
      <c r="L159" s="14">
        <v>1685.0313593975739</v>
      </c>
      <c r="M159" s="14">
        <v>1915.3016888960647</v>
      </c>
      <c r="N159" s="14">
        <v>2177.0399340221325</v>
      </c>
      <c r="O159" s="6"/>
      <c r="P159" s="6"/>
      <c r="Q159" s="6"/>
      <c r="R159" s="6"/>
      <c r="S159" s="6"/>
    </row>
    <row r="160" spans="1:19" x14ac:dyDescent="0.2">
      <c r="B160" t="s">
        <v>42</v>
      </c>
      <c r="E160" s="38">
        <v>2299</v>
      </c>
      <c r="F160" s="38">
        <v>3865</v>
      </c>
      <c r="G160" s="38">
        <v>3871</v>
      </c>
      <c r="H160" s="38">
        <v>4153</v>
      </c>
      <c r="I160" s="38">
        <v>4150</v>
      </c>
      <c r="J160" s="22">
        <v>4150</v>
      </c>
      <c r="K160" s="22">
        <v>4150</v>
      </c>
      <c r="L160" s="22">
        <v>4150</v>
      </c>
      <c r="M160" s="22">
        <v>4150</v>
      </c>
      <c r="N160" s="22">
        <v>4150</v>
      </c>
      <c r="O160" s="6"/>
      <c r="P160" s="6"/>
      <c r="Q160" s="6"/>
      <c r="R160" s="6"/>
      <c r="S160" s="6"/>
    </row>
    <row r="161" spans="2:20" x14ac:dyDescent="0.2">
      <c r="B161" t="s">
        <v>43</v>
      </c>
      <c r="E161" s="48">
        <v>1708</v>
      </c>
      <c r="F161" s="48">
        <v>6731</v>
      </c>
      <c r="G161" s="48">
        <v>5748</v>
      </c>
      <c r="H161" s="48">
        <v>4841</v>
      </c>
      <c r="I161" s="48">
        <v>4090</v>
      </c>
      <c r="J161" s="48">
        <v>3559.2269862203243</v>
      </c>
      <c r="K161" s="48">
        <v>3097.3341661220079</v>
      </c>
      <c r="L161" s="48">
        <v>2695.3827260155686</v>
      </c>
      <c r="M161" s="48">
        <v>2345.5938720358713</v>
      </c>
      <c r="N161" s="48">
        <v>2041.1982904799743</v>
      </c>
      <c r="O161" s="6"/>
      <c r="P161" s="6"/>
      <c r="Q161" s="6"/>
      <c r="R161" s="6"/>
      <c r="S161" s="6"/>
    </row>
    <row r="162" spans="2:20" x14ac:dyDescent="0.2">
      <c r="B162" t="s">
        <v>44</v>
      </c>
      <c r="E162" s="38">
        <v>172</v>
      </c>
      <c r="F162" s="38">
        <v>1789</v>
      </c>
      <c r="G162" s="38">
        <v>1965</v>
      </c>
      <c r="H162" s="38">
        <v>2013</v>
      </c>
      <c r="I162" s="38">
        <v>2062</v>
      </c>
      <c r="J162" s="22">
        <v>2343.7855090813523</v>
      </c>
      <c r="K162" s="22">
        <v>2664.0788130842548</v>
      </c>
      <c r="L162" s="22">
        <v>3028.1422488639791</v>
      </c>
      <c r="M162" s="22">
        <v>3441.9572853173677</v>
      </c>
      <c r="N162" s="22">
        <v>3912.3227973830435</v>
      </c>
      <c r="O162" s="6"/>
      <c r="P162" s="6"/>
      <c r="Q162" s="6"/>
      <c r="R162" s="6"/>
      <c r="S162" s="6"/>
    </row>
    <row r="163" spans="2:20" ht="16" thickBot="1" x14ac:dyDescent="0.25">
      <c r="B163" s="49" t="s">
        <v>45</v>
      </c>
      <c r="C163" s="50"/>
      <c r="D163" s="50"/>
      <c r="E163" s="51">
        <v>7846</v>
      </c>
      <c r="F163" s="51">
        <v>16087</v>
      </c>
      <c r="G163" s="51">
        <v>15080</v>
      </c>
      <c r="H163" s="51">
        <v>14285</v>
      </c>
      <c r="I163" s="51">
        <v>14241</v>
      </c>
      <c r="J163" s="51">
        <v>15438.0842600099</v>
      </c>
      <c r="K163" s="51">
        <v>16032.389297094858</v>
      </c>
      <c r="L163" s="51">
        <v>16830.971917312825</v>
      </c>
      <c r="M163" s="51">
        <v>17845.777793569279</v>
      </c>
      <c r="N163" s="51">
        <v>19092.45755367016</v>
      </c>
      <c r="O163" s="6"/>
      <c r="P163" s="6"/>
      <c r="Q163" s="6"/>
      <c r="R163" s="6"/>
      <c r="S163" s="6"/>
    </row>
    <row r="164" spans="2:20" ht="16" thickTop="1" x14ac:dyDescent="0.2">
      <c r="I164" s="42"/>
      <c r="J164" s="52"/>
      <c r="K164" s="52"/>
      <c r="L164" s="52"/>
      <c r="M164" s="52"/>
      <c r="N164" s="52"/>
      <c r="O164" s="42"/>
    </row>
    <row r="165" spans="2:20" x14ac:dyDescent="0.2">
      <c r="B165" s="44" t="s">
        <v>46</v>
      </c>
      <c r="C165" s="45"/>
      <c r="D165" s="45"/>
      <c r="E165" s="45"/>
      <c r="F165" s="45"/>
      <c r="G165" s="45"/>
      <c r="H165" s="45"/>
      <c r="I165" s="45"/>
      <c r="J165" s="45"/>
      <c r="K165" s="45"/>
      <c r="L165" s="45"/>
      <c r="M165" s="45"/>
      <c r="N165" s="45"/>
      <c r="O165" s="45"/>
      <c r="P165" s="45"/>
    </row>
    <row r="166" spans="2:20" x14ac:dyDescent="0.2">
      <c r="B166" t="s">
        <v>47</v>
      </c>
      <c r="E166" s="53">
        <v>144</v>
      </c>
      <c r="F166" s="53">
        <v>226</v>
      </c>
      <c r="G166" s="53">
        <v>246</v>
      </c>
      <c r="H166" s="53">
        <v>292</v>
      </c>
      <c r="I166" s="53">
        <v>344</v>
      </c>
      <c r="J166" s="22">
        <v>439.89176751664473</v>
      </c>
      <c r="K166" s="22">
        <v>500.00579547511893</v>
      </c>
      <c r="L166" s="22">
        <v>568.33479044193894</v>
      </c>
      <c r="M166" s="22">
        <v>646.00138028351284</v>
      </c>
      <c r="N166" s="22">
        <v>734.281607155698</v>
      </c>
      <c r="O166" s="54"/>
      <c r="P166" s="54"/>
      <c r="Q166" s="54"/>
      <c r="R166" s="54"/>
      <c r="S166" s="54"/>
      <c r="T166" s="54"/>
    </row>
    <row r="167" spans="2:20" x14ac:dyDescent="0.2">
      <c r="B167" t="s">
        <v>219</v>
      </c>
      <c r="E167" s="53">
        <v>563</v>
      </c>
      <c r="F167" s="53">
        <v>787</v>
      </c>
      <c r="G167" s="53">
        <v>781</v>
      </c>
      <c r="H167" s="53">
        <v>794</v>
      </c>
      <c r="I167" s="53">
        <v>1054</v>
      </c>
      <c r="J167" s="22">
        <v>1198.035851877665</v>
      </c>
      <c r="K167" s="22">
        <v>1361.755125601748</v>
      </c>
      <c r="L167" s="22">
        <v>1547.8476868586972</v>
      </c>
      <c r="M167" s="22">
        <v>1759.3709887121752</v>
      </c>
      <c r="N167" s="22">
        <v>1999.8003047729037</v>
      </c>
      <c r="O167" s="54"/>
      <c r="P167" s="54"/>
      <c r="Q167" s="54"/>
      <c r="R167" s="54"/>
      <c r="S167" s="54"/>
      <c r="T167" s="54"/>
    </row>
    <row r="168" spans="2:20" x14ac:dyDescent="0.2">
      <c r="B168" t="s">
        <v>122</v>
      </c>
      <c r="E168" s="53">
        <v>0</v>
      </c>
      <c r="F168" s="53">
        <v>0</v>
      </c>
      <c r="G168" s="53">
        <v>0</v>
      </c>
      <c r="H168" s="53">
        <v>0</v>
      </c>
      <c r="I168" s="53">
        <v>0</v>
      </c>
      <c r="J168" s="22">
        <v>810.56780522850022</v>
      </c>
      <c r="K168" s="22">
        <v>990.67443547902212</v>
      </c>
      <c r="L168" s="22">
        <v>1341.435710485317</v>
      </c>
      <c r="M168" s="22">
        <v>1869.4368953541548</v>
      </c>
      <c r="N168" s="22">
        <v>2584.4249495311133</v>
      </c>
      <c r="O168" s="54"/>
      <c r="P168" s="54"/>
      <c r="Q168" s="54"/>
      <c r="R168" s="54"/>
      <c r="S168" s="54"/>
      <c r="T168" s="54"/>
    </row>
    <row r="169" spans="2:20" x14ac:dyDescent="0.2">
      <c r="B169" s="24" t="s">
        <v>48</v>
      </c>
      <c r="C169" s="24"/>
      <c r="D169" s="24"/>
      <c r="E169" s="55">
        <v>1309</v>
      </c>
      <c r="F169" s="55">
        <v>1360</v>
      </c>
      <c r="G169" s="55">
        <v>608</v>
      </c>
      <c r="H169" s="55">
        <v>1322</v>
      </c>
      <c r="I169" s="65">
        <v>0</v>
      </c>
      <c r="J169" s="65">
        <v>0</v>
      </c>
      <c r="K169" s="56">
        <v>3400</v>
      </c>
      <c r="L169" s="56">
        <v>1700</v>
      </c>
      <c r="M169" s="56">
        <v>1200</v>
      </c>
      <c r="N169" s="56">
        <v>1530</v>
      </c>
      <c r="O169" s="54"/>
      <c r="P169" s="54"/>
      <c r="Q169" s="54"/>
      <c r="R169" s="54"/>
      <c r="S169" s="54"/>
      <c r="T169" s="54"/>
    </row>
    <row r="170" spans="2:20" x14ac:dyDescent="0.2">
      <c r="B170" s="27" t="s">
        <v>49</v>
      </c>
      <c r="E170" s="28">
        <v>2016</v>
      </c>
      <c r="F170" s="28">
        <v>2373</v>
      </c>
      <c r="G170" s="28">
        <v>1635</v>
      </c>
      <c r="H170" s="28">
        <v>2408</v>
      </c>
      <c r="I170" s="28">
        <v>1398</v>
      </c>
      <c r="J170" s="28">
        <v>2448.4954246228099</v>
      </c>
      <c r="K170" s="28">
        <v>6252.4353565558886</v>
      </c>
      <c r="L170" s="28">
        <v>5157.6181877859526</v>
      </c>
      <c r="M170" s="28">
        <v>5474.8092643498421</v>
      </c>
      <c r="N170" s="28">
        <v>6848.5068614597149</v>
      </c>
      <c r="O170" s="28"/>
      <c r="P170" s="29"/>
    </row>
    <row r="171" spans="2:20" x14ac:dyDescent="0.2">
      <c r="B171" t="s">
        <v>50</v>
      </c>
      <c r="E171" s="53">
        <v>1758</v>
      </c>
      <c r="F171" s="53">
        <v>8946</v>
      </c>
      <c r="G171" s="53">
        <v>8873</v>
      </c>
      <c r="H171" s="53">
        <v>7581</v>
      </c>
      <c r="I171" s="53">
        <v>7687</v>
      </c>
      <c r="J171" s="15">
        <v>7687</v>
      </c>
      <c r="K171" s="15">
        <v>4287</v>
      </c>
      <c r="L171" s="15">
        <v>5987</v>
      </c>
      <c r="M171" s="15">
        <v>6487</v>
      </c>
      <c r="N171" s="15">
        <v>6157</v>
      </c>
      <c r="O171" s="15"/>
      <c r="P171" s="22"/>
    </row>
    <row r="172" spans="2:20" x14ac:dyDescent="0.2">
      <c r="B172" t="s">
        <v>116</v>
      </c>
      <c r="E172" s="48">
        <v>206</v>
      </c>
      <c r="F172" s="48">
        <v>706</v>
      </c>
      <c r="G172" s="48">
        <v>319</v>
      </c>
      <c r="H172" s="48">
        <v>44</v>
      </c>
      <c r="I172" s="48">
        <v>40</v>
      </c>
      <c r="J172" s="48">
        <v>0</v>
      </c>
      <c r="K172" s="48">
        <v>0</v>
      </c>
      <c r="L172" s="48">
        <v>0</v>
      </c>
      <c r="M172" s="48">
        <v>0</v>
      </c>
      <c r="N172" s="48">
        <v>0</v>
      </c>
      <c r="O172" s="15"/>
      <c r="P172" s="22"/>
    </row>
    <row r="173" spans="2:20" x14ac:dyDescent="0.2">
      <c r="B173" t="s">
        <v>51</v>
      </c>
      <c r="E173" s="53">
        <v>995</v>
      </c>
      <c r="F173" s="53">
        <v>1035</v>
      </c>
      <c r="G173" s="53">
        <v>1011</v>
      </c>
      <c r="H173" s="53">
        <v>1108</v>
      </c>
      <c r="I173" s="53">
        <v>1178</v>
      </c>
      <c r="J173" s="15">
        <v>1338.9812462162138</v>
      </c>
      <c r="K173" s="15">
        <v>1521.9616109666595</v>
      </c>
      <c r="L173" s="15">
        <v>1729.9474147244262</v>
      </c>
      <c r="M173" s="15">
        <v>1966.3558109136072</v>
      </c>
      <c r="N173" s="15">
        <v>2235.0709288638332</v>
      </c>
      <c r="O173" s="15"/>
      <c r="P173" s="22"/>
    </row>
    <row r="174" spans="2:20" ht="16" thickBot="1" x14ac:dyDescent="0.25">
      <c r="B174" s="49" t="s">
        <v>52</v>
      </c>
      <c r="C174" s="50"/>
      <c r="D174" s="50"/>
      <c r="E174" s="51">
        <v>4975</v>
      </c>
      <c r="F174" s="51">
        <v>13060</v>
      </c>
      <c r="G174" s="51">
        <v>11838</v>
      </c>
      <c r="H174" s="51">
        <v>11141</v>
      </c>
      <c r="I174" s="51">
        <v>10303</v>
      </c>
      <c r="J174" s="51">
        <v>11474.476670839023</v>
      </c>
      <c r="K174" s="51">
        <v>12061.396967522549</v>
      </c>
      <c r="L174" s="51">
        <v>12874.565602510378</v>
      </c>
      <c r="M174" s="51">
        <v>13928.165075263449</v>
      </c>
      <c r="N174" s="51">
        <v>15240.577790323548</v>
      </c>
      <c r="O174" s="58"/>
      <c r="P174" s="59"/>
    </row>
    <row r="175" spans="2:20" ht="16" thickTop="1" x14ac:dyDescent="0.2"/>
    <row r="176" spans="2:20" x14ac:dyDescent="0.2">
      <c r="B176" s="44" t="s">
        <v>53</v>
      </c>
      <c r="C176" s="45"/>
      <c r="D176" s="45"/>
      <c r="E176" s="45"/>
      <c r="F176" s="45"/>
      <c r="G176" s="45"/>
      <c r="H176" s="45"/>
      <c r="I176" s="45"/>
      <c r="J176" s="45"/>
      <c r="K176" s="45"/>
      <c r="L176" s="45"/>
      <c r="M176" s="45"/>
      <c r="N176" s="45"/>
      <c r="O176" s="45"/>
      <c r="P176" s="45"/>
    </row>
    <row r="177" spans="1:16" x14ac:dyDescent="0.2">
      <c r="B177" t="s">
        <v>127</v>
      </c>
      <c r="E177" s="48">
        <v>2562</v>
      </c>
      <c r="F177" s="48">
        <v>2679</v>
      </c>
      <c r="G177" s="48">
        <v>2679</v>
      </c>
      <c r="H177" s="48">
        <v>2679</v>
      </c>
      <c r="I177" s="48">
        <v>2811</v>
      </c>
      <c r="J177" s="48">
        <v>2865.8</v>
      </c>
      <c r="K177" s="48">
        <v>2920.6000000000004</v>
      </c>
      <c r="L177" s="48">
        <v>2975.4000000000005</v>
      </c>
      <c r="M177" s="48">
        <v>3030.2000000000007</v>
      </c>
      <c r="N177" s="48">
        <v>3085.0000000000009</v>
      </c>
      <c r="O177" s="43"/>
    </row>
    <row r="178" spans="1:16" x14ac:dyDescent="0.2">
      <c r="B178" t="s">
        <v>54</v>
      </c>
      <c r="E178" s="48">
        <v>-762</v>
      </c>
      <c r="F178" s="48">
        <v>-736</v>
      </c>
      <c r="G178" s="48">
        <v>-742</v>
      </c>
      <c r="H178" s="48">
        <v>-800</v>
      </c>
      <c r="I178" s="48">
        <v>-922</v>
      </c>
      <c r="J178" s="48">
        <v>-1053.5841964118822</v>
      </c>
      <c r="K178" s="48">
        <v>-1221.8300751837924</v>
      </c>
      <c r="L178" s="48">
        <v>-1434.2778708728033</v>
      </c>
      <c r="M178" s="48">
        <v>-1695.4277483932094</v>
      </c>
      <c r="N178" s="48">
        <v>-2010.7756393765249</v>
      </c>
      <c r="O178" s="43"/>
    </row>
    <row r="179" spans="1:16" x14ac:dyDescent="0.2">
      <c r="B179" t="s">
        <v>55</v>
      </c>
      <c r="E179" s="48">
        <v>3201</v>
      </c>
      <c r="F179" s="48">
        <v>3214</v>
      </c>
      <c r="G179" s="48">
        <v>3435</v>
      </c>
      <c r="H179" s="48">
        <v>3395</v>
      </c>
      <c r="I179" s="48">
        <v>4179</v>
      </c>
      <c r="J179" s="48">
        <v>4281.3917855827585</v>
      </c>
      <c r="K179" s="48">
        <v>4402.2224047561012</v>
      </c>
      <c r="L179" s="48">
        <v>4545.2841856752502</v>
      </c>
      <c r="M179" s="48">
        <v>4712.8404666990409</v>
      </c>
      <c r="N179" s="48">
        <v>4907.6554027231359</v>
      </c>
      <c r="O179" s="43"/>
    </row>
    <row r="180" spans="1:16" x14ac:dyDescent="0.2">
      <c r="B180" t="s">
        <v>56</v>
      </c>
      <c r="E180" s="53">
        <v>-2130</v>
      </c>
      <c r="F180" s="53">
        <v>-2130</v>
      </c>
      <c r="G180" s="53">
        <v>-2130</v>
      </c>
      <c r="H180" s="53">
        <v>-2130</v>
      </c>
      <c r="I180" s="53">
        <v>-2130</v>
      </c>
      <c r="J180" s="43">
        <v>-2130</v>
      </c>
      <c r="K180" s="43">
        <v>-2130</v>
      </c>
      <c r="L180" s="43">
        <v>-2130</v>
      </c>
      <c r="M180" s="43">
        <v>-2130</v>
      </c>
      <c r="N180" s="43">
        <v>-2130</v>
      </c>
      <c r="O180" s="43"/>
    </row>
    <row r="181" spans="1:16" ht="16" thickBot="1" x14ac:dyDescent="0.25">
      <c r="B181" s="49" t="s">
        <v>57</v>
      </c>
      <c r="C181" s="50"/>
      <c r="D181" s="50"/>
      <c r="E181" s="51">
        <v>2871</v>
      </c>
      <c r="F181" s="51">
        <v>3027</v>
      </c>
      <c r="G181" s="51">
        <v>3242</v>
      </c>
      <c r="H181" s="51">
        <v>3144</v>
      </c>
      <c r="I181" s="51">
        <v>3938</v>
      </c>
      <c r="J181" s="51">
        <v>3963.607589170877</v>
      </c>
      <c r="K181" s="51">
        <v>3970.9923295723092</v>
      </c>
      <c r="L181" s="51">
        <v>3956.406314802447</v>
      </c>
      <c r="M181" s="51">
        <v>3917.6127183058325</v>
      </c>
      <c r="N181" s="51">
        <v>3851.879763346612</v>
      </c>
      <c r="O181" s="58"/>
      <c r="P181" s="59"/>
    </row>
    <row r="182" spans="1:16" ht="16" thickTop="1" x14ac:dyDescent="0.2">
      <c r="E182" s="43"/>
      <c r="F182" s="43"/>
      <c r="G182" s="43"/>
      <c r="H182" s="43"/>
      <c r="I182" s="43"/>
      <c r="K182" s="60"/>
    </row>
    <row r="183" spans="1:16" x14ac:dyDescent="0.2">
      <c r="B183" t="s">
        <v>58</v>
      </c>
      <c r="E183" s="61" t="str">
        <f t="shared" ref="E183:N183" si="21">IF(ABS(E163-(E174+E181))&lt;0.0001,"Y","N")</f>
        <v>Y</v>
      </c>
      <c r="F183" s="61" t="str">
        <f t="shared" si="21"/>
        <v>Y</v>
      </c>
      <c r="G183" s="61" t="str">
        <f t="shared" si="21"/>
        <v>Y</v>
      </c>
      <c r="H183" s="61" t="str">
        <f t="shared" si="21"/>
        <v>Y</v>
      </c>
      <c r="I183" s="61" t="str">
        <f t="shared" si="21"/>
        <v>Y</v>
      </c>
      <c r="J183" s="61" t="str">
        <f t="shared" si="21"/>
        <v>Y</v>
      </c>
      <c r="K183" s="61" t="str">
        <f t="shared" si="21"/>
        <v>Y</v>
      </c>
      <c r="L183" s="61" t="str">
        <f t="shared" si="21"/>
        <v>Y</v>
      </c>
      <c r="M183" s="61" t="str">
        <f t="shared" si="21"/>
        <v>Y</v>
      </c>
      <c r="N183" s="61" t="str">
        <f t="shared" si="21"/>
        <v>Y</v>
      </c>
      <c r="O183" s="61"/>
      <c r="P183" s="61"/>
    </row>
    <row r="184" spans="1:16" x14ac:dyDescent="0.2">
      <c r="B184" t="s">
        <v>218</v>
      </c>
      <c r="E184" s="62">
        <f>E163-E174-E181</f>
        <v>0</v>
      </c>
      <c r="F184" s="62">
        <f t="shared" ref="F184:N184" si="22">F163-F174-F181</f>
        <v>0</v>
      </c>
      <c r="G184" s="62">
        <f t="shared" si="22"/>
        <v>0</v>
      </c>
      <c r="H184" s="62">
        <f t="shared" si="22"/>
        <v>0</v>
      </c>
      <c r="I184" s="62">
        <f t="shared" si="22"/>
        <v>0</v>
      </c>
      <c r="J184" s="62">
        <f t="shared" si="22"/>
        <v>0</v>
      </c>
      <c r="K184" s="62">
        <f t="shared" si="22"/>
        <v>0</v>
      </c>
      <c r="L184" s="62">
        <f t="shared" si="22"/>
        <v>0</v>
      </c>
      <c r="M184" s="62">
        <f t="shared" si="22"/>
        <v>0</v>
      </c>
      <c r="N184" s="62">
        <f t="shared" si="22"/>
        <v>0</v>
      </c>
      <c r="O184" s="61"/>
      <c r="P184" s="61"/>
    </row>
    <row r="185" spans="1:16" x14ac:dyDescent="0.2">
      <c r="E185" s="62"/>
      <c r="F185" s="62"/>
      <c r="G185" s="62"/>
      <c r="H185" s="62"/>
      <c r="I185" s="62"/>
      <c r="J185" s="62"/>
      <c r="K185" s="62"/>
      <c r="L185" s="62"/>
      <c r="M185" s="62"/>
      <c r="N185" s="62"/>
      <c r="O185" s="61"/>
      <c r="P185" s="61"/>
    </row>
    <row r="186" spans="1:16" x14ac:dyDescent="0.2">
      <c r="A186" t="s">
        <v>10</v>
      </c>
      <c r="B186" s="1" t="s">
        <v>59</v>
      </c>
      <c r="C186" s="2"/>
      <c r="D186" s="2"/>
      <c r="E186" s="3" t="s">
        <v>1</v>
      </c>
      <c r="F186" s="3" t="s">
        <v>2</v>
      </c>
      <c r="G186" s="3" t="s">
        <v>3</v>
      </c>
      <c r="H186" s="3" t="s">
        <v>4</v>
      </c>
      <c r="I186" s="3" t="s">
        <v>5</v>
      </c>
      <c r="J186" s="3" t="s">
        <v>12</v>
      </c>
      <c r="K186" s="3" t="s">
        <v>13</v>
      </c>
      <c r="L186" s="3" t="s">
        <v>14</v>
      </c>
      <c r="M186" s="3" t="s">
        <v>15</v>
      </c>
      <c r="N186" s="3" t="s">
        <v>16</v>
      </c>
      <c r="O186" s="3"/>
      <c r="P186" s="3"/>
    </row>
    <row r="187" spans="1:16" x14ac:dyDescent="0.2">
      <c r="B187" t="s">
        <v>60</v>
      </c>
      <c r="E187" s="63">
        <v>2204</v>
      </c>
      <c r="F187" s="64">
        <v>1742</v>
      </c>
      <c r="G187" s="64">
        <v>924</v>
      </c>
      <c r="H187" s="64">
        <v>808</v>
      </c>
      <c r="I187" s="64">
        <v>564</v>
      </c>
      <c r="J187" s="64">
        <v>842</v>
      </c>
      <c r="K187" s="64">
        <v>1536.1518210976135</v>
      </c>
      <c r="L187" s="64">
        <v>1746.0768079716374</v>
      </c>
      <c r="M187" s="64">
        <v>1984.6893890722342</v>
      </c>
      <c r="N187" s="64">
        <v>2255.9099079219322</v>
      </c>
      <c r="O187" s="64"/>
      <c r="P187" s="64"/>
    </row>
    <row r="188" spans="1:16" x14ac:dyDescent="0.2">
      <c r="E188" s="52"/>
      <c r="F188" s="43"/>
      <c r="G188" s="43"/>
      <c r="H188" s="43"/>
      <c r="I188" s="43"/>
      <c r="J188" s="43"/>
      <c r="K188" s="43"/>
      <c r="L188" s="43"/>
      <c r="M188" s="43"/>
      <c r="N188" s="43"/>
    </row>
    <row r="189" spans="1:16" x14ac:dyDescent="0.2">
      <c r="B189" s="44" t="s">
        <v>61</v>
      </c>
      <c r="C189" s="45"/>
      <c r="D189" s="45"/>
      <c r="E189" s="45"/>
      <c r="F189" s="45"/>
      <c r="G189" s="45"/>
      <c r="H189" s="45"/>
      <c r="I189" s="45"/>
      <c r="J189" s="45"/>
      <c r="K189" s="45"/>
      <c r="L189" s="45"/>
      <c r="M189" s="45"/>
      <c r="N189" s="45"/>
      <c r="O189" s="45"/>
      <c r="P189" s="45"/>
    </row>
    <row r="190" spans="1:16" x14ac:dyDescent="0.2">
      <c r="B190" t="s">
        <v>62</v>
      </c>
      <c r="E190" s="52">
        <v>256</v>
      </c>
      <c r="F190" s="52">
        <v>357</v>
      </c>
      <c r="G190" s="52">
        <v>571</v>
      </c>
      <c r="H190" s="52">
        <v>349</v>
      </c>
      <c r="I190" s="52">
        <v>1287</v>
      </c>
      <c r="J190" s="52">
        <v>850.98986526588874</v>
      </c>
      <c r="K190" s="52">
        <v>1004.2371245416585</v>
      </c>
      <c r="L190" s="52">
        <v>1189.0028577603407</v>
      </c>
      <c r="M190" s="52">
        <v>1392.5794554841525</v>
      </c>
      <c r="N190" s="52">
        <v>1619.1292613500664</v>
      </c>
      <c r="O190" s="52"/>
      <c r="P190" s="52"/>
    </row>
    <row r="191" spans="1:16" x14ac:dyDescent="0.2">
      <c r="B191" t="s">
        <v>63</v>
      </c>
      <c r="E191" s="48">
        <v>107</v>
      </c>
      <c r="F191" s="48">
        <v>72</v>
      </c>
      <c r="G191" s="48">
        <v>141</v>
      </c>
      <c r="H191" s="48">
        <v>152</v>
      </c>
      <c r="I191" s="48">
        <v>206</v>
      </c>
      <c r="J191" s="48">
        <v>196.93041499516198</v>
      </c>
      <c r="K191" s="48">
        <v>223.84221773183205</v>
      </c>
      <c r="L191" s="48">
        <v>254.43169070829333</v>
      </c>
      <c r="M191" s="48">
        <v>289.20141112180715</v>
      </c>
      <c r="N191" s="48">
        <v>328.72263656312816</v>
      </c>
      <c r="O191" s="52"/>
      <c r="P191" s="52"/>
    </row>
    <row r="192" spans="1:16" x14ac:dyDescent="0.2">
      <c r="B192" t="s">
        <v>64</v>
      </c>
      <c r="E192" s="48">
        <v>463</v>
      </c>
      <c r="F192" s="48">
        <v>639</v>
      </c>
      <c r="G192" s="48">
        <v>1008</v>
      </c>
      <c r="H192" s="48">
        <v>881</v>
      </c>
      <c r="I192" s="48">
        <v>196</v>
      </c>
      <c r="J192" s="48">
        <v>530.77301377967581</v>
      </c>
      <c r="K192" s="48">
        <v>461.89282009831646</v>
      </c>
      <c r="L192" s="48">
        <v>401.95144010643941</v>
      </c>
      <c r="M192" s="48">
        <v>349.78885397969719</v>
      </c>
      <c r="N192" s="48">
        <v>304.39558155589697</v>
      </c>
      <c r="O192" s="15"/>
      <c r="P192" s="22"/>
    </row>
    <row r="193" spans="2:16" x14ac:dyDescent="0.2">
      <c r="B193" t="s">
        <v>190</v>
      </c>
      <c r="E193" s="48">
        <v>-203</v>
      </c>
      <c r="F193" s="48">
        <v>500</v>
      </c>
      <c r="G193" s="48">
        <v>-387</v>
      </c>
      <c r="H193" s="48">
        <v>-275</v>
      </c>
      <c r="I193" s="48">
        <v>-4</v>
      </c>
      <c r="J193" s="48">
        <v>-40</v>
      </c>
      <c r="K193" s="48">
        <v>0</v>
      </c>
      <c r="L193" s="48">
        <v>0</v>
      </c>
      <c r="M193" s="48">
        <v>0</v>
      </c>
      <c r="N193" s="48">
        <v>0</v>
      </c>
      <c r="O193" s="15"/>
      <c r="P193" s="22"/>
    </row>
    <row r="194" spans="2:16" x14ac:dyDescent="0.2">
      <c r="B194" t="s">
        <v>92</v>
      </c>
      <c r="D194" s="52"/>
      <c r="E194" s="48">
        <v>69</v>
      </c>
      <c r="F194" s="48">
        <v>80</v>
      </c>
      <c r="G194" s="48">
        <v>81</v>
      </c>
      <c r="H194" s="48">
        <v>67</v>
      </c>
      <c r="I194" s="48">
        <v>63</v>
      </c>
      <c r="J194" s="48">
        <v>72</v>
      </c>
      <c r="K194" s="48">
        <v>72</v>
      </c>
      <c r="L194" s="48">
        <v>72</v>
      </c>
      <c r="M194" s="48">
        <v>72</v>
      </c>
      <c r="N194" s="48">
        <v>72</v>
      </c>
      <c r="O194" s="38"/>
      <c r="P194" s="53"/>
    </row>
    <row r="195" spans="2:16" x14ac:dyDescent="0.2">
      <c r="B195" s="52"/>
      <c r="D195" s="43"/>
      <c r="E195" s="22" t="s">
        <v>65</v>
      </c>
      <c r="F195" s="22"/>
      <c r="G195" s="22"/>
      <c r="H195" s="22"/>
      <c r="I195" s="22"/>
    </row>
    <row r="196" spans="2:16" x14ac:dyDescent="0.2">
      <c r="B196" t="s">
        <v>125</v>
      </c>
      <c r="E196" s="53">
        <v>-85</v>
      </c>
      <c r="F196" s="22">
        <v>-317</v>
      </c>
      <c r="G196" s="22">
        <v>-54</v>
      </c>
      <c r="H196" s="22">
        <v>-63</v>
      </c>
      <c r="I196" s="22">
        <v>-75</v>
      </c>
      <c r="J196" s="22">
        <v>-146.49566718487358</v>
      </c>
      <c r="K196" s="22">
        <v>-166.51523855049049</v>
      </c>
      <c r="L196" s="22">
        <v>-189.270612587713</v>
      </c>
      <c r="M196" s="22">
        <v>-215.13565425704769</v>
      </c>
      <c r="N196" s="22">
        <v>-244.53531956081679</v>
      </c>
      <c r="O196" s="15"/>
      <c r="P196" s="22"/>
    </row>
    <row r="197" spans="2:16" x14ac:dyDescent="0.2">
      <c r="B197" t="s">
        <v>66</v>
      </c>
      <c r="E197" s="53">
        <v>-59</v>
      </c>
      <c r="F197" s="22">
        <v>-235</v>
      </c>
      <c r="G197" s="22">
        <v>26</v>
      </c>
      <c r="H197" s="22">
        <v>20</v>
      </c>
      <c r="I197" s="22">
        <v>-189</v>
      </c>
      <c r="J197" s="22">
        <v>-238.05688796283312</v>
      </c>
      <c r="K197" s="22">
        <v>-149.23656940853766</v>
      </c>
      <c r="L197" s="22">
        <v>-169.63070262111705</v>
      </c>
      <c r="M197" s="22">
        <v>-192.81182478111668</v>
      </c>
      <c r="N197" s="22">
        <v>-219.16079578152949</v>
      </c>
      <c r="O197" s="15"/>
      <c r="P197" s="22"/>
    </row>
    <row r="198" spans="2:16" x14ac:dyDescent="0.2">
      <c r="B198" t="s">
        <v>67</v>
      </c>
      <c r="E198" s="53">
        <v>419</v>
      </c>
      <c r="F198" s="22">
        <v>-72</v>
      </c>
      <c r="G198" s="22">
        <v>-3</v>
      </c>
      <c r="H198" s="22">
        <v>-6</v>
      </c>
      <c r="I198" s="22">
        <v>-6</v>
      </c>
      <c r="J198" s="22">
        <v>-28.151219626943998</v>
      </c>
      <c r="K198" s="22">
        <v>-31.998264124441278</v>
      </c>
      <c r="L198" s="22">
        <v>-36.371031896519469</v>
      </c>
      <c r="M198" s="22">
        <v>-41.341366396410308</v>
      </c>
      <c r="N198" s="22">
        <v>-46.990928945455494</v>
      </c>
      <c r="O198" s="15"/>
      <c r="P198" s="22"/>
    </row>
    <row r="199" spans="2:16" x14ac:dyDescent="0.2">
      <c r="B199" t="s">
        <v>68</v>
      </c>
      <c r="E199" s="53">
        <v>-14</v>
      </c>
      <c r="F199" s="48">
        <v>82</v>
      </c>
      <c r="G199" s="48">
        <v>20</v>
      </c>
      <c r="H199" s="48">
        <v>46</v>
      </c>
      <c r="I199" s="48">
        <v>52</v>
      </c>
      <c r="J199" s="48">
        <v>95.891767516644734</v>
      </c>
      <c r="K199" s="48">
        <v>60.114027958474196</v>
      </c>
      <c r="L199" s="48">
        <v>68.328994966820005</v>
      </c>
      <c r="M199" s="48">
        <v>77.666589841573909</v>
      </c>
      <c r="N199" s="48">
        <v>88.280226872185153</v>
      </c>
      <c r="O199" s="15"/>
      <c r="P199" s="22"/>
    </row>
    <row r="200" spans="2:16" x14ac:dyDescent="0.2">
      <c r="B200" s="24" t="s">
        <v>114</v>
      </c>
      <c r="C200" s="24"/>
      <c r="D200" s="24"/>
      <c r="E200" s="55">
        <v>14</v>
      </c>
      <c r="F200" s="65">
        <v>224</v>
      </c>
      <c r="G200" s="65">
        <v>-6</v>
      </c>
      <c r="H200" s="65">
        <v>13</v>
      </c>
      <c r="I200" s="65">
        <v>260</v>
      </c>
      <c r="J200" s="65">
        <v>144.03585187766498</v>
      </c>
      <c r="K200" s="65">
        <v>163.719273724083</v>
      </c>
      <c r="L200" s="65">
        <v>186.09256125694924</v>
      </c>
      <c r="M200" s="65">
        <v>211.52330185347796</v>
      </c>
      <c r="N200" s="65">
        <v>240.42931606072852</v>
      </c>
      <c r="O200" s="15"/>
      <c r="P200" s="22"/>
    </row>
    <row r="201" spans="2:16" x14ac:dyDescent="0.2">
      <c r="B201" s="27" t="s">
        <v>70</v>
      </c>
      <c r="C201" s="27"/>
      <c r="D201" s="27"/>
      <c r="E201" s="66">
        <v>967</v>
      </c>
      <c r="F201" s="66">
        <v>1330</v>
      </c>
      <c r="G201" s="66">
        <v>1397</v>
      </c>
      <c r="H201" s="66">
        <v>1184</v>
      </c>
      <c r="I201" s="66">
        <v>1790</v>
      </c>
      <c r="J201" s="66">
        <v>1437.9171386603853</v>
      </c>
      <c r="K201" s="66">
        <v>1638.0553919708948</v>
      </c>
      <c r="L201" s="66">
        <v>1776.5351976934933</v>
      </c>
      <c r="M201" s="66">
        <v>1943.470766846134</v>
      </c>
      <c r="N201" s="66">
        <v>2142.2699781142037</v>
      </c>
      <c r="O201" s="66"/>
      <c r="P201" s="66"/>
    </row>
    <row r="203" spans="2:16" x14ac:dyDescent="0.2">
      <c r="B203" s="44" t="s">
        <v>71</v>
      </c>
      <c r="C203" s="45"/>
      <c r="D203" s="45"/>
      <c r="E203" s="45"/>
      <c r="F203" s="45"/>
      <c r="G203" s="45"/>
      <c r="H203" s="45"/>
      <c r="I203" s="45"/>
      <c r="J203" s="45"/>
      <c r="K203" s="45"/>
      <c r="L203" s="45"/>
      <c r="M203" s="45"/>
      <c r="N203" s="45"/>
      <c r="O203" s="45"/>
      <c r="P203" s="45"/>
    </row>
    <row r="204" spans="2:16" x14ac:dyDescent="0.2">
      <c r="B204" t="s">
        <v>72</v>
      </c>
      <c r="E204" s="48">
        <v>-191</v>
      </c>
      <c r="F204" s="48">
        <v>-301</v>
      </c>
      <c r="G204" s="48">
        <v>-20</v>
      </c>
      <c r="H204" s="48">
        <v>-129</v>
      </c>
      <c r="I204" s="48">
        <v>-319</v>
      </c>
      <c r="J204" s="48">
        <v>-536.14658383112169</v>
      </c>
      <c r="K204" s="48">
        <v>-402.07171195470869</v>
      </c>
      <c r="L204" s="48">
        <v>-457.01738704703098</v>
      </c>
      <c r="M204" s="48">
        <v>-519.47174062029808</v>
      </c>
      <c r="N204" s="48">
        <v>-590.46088168919596</v>
      </c>
      <c r="O204" s="15"/>
      <c r="P204" s="22"/>
    </row>
    <row r="205" spans="2:16" x14ac:dyDescent="0.2">
      <c r="B205" s="24" t="s">
        <v>73</v>
      </c>
      <c r="C205" s="24"/>
      <c r="D205" s="24"/>
      <c r="E205" s="55">
        <v>-819</v>
      </c>
      <c r="F205" s="65">
        <v>-8845</v>
      </c>
      <c r="G205" s="65">
        <v>-207</v>
      </c>
      <c r="H205" s="65">
        <v>-304</v>
      </c>
      <c r="I205" s="65">
        <v>509</v>
      </c>
      <c r="J205" s="65">
        <v>-281.7855090813523</v>
      </c>
      <c r="K205" s="65">
        <v>-320.29330400290291</v>
      </c>
      <c r="L205" s="65">
        <v>-364.06343577972439</v>
      </c>
      <c r="M205" s="65">
        <v>-413.81503645338853</v>
      </c>
      <c r="N205" s="65">
        <v>-470.36551206567583</v>
      </c>
      <c r="O205" s="31"/>
    </row>
    <row r="206" spans="2:16" x14ac:dyDescent="0.2">
      <c r="B206" s="27" t="s">
        <v>74</v>
      </c>
      <c r="C206" s="27"/>
      <c r="D206" s="27"/>
      <c r="E206" s="29">
        <v>-1010</v>
      </c>
      <c r="F206" s="29">
        <v>-9146</v>
      </c>
      <c r="G206" s="29">
        <v>-227</v>
      </c>
      <c r="H206" s="29">
        <v>-433</v>
      </c>
      <c r="I206" s="29">
        <v>190</v>
      </c>
      <c r="J206" s="29">
        <v>-817.93209291247399</v>
      </c>
      <c r="K206" s="29">
        <v>-722.3650159576116</v>
      </c>
      <c r="L206" s="29">
        <v>-821.08082282675537</v>
      </c>
      <c r="M206" s="29">
        <v>-933.28677707368661</v>
      </c>
      <c r="N206" s="29">
        <v>-1060.8263937548718</v>
      </c>
      <c r="O206" s="28"/>
      <c r="P206" s="29"/>
    </row>
    <row r="208" spans="2:16" x14ac:dyDescent="0.2">
      <c r="B208" s="44" t="s">
        <v>75</v>
      </c>
      <c r="C208" s="45"/>
      <c r="D208" s="45"/>
      <c r="E208" s="45"/>
      <c r="F208" s="45"/>
      <c r="G208" s="45"/>
      <c r="H208" s="45"/>
      <c r="I208" s="45"/>
      <c r="J208" s="45"/>
      <c r="K208" s="45"/>
      <c r="L208" s="45"/>
      <c r="M208" s="45"/>
      <c r="N208" s="45"/>
      <c r="O208" s="45"/>
      <c r="P208" s="45"/>
    </row>
    <row r="209" spans="1:16" x14ac:dyDescent="0.2">
      <c r="B209" t="s">
        <v>76</v>
      </c>
      <c r="E209" s="53">
        <v>0</v>
      </c>
      <c r="F209" s="48">
        <v>0</v>
      </c>
      <c r="G209" s="48">
        <v>0</v>
      </c>
      <c r="H209" s="48">
        <v>0</v>
      </c>
      <c r="I209" s="48">
        <v>0</v>
      </c>
      <c r="J209" s="48">
        <v>810.56780522850022</v>
      </c>
      <c r="K209" s="48">
        <v>180.1066302505219</v>
      </c>
      <c r="L209" s="48">
        <v>350.76127500629491</v>
      </c>
      <c r="M209" s="48">
        <v>528.00118486883775</v>
      </c>
      <c r="N209" s="48">
        <v>714.98805417695849</v>
      </c>
      <c r="O209" s="15"/>
    </row>
    <row r="210" spans="1:16" x14ac:dyDescent="0.2">
      <c r="B210" t="s">
        <v>77</v>
      </c>
      <c r="E210" s="53">
        <v>-3</v>
      </c>
      <c r="F210" s="48">
        <v>7239</v>
      </c>
      <c r="G210" s="48">
        <v>-825</v>
      </c>
      <c r="H210" s="48">
        <v>-578</v>
      </c>
      <c r="I210" s="48">
        <v>-1216</v>
      </c>
      <c r="J210" s="48">
        <v>0</v>
      </c>
      <c r="K210" s="48">
        <v>0</v>
      </c>
      <c r="L210" s="48">
        <v>0</v>
      </c>
      <c r="M210" s="48">
        <v>0</v>
      </c>
      <c r="N210" s="48">
        <v>0</v>
      </c>
      <c r="O210" s="15"/>
    </row>
    <row r="211" spans="1:16" x14ac:dyDescent="0.2">
      <c r="B211" t="s">
        <v>78</v>
      </c>
      <c r="E211" s="53">
        <v>-4</v>
      </c>
      <c r="F211" s="48">
        <v>40</v>
      </c>
      <c r="G211" s="48">
        <v>-24</v>
      </c>
      <c r="H211" s="48">
        <v>97</v>
      </c>
      <c r="I211" s="48">
        <v>70</v>
      </c>
      <c r="J211" s="48">
        <v>160.98124621621378</v>
      </c>
      <c r="K211" s="48">
        <v>182.98036475044569</v>
      </c>
      <c r="L211" s="48">
        <v>207.98580375776669</v>
      </c>
      <c r="M211" s="48">
        <v>236.40839618918108</v>
      </c>
      <c r="N211" s="48">
        <v>268.71511795022593</v>
      </c>
      <c r="O211" s="15"/>
    </row>
    <row r="212" spans="1:16" x14ac:dyDescent="0.2">
      <c r="B212" t="s">
        <v>79</v>
      </c>
      <c r="E212" s="48">
        <v>-337</v>
      </c>
      <c r="F212" s="48">
        <v>-344</v>
      </c>
      <c r="G212" s="48">
        <v>-350</v>
      </c>
      <c r="H212" s="48">
        <v>-389</v>
      </c>
      <c r="I212" s="48">
        <v>-503</v>
      </c>
      <c r="J212" s="48">
        <v>-748.59807968312953</v>
      </c>
      <c r="K212" s="48">
        <v>-883.40650536831663</v>
      </c>
      <c r="L212" s="48">
        <v>-1045.9410768411917</v>
      </c>
      <c r="M212" s="48">
        <v>-1225.023174460362</v>
      </c>
      <c r="N212" s="48">
        <v>-1424.3143253259714</v>
      </c>
      <c r="O212" s="15"/>
    </row>
    <row r="213" spans="1:16" x14ac:dyDescent="0.2">
      <c r="B213" t="s">
        <v>80</v>
      </c>
      <c r="E213" s="48">
        <v>25</v>
      </c>
      <c r="F213" s="48">
        <v>117</v>
      </c>
      <c r="G213" s="48">
        <v>0</v>
      </c>
      <c r="H213" s="48">
        <v>0</v>
      </c>
      <c r="I213" s="48">
        <v>132</v>
      </c>
      <c r="J213" s="48">
        <v>54.8</v>
      </c>
      <c r="K213" s="48">
        <v>54.8</v>
      </c>
      <c r="L213" s="48">
        <v>54.8</v>
      </c>
      <c r="M213" s="48">
        <v>54.8</v>
      </c>
      <c r="N213" s="48">
        <v>54.8</v>
      </c>
      <c r="O213" s="15"/>
    </row>
    <row r="214" spans="1:16" x14ac:dyDescent="0.2">
      <c r="B214" s="24" t="s">
        <v>81</v>
      </c>
      <c r="C214" s="24"/>
      <c r="D214" s="24"/>
      <c r="E214" s="65">
        <v>-100</v>
      </c>
      <c r="F214" s="65">
        <v>-54</v>
      </c>
      <c r="G214" s="65">
        <v>-87</v>
      </c>
      <c r="H214" s="65">
        <v>-125</v>
      </c>
      <c r="I214" s="65">
        <v>-185</v>
      </c>
      <c r="J214" s="65">
        <v>-203.58419641188223</v>
      </c>
      <c r="K214" s="65">
        <v>-240.24587877191016</v>
      </c>
      <c r="L214" s="65">
        <v>-284.44779568901095</v>
      </c>
      <c r="M214" s="65">
        <v>-333.14987752040611</v>
      </c>
      <c r="N214" s="65">
        <v>-387.34789098331538</v>
      </c>
      <c r="O214" s="31"/>
    </row>
    <row r="215" spans="1:16" x14ac:dyDescent="0.2">
      <c r="B215" s="27" t="s">
        <v>82</v>
      </c>
      <c r="C215" s="27"/>
      <c r="D215" s="27"/>
      <c r="E215" s="29">
        <v>-419</v>
      </c>
      <c r="F215" s="29">
        <v>6998</v>
      </c>
      <c r="G215" s="29">
        <v>-1286</v>
      </c>
      <c r="H215" s="29">
        <v>-995</v>
      </c>
      <c r="I215" s="29">
        <v>-1702</v>
      </c>
      <c r="J215" s="29">
        <v>74.166775349702249</v>
      </c>
      <c r="K215" s="29">
        <v>-705.76538913925924</v>
      </c>
      <c r="L215" s="29">
        <v>-716.84179376614111</v>
      </c>
      <c r="M215" s="29">
        <v>-738.96347092274937</v>
      </c>
      <c r="N215" s="29">
        <v>-773.15904418210232</v>
      </c>
      <c r="O215" s="28"/>
      <c r="P215" s="29"/>
    </row>
    <row r="217" spans="1:16" x14ac:dyDescent="0.2">
      <c r="B217" s="67" t="s">
        <v>83</v>
      </c>
      <c r="C217" s="67"/>
      <c r="D217" s="67"/>
      <c r="E217" s="68">
        <v>-462</v>
      </c>
      <c r="F217" s="68">
        <v>-818</v>
      </c>
      <c r="G217" s="68">
        <v>-116</v>
      </c>
      <c r="H217" s="68">
        <v>-244</v>
      </c>
      <c r="I217" s="68">
        <v>278</v>
      </c>
      <c r="J217" s="68">
        <v>694.15182109761349</v>
      </c>
      <c r="K217" s="68">
        <v>209.92498687402394</v>
      </c>
      <c r="L217" s="68">
        <v>238.6125811005968</v>
      </c>
      <c r="M217" s="68">
        <v>271.22051884969801</v>
      </c>
      <c r="N217" s="68">
        <v>308.2845401772297</v>
      </c>
      <c r="O217" s="66"/>
      <c r="P217" s="66"/>
    </row>
    <row r="218" spans="1:16" ht="16" thickBot="1" x14ac:dyDescent="0.25">
      <c r="B218" s="49" t="s">
        <v>84</v>
      </c>
      <c r="C218" s="49"/>
      <c r="D218" s="49"/>
      <c r="E218" s="69">
        <v>1742</v>
      </c>
      <c r="F218" s="69">
        <v>924</v>
      </c>
      <c r="G218" s="69">
        <v>808</v>
      </c>
      <c r="H218" s="69">
        <v>564</v>
      </c>
      <c r="I218" s="69">
        <v>842</v>
      </c>
      <c r="J218" s="69">
        <v>1536.1518210976135</v>
      </c>
      <c r="K218" s="69">
        <v>1746.0768079716374</v>
      </c>
      <c r="L218" s="69">
        <v>1984.6893890722342</v>
      </c>
      <c r="M218" s="69">
        <v>2255.9099079219322</v>
      </c>
      <c r="N218" s="69">
        <v>2564.1944480991619</v>
      </c>
      <c r="O218" s="70"/>
      <c r="P218" s="70"/>
    </row>
    <row r="219" spans="1:16" ht="16" thickTop="1" x14ac:dyDescent="0.2">
      <c r="G219" s="43"/>
      <c r="H219" s="43"/>
      <c r="I219" s="43"/>
      <c r="J219" s="43"/>
    </row>
    <row r="220" spans="1:16" x14ac:dyDescent="0.2">
      <c r="A220" t="s">
        <v>10</v>
      </c>
      <c r="B220" s="1" t="s">
        <v>55</v>
      </c>
      <c r="C220" s="2"/>
      <c r="D220" s="2"/>
      <c r="E220" s="3" t="s">
        <v>1</v>
      </c>
      <c r="F220" s="3" t="s">
        <v>2</v>
      </c>
      <c r="G220" s="3" t="s">
        <v>3</v>
      </c>
      <c r="H220" s="3" t="s">
        <v>4</v>
      </c>
      <c r="I220" s="3" t="s">
        <v>5</v>
      </c>
      <c r="J220" s="3" t="s">
        <v>12</v>
      </c>
      <c r="K220" s="3" t="s">
        <v>13</v>
      </c>
      <c r="L220" s="3" t="s">
        <v>14</v>
      </c>
      <c r="M220" s="3" t="s">
        <v>15</v>
      </c>
      <c r="N220" s="3" t="s">
        <v>16</v>
      </c>
      <c r="O220" s="3"/>
      <c r="P220" s="3"/>
    </row>
    <row r="222" spans="1:16" x14ac:dyDescent="0.2">
      <c r="B222" s="27" t="s">
        <v>85</v>
      </c>
      <c r="C222" s="27"/>
      <c r="D222" s="27"/>
      <c r="E222" s="71">
        <v>3282</v>
      </c>
      <c r="F222" s="66">
        <v>3201</v>
      </c>
      <c r="G222" s="66">
        <v>3214</v>
      </c>
      <c r="H222" s="66">
        <v>3435</v>
      </c>
      <c r="I222" s="66">
        <v>3395</v>
      </c>
      <c r="J222" s="66">
        <v>4179</v>
      </c>
      <c r="K222" s="66">
        <v>4281.3917855827585</v>
      </c>
      <c r="L222" s="66">
        <v>4402.2224047561012</v>
      </c>
      <c r="M222" s="66">
        <v>4545.2841856752502</v>
      </c>
      <c r="N222" s="66">
        <v>4712.8404666990409</v>
      </c>
    </row>
    <row r="223" spans="1:16" x14ac:dyDescent="0.2">
      <c r="B223" t="s">
        <v>62</v>
      </c>
      <c r="E223" s="22">
        <v>256</v>
      </c>
      <c r="F223" s="22">
        <v>357</v>
      </c>
      <c r="G223" s="22">
        <v>571</v>
      </c>
      <c r="H223" s="22">
        <v>349</v>
      </c>
      <c r="I223" s="22">
        <v>1287</v>
      </c>
      <c r="J223" s="22">
        <v>850.98986526588874</v>
      </c>
      <c r="K223" s="22">
        <v>1004.2371245416585</v>
      </c>
      <c r="L223" s="22">
        <v>1189.0028577603407</v>
      </c>
      <c r="M223" s="22">
        <v>1392.5794554841525</v>
      </c>
      <c r="N223" s="22">
        <v>1619.1292613500664</v>
      </c>
    </row>
    <row r="224" spans="1:16" x14ac:dyDescent="0.2">
      <c r="B224" s="24" t="s">
        <v>86</v>
      </c>
      <c r="C224" s="24"/>
      <c r="D224" s="24"/>
      <c r="E224" s="72">
        <v>-337</v>
      </c>
      <c r="F224" s="72">
        <v>-344</v>
      </c>
      <c r="G224" s="72">
        <v>-350</v>
      </c>
      <c r="H224" s="72">
        <v>-389</v>
      </c>
      <c r="I224" s="72">
        <v>-503</v>
      </c>
      <c r="J224" s="73">
        <v>-748.59807968312953</v>
      </c>
      <c r="K224" s="73">
        <v>-883.40650536831663</v>
      </c>
      <c r="L224" s="73">
        <v>-1045.9410768411917</v>
      </c>
      <c r="M224" s="73">
        <v>-1225.023174460362</v>
      </c>
      <c r="N224" s="73">
        <v>-1424.3143253259714</v>
      </c>
    </row>
    <row r="225" spans="1:16" x14ac:dyDescent="0.2">
      <c r="B225" s="27" t="s">
        <v>87</v>
      </c>
      <c r="C225" s="27"/>
      <c r="D225" s="27"/>
      <c r="E225" s="66">
        <v>3201</v>
      </c>
      <c r="F225" s="66">
        <v>3214</v>
      </c>
      <c r="G225" s="66">
        <v>3435</v>
      </c>
      <c r="H225" s="66">
        <v>3395</v>
      </c>
      <c r="I225" s="66">
        <v>4179</v>
      </c>
      <c r="J225" s="66">
        <v>4281.3917855827585</v>
      </c>
      <c r="K225" s="66">
        <v>4402.2224047561012</v>
      </c>
      <c r="L225" s="66">
        <v>4545.2841856752502</v>
      </c>
      <c r="M225" s="66">
        <v>4712.8404666990409</v>
      </c>
      <c r="N225" s="66">
        <v>4907.6554027231359</v>
      </c>
    </row>
    <row r="226" spans="1:16" x14ac:dyDescent="0.2">
      <c r="H226" s="43"/>
      <c r="I226" s="43"/>
    </row>
    <row r="227" spans="1:16" x14ac:dyDescent="0.2">
      <c r="A227" t="s">
        <v>10</v>
      </c>
      <c r="B227" s="1" t="s">
        <v>54</v>
      </c>
      <c r="C227" s="2"/>
      <c r="D227" s="2"/>
      <c r="E227" s="3" t="s">
        <v>1</v>
      </c>
      <c r="F227" s="3" t="s">
        <v>2</v>
      </c>
      <c r="G227" s="3" t="s">
        <v>3</v>
      </c>
      <c r="H227" s="3" t="s">
        <v>4</v>
      </c>
      <c r="I227" s="3" t="s">
        <v>5</v>
      </c>
      <c r="J227" s="3" t="s">
        <v>12</v>
      </c>
      <c r="K227" s="3" t="s">
        <v>13</v>
      </c>
      <c r="L227" s="3" t="s">
        <v>14</v>
      </c>
      <c r="M227" s="3" t="s">
        <v>15</v>
      </c>
      <c r="N227" s="3" t="s">
        <v>16</v>
      </c>
      <c r="O227" s="3"/>
      <c r="P227" s="3"/>
    </row>
    <row r="229" spans="1:16" x14ac:dyDescent="0.2">
      <c r="B229" s="27" t="s">
        <v>88</v>
      </c>
      <c r="C229" s="27"/>
      <c r="D229" s="27"/>
      <c r="E229" s="74">
        <v>-731</v>
      </c>
      <c r="F229" s="29">
        <v>-762</v>
      </c>
      <c r="G229" s="29">
        <v>-736</v>
      </c>
      <c r="H229" s="29">
        <v>-742</v>
      </c>
      <c r="I229" s="29">
        <v>-800</v>
      </c>
      <c r="J229" s="29">
        <v>-922</v>
      </c>
      <c r="K229" s="29">
        <v>-1053.5841964118822</v>
      </c>
      <c r="L229" s="29">
        <v>-1221.8300751837924</v>
      </c>
      <c r="M229" s="29">
        <v>-1434.2778708728033</v>
      </c>
      <c r="N229" s="29">
        <v>-1695.4277483932094</v>
      </c>
    </row>
    <row r="230" spans="1:16" x14ac:dyDescent="0.2">
      <c r="B230" t="s">
        <v>89</v>
      </c>
      <c r="E230" s="20">
        <v>-100</v>
      </c>
      <c r="F230" s="20">
        <v>-54</v>
      </c>
      <c r="G230" s="20">
        <v>-87</v>
      </c>
      <c r="H230" s="20">
        <v>-125</v>
      </c>
      <c r="I230" s="20">
        <v>-185</v>
      </c>
      <c r="J230" s="39">
        <v>-203.58419641188223</v>
      </c>
      <c r="K230" s="39">
        <v>-240.24587877191016</v>
      </c>
      <c r="L230" s="39">
        <v>-284.44779568901095</v>
      </c>
      <c r="M230" s="39">
        <v>-333.14987752040611</v>
      </c>
      <c r="N230" s="39">
        <v>-387.34789098331538</v>
      </c>
    </row>
    <row r="231" spans="1:16" x14ac:dyDescent="0.2">
      <c r="B231" s="24" t="s">
        <v>92</v>
      </c>
      <c r="C231" s="24"/>
      <c r="D231" s="24"/>
      <c r="E231" s="56">
        <v>69</v>
      </c>
      <c r="F231" s="56">
        <v>80</v>
      </c>
      <c r="G231" s="56">
        <v>81</v>
      </c>
      <c r="H231" s="56">
        <v>67</v>
      </c>
      <c r="I231" s="56">
        <v>63</v>
      </c>
      <c r="J231" s="47">
        <v>72</v>
      </c>
      <c r="K231" s="47">
        <v>72</v>
      </c>
      <c r="L231" s="47">
        <v>72</v>
      </c>
      <c r="M231" s="47">
        <v>72</v>
      </c>
      <c r="N231" s="47">
        <v>72</v>
      </c>
    </row>
    <row r="232" spans="1:16" x14ac:dyDescent="0.2">
      <c r="B232" s="27" t="s">
        <v>90</v>
      </c>
      <c r="C232" s="27"/>
      <c r="D232" s="27"/>
      <c r="E232" s="29">
        <v>-762</v>
      </c>
      <c r="F232" s="29">
        <v>-736</v>
      </c>
      <c r="G232" s="29">
        <v>-742</v>
      </c>
      <c r="H232" s="29">
        <v>-800</v>
      </c>
      <c r="I232" s="29">
        <v>-922</v>
      </c>
      <c r="J232" s="29">
        <v>-1053.5841964118822</v>
      </c>
      <c r="K232" s="29">
        <v>-1221.8300751837924</v>
      </c>
      <c r="L232" s="29">
        <v>-1434.2778708728033</v>
      </c>
      <c r="M232" s="29">
        <v>-1695.4277483932094</v>
      </c>
      <c r="N232" s="29">
        <v>-2010.7756393765249</v>
      </c>
    </row>
    <row r="234" spans="1:16" x14ac:dyDescent="0.2">
      <c r="A234" t="s">
        <v>10</v>
      </c>
      <c r="B234" s="1" t="s">
        <v>127</v>
      </c>
      <c r="C234" s="2"/>
      <c r="D234" s="2"/>
      <c r="E234" s="3" t="s">
        <v>1</v>
      </c>
      <c r="F234" s="3" t="s">
        <v>2</v>
      </c>
      <c r="G234" s="3" t="s">
        <v>3</v>
      </c>
      <c r="H234" s="3" t="s">
        <v>4</v>
      </c>
      <c r="I234" s="3" t="s">
        <v>5</v>
      </c>
      <c r="J234" s="3" t="s">
        <v>12</v>
      </c>
      <c r="K234" s="3" t="s">
        <v>13</v>
      </c>
      <c r="L234" s="3" t="s">
        <v>14</v>
      </c>
      <c r="M234" s="3" t="s">
        <v>15</v>
      </c>
      <c r="N234" s="3" t="s">
        <v>16</v>
      </c>
      <c r="O234" s="3"/>
      <c r="P234" s="3"/>
    </row>
    <row r="236" spans="1:16" x14ac:dyDescent="0.2">
      <c r="B236" s="27" t="s">
        <v>128</v>
      </c>
      <c r="C236" s="27"/>
      <c r="D236" s="27"/>
      <c r="E236" s="74">
        <v>2537</v>
      </c>
      <c r="F236" s="29">
        <v>2562</v>
      </c>
      <c r="G236" s="29">
        <v>2679</v>
      </c>
      <c r="H236" s="29">
        <v>2679</v>
      </c>
      <c r="I236" s="29">
        <v>2679</v>
      </c>
      <c r="J236" s="29">
        <v>2811</v>
      </c>
      <c r="K236" s="29">
        <v>2865.8</v>
      </c>
      <c r="L236" s="29">
        <v>2920.6000000000004</v>
      </c>
      <c r="M236" s="29">
        <v>2975.4000000000005</v>
      </c>
      <c r="N236" s="29">
        <v>3030.2000000000007</v>
      </c>
    </row>
    <row r="237" spans="1:16" x14ac:dyDescent="0.2">
      <c r="B237" t="s">
        <v>91</v>
      </c>
      <c r="E237" s="56">
        <v>25</v>
      </c>
      <c r="F237" s="56">
        <v>117</v>
      </c>
      <c r="G237" s="56">
        <v>0</v>
      </c>
      <c r="H237" s="56">
        <v>0</v>
      </c>
      <c r="I237" s="56">
        <v>132</v>
      </c>
      <c r="J237" s="65">
        <v>54.8</v>
      </c>
      <c r="K237" s="65">
        <v>54.8</v>
      </c>
      <c r="L237" s="65">
        <v>54.8</v>
      </c>
      <c r="M237" s="65">
        <v>54.8</v>
      </c>
      <c r="N237" s="65">
        <v>54.8</v>
      </c>
    </row>
    <row r="238" spans="1:16" x14ac:dyDescent="0.2">
      <c r="B238" s="27" t="s">
        <v>129</v>
      </c>
      <c r="C238" s="27"/>
      <c r="D238" s="27"/>
      <c r="E238" s="29">
        <v>2562</v>
      </c>
      <c r="F238" s="29">
        <v>2679</v>
      </c>
      <c r="G238" s="29">
        <v>2679</v>
      </c>
      <c r="H238" s="29">
        <v>2679</v>
      </c>
      <c r="I238" s="29">
        <v>2811</v>
      </c>
      <c r="J238" s="29">
        <v>2865.8</v>
      </c>
      <c r="K238" s="29">
        <v>2920.6000000000004</v>
      </c>
      <c r="L238" s="29">
        <v>2975.4000000000005</v>
      </c>
      <c r="M238" s="29">
        <v>3030.2000000000007</v>
      </c>
      <c r="N238" s="29">
        <v>3085.0000000000009</v>
      </c>
    </row>
    <row r="240" spans="1:16" x14ac:dyDescent="0.2">
      <c r="A240" t="s">
        <v>10</v>
      </c>
      <c r="B240" s="1" t="s">
        <v>93</v>
      </c>
      <c r="C240" s="2"/>
      <c r="D240" s="2"/>
      <c r="E240" s="3" t="s">
        <v>1</v>
      </c>
      <c r="F240" s="3" t="s">
        <v>2</v>
      </c>
      <c r="G240" s="3" t="s">
        <v>3</v>
      </c>
      <c r="H240" s="3" t="s">
        <v>4</v>
      </c>
      <c r="I240" s="3" t="s">
        <v>5</v>
      </c>
      <c r="J240" s="3" t="s">
        <v>12</v>
      </c>
      <c r="K240" s="3" t="s">
        <v>13</v>
      </c>
      <c r="L240" s="3" t="s">
        <v>14</v>
      </c>
      <c r="M240" s="3" t="s">
        <v>15</v>
      </c>
      <c r="N240" s="3" t="s">
        <v>16</v>
      </c>
      <c r="O240" s="3"/>
      <c r="P240" s="3"/>
    </row>
    <row r="242" spans="1:16" x14ac:dyDescent="0.2">
      <c r="B242" s="27" t="s">
        <v>94</v>
      </c>
      <c r="C242" s="27"/>
      <c r="D242" s="27"/>
      <c r="E242" s="74">
        <v>683</v>
      </c>
      <c r="F242" s="29">
        <v>767</v>
      </c>
      <c r="G242" s="29">
        <v>996</v>
      </c>
      <c r="H242" s="29">
        <v>875</v>
      </c>
      <c r="I242" s="29">
        <v>852</v>
      </c>
      <c r="J242" s="29">
        <v>965</v>
      </c>
      <c r="K242" s="29">
        <v>1304.2161688359597</v>
      </c>
      <c r="L242" s="29">
        <v>1482.4456630588363</v>
      </c>
      <c r="M242" s="29">
        <v>1685.0313593975739</v>
      </c>
      <c r="N242" s="29">
        <v>1915.3016888960647</v>
      </c>
    </row>
    <row r="243" spans="1:16" x14ac:dyDescent="0.2">
      <c r="B243" t="s">
        <v>95</v>
      </c>
      <c r="E243" s="57">
        <v>191</v>
      </c>
      <c r="F243" s="57">
        <v>301</v>
      </c>
      <c r="G243" s="57">
        <v>20</v>
      </c>
      <c r="H243" s="57">
        <v>129</v>
      </c>
      <c r="I243" s="57">
        <v>319</v>
      </c>
      <c r="J243" s="48">
        <v>536.14658383112169</v>
      </c>
      <c r="K243" s="48">
        <v>402.07171195470869</v>
      </c>
      <c r="L243" s="48">
        <v>457.01738704703098</v>
      </c>
      <c r="M243" s="48">
        <v>519.47174062029808</v>
      </c>
      <c r="N243" s="48">
        <v>590.46088168919596</v>
      </c>
    </row>
    <row r="244" spans="1:16" x14ac:dyDescent="0.2">
      <c r="B244" s="24" t="s">
        <v>63</v>
      </c>
      <c r="C244" s="24"/>
      <c r="D244" s="24"/>
      <c r="E244" s="55">
        <v>-107</v>
      </c>
      <c r="F244" s="55">
        <v>-72</v>
      </c>
      <c r="G244" s="55">
        <v>-141</v>
      </c>
      <c r="H244" s="55">
        <v>-152</v>
      </c>
      <c r="I244" s="55">
        <v>-206</v>
      </c>
      <c r="J244" s="47">
        <v>-196.93041499516198</v>
      </c>
      <c r="K244" s="47">
        <v>-223.84221773183205</v>
      </c>
      <c r="L244" s="47">
        <v>-254.43169070829333</v>
      </c>
      <c r="M244" s="47">
        <v>-289.20141112180715</v>
      </c>
      <c r="N244" s="47">
        <v>-328.72263656312816</v>
      </c>
    </row>
    <row r="245" spans="1:16" x14ac:dyDescent="0.2">
      <c r="B245" s="27" t="s">
        <v>96</v>
      </c>
      <c r="C245" s="27"/>
      <c r="D245" s="27"/>
      <c r="E245" s="66">
        <v>767</v>
      </c>
      <c r="F245" s="66">
        <v>996</v>
      </c>
      <c r="G245" s="66">
        <v>875</v>
      </c>
      <c r="H245" s="66">
        <v>852</v>
      </c>
      <c r="I245" s="66">
        <v>965</v>
      </c>
      <c r="J245" s="66">
        <v>1304.2161688359597</v>
      </c>
      <c r="K245" s="66">
        <v>1482.4456630588363</v>
      </c>
      <c r="L245" s="66">
        <v>1685.0313593975739</v>
      </c>
      <c r="M245" s="66">
        <v>1915.3016888960647</v>
      </c>
      <c r="N245" s="66">
        <v>2177.0399340221325</v>
      </c>
    </row>
    <row r="246" spans="1:16" x14ac:dyDescent="0.2">
      <c r="E246" s="38"/>
      <c r="F246" s="38"/>
      <c r="G246" s="38"/>
      <c r="H246" s="38"/>
      <c r="I246" s="38"/>
    </row>
    <row r="247" spans="1:16" x14ac:dyDescent="0.2">
      <c r="A247" t="s">
        <v>10</v>
      </c>
      <c r="B247" s="1" t="s">
        <v>97</v>
      </c>
      <c r="C247" s="2"/>
      <c r="D247" s="2"/>
      <c r="E247" s="3" t="s">
        <v>1</v>
      </c>
      <c r="F247" s="3" t="s">
        <v>2</v>
      </c>
      <c r="G247" s="3" t="s">
        <v>3</v>
      </c>
      <c r="H247" s="3" t="s">
        <v>4</v>
      </c>
      <c r="I247" s="3" t="s">
        <v>5</v>
      </c>
      <c r="J247" s="3" t="s">
        <v>12</v>
      </c>
      <c r="K247" s="3" t="s">
        <v>13</v>
      </c>
      <c r="L247" s="3" t="s">
        <v>14</v>
      </c>
      <c r="M247" s="3" t="s">
        <v>15</v>
      </c>
      <c r="N247" s="3" t="s">
        <v>16</v>
      </c>
      <c r="O247" s="3"/>
      <c r="P247" s="3"/>
    </row>
    <row r="249" spans="1:16" x14ac:dyDescent="0.2">
      <c r="B249" s="27" t="s">
        <v>98</v>
      </c>
      <c r="C249" s="27"/>
      <c r="D249" s="27"/>
      <c r="E249" s="74">
        <v>2148</v>
      </c>
      <c r="F249" s="29">
        <v>1708</v>
      </c>
      <c r="G249" s="29">
        <v>6731</v>
      </c>
      <c r="H249" s="29">
        <v>5748</v>
      </c>
      <c r="I249" s="29">
        <v>4841</v>
      </c>
      <c r="J249" s="29">
        <v>4090</v>
      </c>
      <c r="K249" s="29">
        <v>3559.2269862203243</v>
      </c>
      <c r="L249" s="29">
        <v>3097.3341661220079</v>
      </c>
      <c r="M249" s="29">
        <v>2695.3827260155686</v>
      </c>
      <c r="N249" s="29">
        <v>2345.5938720358713</v>
      </c>
    </row>
    <row r="250" spans="1:16" x14ac:dyDescent="0.2">
      <c r="B250" t="s">
        <v>130</v>
      </c>
      <c r="E250" s="57">
        <v>23</v>
      </c>
      <c r="F250" s="57">
        <v>5662</v>
      </c>
      <c r="G250" s="57">
        <v>25</v>
      </c>
      <c r="H250" s="57">
        <v>-26</v>
      </c>
      <c r="I250" s="57">
        <v>-555</v>
      </c>
      <c r="J250" s="57">
        <v>0</v>
      </c>
      <c r="K250" s="57">
        <v>0</v>
      </c>
      <c r="L250" s="57">
        <v>0</v>
      </c>
      <c r="M250" s="57">
        <v>0</v>
      </c>
      <c r="N250" s="57">
        <v>0</v>
      </c>
    </row>
    <row r="251" spans="1:16" x14ac:dyDescent="0.2">
      <c r="B251" s="24" t="s">
        <v>64</v>
      </c>
      <c r="C251" s="24"/>
      <c r="D251" s="24"/>
      <c r="E251" s="55">
        <v>-463</v>
      </c>
      <c r="F251" s="55">
        <v>-639</v>
      </c>
      <c r="G251" s="55">
        <v>-1008</v>
      </c>
      <c r="H251" s="55">
        <v>-881</v>
      </c>
      <c r="I251" s="55">
        <v>-196</v>
      </c>
      <c r="J251" s="75">
        <v>-530.77301377967581</v>
      </c>
      <c r="K251" s="75">
        <v>-461.89282009831646</v>
      </c>
      <c r="L251" s="75">
        <v>-401.95144010643941</v>
      </c>
      <c r="M251" s="75">
        <v>-349.78885397969719</v>
      </c>
      <c r="N251" s="75">
        <v>-304.39558155589697</v>
      </c>
    </row>
    <row r="252" spans="1:16" x14ac:dyDescent="0.2">
      <c r="B252" s="27" t="s">
        <v>99</v>
      </c>
      <c r="C252" s="27"/>
      <c r="D252" s="27"/>
      <c r="E252" s="29">
        <v>1708</v>
      </c>
      <c r="F252" s="29">
        <v>6731</v>
      </c>
      <c r="G252" s="29">
        <v>5748</v>
      </c>
      <c r="H252" s="29">
        <v>4841</v>
      </c>
      <c r="I252" s="29">
        <v>4090</v>
      </c>
      <c r="J252" s="29">
        <v>3559.2269862203243</v>
      </c>
      <c r="K252" s="29">
        <v>3097.3341661220079</v>
      </c>
      <c r="L252" s="29">
        <v>2695.3827260155686</v>
      </c>
      <c r="M252" s="29">
        <v>2345.5938720358713</v>
      </c>
      <c r="N252" s="29">
        <v>2041.1982904799743</v>
      </c>
    </row>
    <row r="253" spans="1:16" x14ac:dyDescent="0.2">
      <c r="E253" s="38"/>
      <c r="F253" s="38"/>
      <c r="G253" s="38"/>
      <c r="H253" s="38"/>
      <c r="I253" s="38"/>
    </row>
    <row r="254" spans="1:16" x14ac:dyDescent="0.2">
      <c r="A254" t="s">
        <v>10</v>
      </c>
      <c r="B254" s="1" t="s">
        <v>116</v>
      </c>
      <c r="C254" s="2"/>
      <c r="D254" s="2"/>
      <c r="E254" s="3" t="s">
        <v>1</v>
      </c>
      <c r="F254" s="3" t="s">
        <v>2</v>
      </c>
      <c r="G254" s="3" t="s">
        <v>3</v>
      </c>
      <c r="H254" s="3" t="s">
        <v>4</v>
      </c>
      <c r="I254" s="3" t="s">
        <v>5</v>
      </c>
      <c r="J254" s="3" t="s">
        <v>12</v>
      </c>
      <c r="K254" s="3" t="s">
        <v>13</v>
      </c>
      <c r="L254" s="3" t="s">
        <v>14</v>
      </c>
      <c r="M254" s="3" t="s">
        <v>15</v>
      </c>
      <c r="N254" s="3" t="s">
        <v>16</v>
      </c>
      <c r="O254" s="3"/>
      <c r="P254" s="3"/>
    </row>
    <row r="256" spans="1:16" x14ac:dyDescent="0.2">
      <c r="B256" s="27" t="s">
        <v>117</v>
      </c>
      <c r="C256" s="27"/>
      <c r="D256" s="27"/>
      <c r="E256" s="74">
        <v>409</v>
      </c>
      <c r="F256" s="79">
        <v>206</v>
      </c>
      <c r="G256" s="79">
        <v>706</v>
      </c>
      <c r="H256" s="79">
        <v>319</v>
      </c>
      <c r="I256" s="79">
        <v>44</v>
      </c>
      <c r="J256" s="79">
        <v>40</v>
      </c>
      <c r="K256" s="79">
        <v>0</v>
      </c>
      <c r="L256" s="79">
        <v>0</v>
      </c>
      <c r="M256" s="79">
        <v>0</v>
      </c>
      <c r="N256" s="79">
        <v>0</v>
      </c>
    </row>
    <row r="257" spans="1:16" x14ac:dyDescent="0.2">
      <c r="B257" t="s">
        <v>118</v>
      </c>
      <c r="E257" s="43"/>
      <c r="F257" s="43"/>
      <c r="G257" s="43"/>
      <c r="H257" s="43"/>
      <c r="I257" s="43"/>
      <c r="J257" s="43">
        <v>50.058227368581697</v>
      </c>
      <c r="K257" s="43">
        <v>59.072772031862272</v>
      </c>
      <c r="L257" s="43">
        <v>69.941344574137688</v>
      </c>
      <c r="M257" s="43">
        <v>81.916438557891325</v>
      </c>
      <c r="N257" s="43">
        <v>95.242897726474496</v>
      </c>
    </row>
    <row r="258" spans="1:16" x14ac:dyDescent="0.2">
      <c r="B258" s="24" t="s">
        <v>119</v>
      </c>
      <c r="C258" s="24"/>
      <c r="D258" s="24"/>
      <c r="E258" s="56">
        <v>-203</v>
      </c>
      <c r="F258" s="56">
        <v>500</v>
      </c>
      <c r="G258" s="56">
        <v>-387</v>
      </c>
      <c r="H258" s="56">
        <v>-275</v>
      </c>
      <c r="I258" s="56">
        <v>-4</v>
      </c>
      <c r="J258" s="47">
        <v>-40</v>
      </c>
      <c r="K258" s="47">
        <v>0</v>
      </c>
      <c r="L258" s="47">
        <v>0</v>
      </c>
      <c r="M258" s="47">
        <v>0</v>
      </c>
      <c r="N258" s="47">
        <v>0</v>
      </c>
    </row>
    <row r="259" spans="1:16" x14ac:dyDescent="0.2">
      <c r="B259" s="27" t="s">
        <v>120</v>
      </c>
      <c r="C259" s="27"/>
      <c r="D259" s="27"/>
      <c r="E259" s="29">
        <v>206</v>
      </c>
      <c r="F259" s="29">
        <v>706</v>
      </c>
      <c r="G259" s="29">
        <v>319</v>
      </c>
      <c r="H259" s="29">
        <v>44</v>
      </c>
      <c r="I259" s="29">
        <v>40</v>
      </c>
      <c r="J259" s="29">
        <v>0</v>
      </c>
      <c r="K259" s="29">
        <v>0</v>
      </c>
      <c r="L259" s="29">
        <v>0</v>
      </c>
      <c r="M259" s="29">
        <v>0</v>
      </c>
      <c r="N259" s="29">
        <v>0</v>
      </c>
    </row>
    <row r="260" spans="1:16" x14ac:dyDescent="0.2">
      <c r="B260" s="27"/>
      <c r="C260" s="27"/>
      <c r="D260" s="27"/>
      <c r="E260" s="29"/>
      <c r="F260" s="29"/>
      <c r="G260" s="29"/>
      <c r="H260" s="29"/>
      <c r="I260" s="29"/>
      <c r="J260" s="29"/>
      <c r="K260" s="29"/>
      <c r="L260" s="29"/>
      <c r="M260" s="29"/>
      <c r="N260" s="29"/>
    </row>
    <row r="261" spans="1:16" x14ac:dyDescent="0.2">
      <c r="A261" t="s">
        <v>10</v>
      </c>
      <c r="B261" s="1" t="s">
        <v>100</v>
      </c>
      <c r="C261" s="2"/>
      <c r="D261" s="2"/>
      <c r="E261" s="3" t="s">
        <v>1</v>
      </c>
      <c r="F261" s="3" t="s">
        <v>2</v>
      </c>
      <c r="G261" s="3" t="s">
        <v>3</v>
      </c>
      <c r="H261" s="3" t="s">
        <v>4</v>
      </c>
      <c r="I261" s="3" t="s">
        <v>5</v>
      </c>
      <c r="J261" s="3" t="s">
        <v>12</v>
      </c>
      <c r="K261" s="3" t="s">
        <v>13</v>
      </c>
      <c r="L261" s="3" t="s">
        <v>14</v>
      </c>
      <c r="M261" s="3" t="s">
        <v>15</v>
      </c>
      <c r="N261" s="3" t="s">
        <v>16</v>
      </c>
      <c r="O261" s="3"/>
      <c r="P261" s="3"/>
    </row>
    <row r="262" spans="1:16" x14ac:dyDescent="0.2">
      <c r="B262" s="44" t="s">
        <v>101</v>
      </c>
      <c r="C262" s="45"/>
      <c r="D262" s="45"/>
      <c r="E262" s="45"/>
      <c r="F262" s="45"/>
      <c r="G262" s="45"/>
      <c r="H262" s="45"/>
      <c r="I262" s="45"/>
      <c r="J262" s="45"/>
      <c r="K262" s="45"/>
      <c r="L262" s="45"/>
      <c r="M262" s="45"/>
      <c r="N262" s="45"/>
      <c r="O262" s="45"/>
      <c r="P262" s="45"/>
    </row>
    <row r="263" spans="1:16" x14ac:dyDescent="0.2">
      <c r="B263" t="s">
        <v>131</v>
      </c>
      <c r="E263" s="52"/>
      <c r="F263" s="52"/>
      <c r="G263" s="52"/>
      <c r="H263" s="52"/>
      <c r="I263" s="52"/>
      <c r="J263" s="52">
        <v>842</v>
      </c>
      <c r="K263" s="52">
        <v>1536.1518210976135</v>
      </c>
      <c r="L263" s="52">
        <v>1746.0768079716374</v>
      </c>
      <c r="M263" s="52">
        <v>1984.6893890722342</v>
      </c>
      <c r="N263" s="52">
        <v>2255.9099079219322</v>
      </c>
    </row>
    <row r="264" spans="1:16" x14ac:dyDescent="0.2">
      <c r="B264" t="s">
        <v>102</v>
      </c>
      <c r="E264" s="52"/>
      <c r="F264" s="52"/>
      <c r="G264" s="52"/>
      <c r="H264" s="52"/>
      <c r="I264" s="52"/>
      <c r="J264" s="22">
        <v>-116.41598413088671</v>
      </c>
      <c r="K264" s="22">
        <v>29.818356623502098</v>
      </c>
      <c r="L264" s="22">
        <v>-112.14869390569805</v>
      </c>
      <c r="M264" s="22">
        <v>-256.78066601913969</v>
      </c>
      <c r="N264" s="22">
        <v>-406.7035139997289</v>
      </c>
    </row>
    <row r="265" spans="1:16" x14ac:dyDescent="0.2">
      <c r="B265" s="24" t="s">
        <v>103</v>
      </c>
      <c r="C265" s="24"/>
      <c r="D265" s="24"/>
      <c r="E265" s="76"/>
      <c r="F265" s="76"/>
      <c r="G265" s="76"/>
      <c r="H265" s="76"/>
      <c r="I265" s="76"/>
      <c r="J265" s="76">
        <v>1536.1518210976135</v>
      </c>
      <c r="K265" s="76">
        <v>1746.0768079716374</v>
      </c>
      <c r="L265" s="76">
        <v>1984.6893890722342</v>
      </c>
      <c r="M265" s="76">
        <v>2255.9099079219322</v>
      </c>
      <c r="N265" s="76">
        <v>2564.1944480991619</v>
      </c>
    </row>
    <row r="266" spans="1:16" x14ac:dyDescent="0.2">
      <c r="B266" t="s">
        <v>101</v>
      </c>
      <c r="E266" s="43"/>
      <c r="F266" s="43"/>
      <c r="G266" s="43"/>
      <c r="H266" s="43"/>
      <c r="I266" s="43"/>
      <c r="J266" s="43">
        <v>-810.56780522850022</v>
      </c>
      <c r="K266" s="43">
        <v>-180.1066302505219</v>
      </c>
      <c r="L266" s="43">
        <v>-350.76127500629491</v>
      </c>
      <c r="M266" s="43">
        <v>-528.00118486883775</v>
      </c>
      <c r="N266" s="43">
        <v>-714.98805417695849</v>
      </c>
    </row>
    <row r="267" spans="1:16" x14ac:dyDescent="0.2">
      <c r="J267" s="77"/>
    </row>
    <row r="268" spans="1:16" x14ac:dyDescent="0.2">
      <c r="B268" s="44" t="s">
        <v>100</v>
      </c>
      <c r="C268" s="45"/>
      <c r="D268" s="45"/>
      <c r="E268" s="45"/>
      <c r="F268" s="45"/>
      <c r="G268" s="45"/>
      <c r="H268" s="45"/>
      <c r="I268" s="45"/>
      <c r="J268" s="45"/>
      <c r="K268" s="45"/>
      <c r="L268" s="45"/>
      <c r="M268" s="45"/>
      <c r="N268" s="45"/>
      <c r="O268" s="45"/>
      <c r="P268" s="45"/>
    </row>
    <row r="269" spans="1:16" x14ac:dyDescent="0.2">
      <c r="B269" t="s">
        <v>104</v>
      </c>
      <c r="E269" s="43"/>
      <c r="F269" s="43"/>
      <c r="G269" s="43"/>
      <c r="H269" s="43"/>
      <c r="I269" s="43"/>
      <c r="J269" s="43">
        <v>0</v>
      </c>
      <c r="K269" s="43">
        <v>810.56780522850022</v>
      </c>
      <c r="L269" s="43">
        <v>990.67443547902212</v>
      </c>
      <c r="M269" s="43">
        <v>1341.435710485317</v>
      </c>
      <c r="N269" s="43">
        <v>1869.4368953541548</v>
      </c>
    </row>
    <row r="270" spans="1:16" x14ac:dyDescent="0.2">
      <c r="B270" s="24" t="s">
        <v>105</v>
      </c>
      <c r="C270" s="24"/>
      <c r="D270" s="24"/>
      <c r="E270" s="24"/>
      <c r="F270" s="24"/>
      <c r="G270" s="24"/>
      <c r="H270" s="24"/>
      <c r="I270" s="24"/>
      <c r="J270" s="47">
        <v>810.56780522850022</v>
      </c>
      <c r="K270" s="47">
        <v>180.1066302505219</v>
      </c>
      <c r="L270" s="47">
        <v>350.76127500629491</v>
      </c>
      <c r="M270" s="47">
        <v>528.00118486883775</v>
      </c>
      <c r="N270" s="47">
        <v>714.98805417695849</v>
      </c>
    </row>
    <row r="271" spans="1:16" x14ac:dyDescent="0.2">
      <c r="B271" t="s">
        <v>106</v>
      </c>
      <c r="F271" s="43"/>
      <c r="G271" s="43"/>
      <c r="H271" s="43"/>
      <c r="I271" s="43"/>
      <c r="J271" s="43">
        <v>810.56780522850022</v>
      </c>
      <c r="K271" s="43">
        <v>990.67443547902212</v>
      </c>
      <c r="L271" s="43">
        <v>1341.435710485317</v>
      </c>
      <c r="M271" s="43">
        <v>1869.4368953541548</v>
      </c>
      <c r="N271" s="43">
        <v>2584.4249495311133</v>
      </c>
    </row>
    <row r="272" spans="1:16" x14ac:dyDescent="0.2">
      <c r="F272" s="43"/>
      <c r="G272" s="43"/>
      <c r="H272" s="43"/>
      <c r="I272" s="43"/>
      <c r="J272" s="43"/>
      <c r="K272" s="43"/>
      <c r="L272" s="43"/>
      <c r="M272" s="43"/>
      <c r="N272" s="43"/>
    </row>
    <row r="273" spans="1:16" x14ac:dyDescent="0.2">
      <c r="A273" t="s">
        <v>10</v>
      </c>
      <c r="B273" s="1" t="s">
        <v>25</v>
      </c>
      <c r="C273" s="2"/>
      <c r="D273" s="2"/>
      <c r="E273" s="3" t="s">
        <v>1</v>
      </c>
      <c r="F273" s="3" t="s">
        <v>2</v>
      </c>
      <c r="G273" s="3" t="s">
        <v>3</v>
      </c>
      <c r="H273" s="3" t="s">
        <v>4</v>
      </c>
      <c r="I273" s="3" t="s">
        <v>5</v>
      </c>
      <c r="J273" s="3" t="s">
        <v>12</v>
      </c>
      <c r="K273" s="3" t="s">
        <v>13</v>
      </c>
      <c r="L273" s="3" t="s">
        <v>14</v>
      </c>
      <c r="M273" s="3" t="s">
        <v>15</v>
      </c>
      <c r="N273" s="3" t="s">
        <v>16</v>
      </c>
      <c r="O273" s="3"/>
      <c r="P273" s="3"/>
    </row>
    <row r="275" spans="1:16" x14ac:dyDescent="0.2">
      <c r="B275" t="s">
        <v>107</v>
      </c>
      <c r="F275" s="6">
        <v>7.0283514175708786E-2</v>
      </c>
      <c r="G275" s="6">
        <v>4.7760907168940998E-2</v>
      </c>
      <c r="H275" s="6">
        <v>3.7979410038939565E-2</v>
      </c>
      <c r="I275" s="6">
        <v>3.0826436367998082E-2</v>
      </c>
      <c r="J275" s="5">
        <v>4.6712566937896861E-2</v>
      </c>
      <c r="K275" s="5">
        <v>4.6712566937896861E-2</v>
      </c>
      <c r="L275" s="5">
        <v>4.6712566937896861E-2</v>
      </c>
      <c r="M275" s="5">
        <v>4.6712566937896861E-2</v>
      </c>
      <c r="N275" s="5">
        <v>4.6712566937896861E-2</v>
      </c>
    </row>
    <row r="276" spans="1:16" x14ac:dyDescent="0.2">
      <c r="B276" s="24" t="s">
        <v>108</v>
      </c>
      <c r="C276" s="24"/>
      <c r="D276" s="24"/>
      <c r="E276" s="76">
        <v>3273</v>
      </c>
      <c r="F276" s="76">
        <v>11012</v>
      </c>
      <c r="G276" s="76">
        <v>9800</v>
      </c>
      <c r="H276" s="76">
        <v>8947</v>
      </c>
      <c r="I276" s="76">
        <v>7727</v>
      </c>
      <c r="J276" s="76">
        <v>8497.5678052285002</v>
      </c>
      <c r="K276" s="76">
        <v>8677.6744354790226</v>
      </c>
      <c r="L276" s="76">
        <v>9028.435710485317</v>
      </c>
      <c r="M276" s="76">
        <v>9556.4368953541543</v>
      </c>
      <c r="N276" s="76">
        <v>10271.424949531112</v>
      </c>
    </row>
    <row r="277" spans="1:16" x14ac:dyDescent="0.2">
      <c r="B277" s="27" t="s">
        <v>109</v>
      </c>
      <c r="E277" s="29">
        <v>199</v>
      </c>
      <c r="F277" s="29">
        <v>502</v>
      </c>
      <c r="G277" s="29">
        <v>497</v>
      </c>
      <c r="H277" s="29">
        <v>356</v>
      </c>
      <c r="I277" s="29">
        <v>257</v>
      </c>
      <c r="J277" s="29">
        <v>378.94560482009132</v>
      </c>
      <c r="K277" s="29">
        <v>401.1498264218219</v>
      </c>
      <c r="L277" s="29">
        <v>413.54892770156698</v>
      </c>
      <c r="M277" s="29">
        <v>434.07355281628099</v>
      </c>
      <c r="N277" s="29">
        <v>463.10516183228702</v>
      </c>
    </row>
    <row r="279" spans="1:16" x14ac:dyDescent="0.2">
      <c r="A279" t="s">
        <v>10</v>
      </c>
      <c r="B279" s="1" t="s">
        <v>24</v>
      </c>
      <c r="C279" s="2"/>
      <c r="D279" s="2"/>
      <c r="E279" s="3" t="s">
        <v>1</v>
      </c>
      <c r="F279" s="3" t="s">
        <v>2</v>
      </c>
      <c r="G279" s="3" t="s">
        <v>3</v>
      </c>
      <c r="H279" s="3" t="s">
        <v>4</v>
      </c>
      <c r="I279" s="3" t="s">
        <v>5</v>
      </c>
      <c r="J279" s="3" t="s">
        <v>12</v>
      </c>
      <c r="K279" s="3" t="s">
        <v>13</v>
      </c>
      <c r="L279" s="3" t="s">
        <v>14</v>
      </c>
      <c r="M279" s="3" t="s">
        <v>15</v>
      </c>
      <c r="N279" s="3" t="s">
        <v>16</v>
      </c>
      <c r="O279" s="3"/>
      <c r="P279" s="3"/>
    </row>
    <row r="281" spans="1:16" x14ac:dyDescent="0.2">
      <c r="B281" t="s">
        <v>110</v>
      </c>
      <c r="E281" s="52">
        <v>2204</v>
      </c>
      <c r="F281" s="52">
        <v>1742</v>
      </c>
      <c r="G281" s="52">
        <v>924</v>
      </c>
      <c r="H281" s="52">
        <v>808</v>
      </c>
      <c r="I281" s="52">
        <v>564</v>
      </c>
      <c r="J281" s="52">
        <v>842</v>
      </c>
      <c r="K281" s="52">
        <v>1536.1518210976135</v>
      </c>
      <c r="L281" s="52">
        <v>1746.0768079716374</v>
      </c>
      <c r="M281" s="52">
        <v>1984.6893890722342</v>
      </c>
      <c r="N281" s="52">
        <v>2255.9099079219322</v>
      </c>
    </row>
    <row r="282" spans="1:16" x14ac:dyDescent="0.2">
      <c r="B282" s="24" t="s">
        <v>111</v>
      </c>
      <c r="C282" s="24"/>
      <c r="D282" s="24"/>
      <c r="E282" s="78">
        <v>9.9818511796733213E-3</v>
      </c>
      <c r="F282" s="78">
        <v>4.5924225028702642E-3</v>
      </c>
      <c r="G282" s="78">
        <v>2.1645021645021645E-3</v>
      </c>
      <c r="H282" s="78">
        <v>1.2376237623762376E-3</v>
      </c>
      <c r="I282" s="78">
        <v>1.7730496453900709E-3</v>
      </c>
      <c r="J282" s="78">
        <v>3.9498898509624115E-3</v>
      </c>
      <c r="K282" s="78">
        <v>3.9498898509624115E-3</v>
      </c>
      <c r="L282" s="78">
        <v>3.9498898509624115E-3</v>
      </c>
      <c r="M282" s="78">
        <v>3.9498898509624115E-3</v>
      </c>
      <c r="N282" s="78">
        <v>3.9498898509624115E-3</v>
      </c>
    </row>
    <row r="283" spans="1:16" x14ac:dyDescent="0.2">
      <c r="B283" s="27" t="s">
        <v>24</v>
      </c>
      <c r="E283" s="29">
        <v>22</v>
      </c>
      <c r="F283" s="29">
        <v>8</v>
      </c>
      <c r="G283" s="29">
        <v>2</v>
      </c>
      <c r="H283" s="29">
        <v>1</v>
      </c>
      <c r="I283" s="29">
        <v>1</v>
      </c>
      <c r="J283" s="29">
        <v>2.7767725652265751</v>
      </c>
      <c r="K283" s="29">
        <v>4.6967188711006207</v>
      </c>
      <c r="L283" s="29">
        <v>6.4822207752494521</v>
      </c>
      <c r="M283" s="29">
        <v>7.3680577690086109</v>
      </c>
      <c r="N283" s="29">
        <v>8.3749500625977973</v>
      </c>
    </row>
    <row r="285" spans="1:16" x14ac:dyDescent="0.2">
      <c r="A285" t="s">
        <v>10</v>
      </c>
      <c r="B285" s="1" t="s">
        <v>168</v>
      </c>
      <c r="C285" s="2"/>
      <c r="D285" s="2"/>
      <c r="E285" s="3" t="s">
        <v>1</v>
      </c>
      <c r="F285" s="3" t="s">
        <v>2</v>
      </c>
      <c r="G285" s="3" t="s">
        <v>3</v>
      </c>
      <c r="H285" s="3" t="s">
        <v>4</v>
      </c>
      <c r="I285" s="3" t="s">
        <v>5</v>
      </c>
      <c r="J285" s="3" t="s">
        <v>12</v>
      </c>
      <c r="K285" s="3" t="s">
        <v>13</v>
      </c>
      <c r="L285" s="3" t="s">
        <v>14</v>
      </c>
      <c r="M285" s="3" t="s">
        <v>15</v>
      </c>
      <c r="N285" s="3" t="s">
        <v>16</v>
      </c>
      <c r="O285" s="3"/>
      <c r="P285" s="3"/>
    </row>
    <row r="286" spans="1:16" x14ac:dyDescent="0.2">
      <c r="E286" s="53"/>
      <c r="F286" s="53"/>
      <c r="G286" s="53"/>
      <c r="H286" s="53"/>
      <c r="I286" s="53"/>
    </row>
    <row r="287" spans="1:16" x14ac:dyDescent="0.2">
      <c r="B287" s="27" t="s">
        <v>169</v>
      </c>
      <c r="C287" s="27"/>
      <c r="D287" s="27"/>
      <c r="E287" s="27"/>
      <c r="F287" s="27"/>
      <c r="G287" s="27"/>
      <c r="H287" s="27"/>
      <c r="I287" s="27"/>
      <c r="J287" s="70">
        <v>552</v>
      </c>
      <c r="K287" s="70">
        <v>551.11119115161614</v>
      </c>
      <c r="L287" s="70">
        <v>549.79800815853935</v>
      </c>
      <c r="M287" s="70">
        <v>547.97316968546363</v>
      </c>
      <c r="N287" s="70">
        <v>545.58458446124314</v>
      </c>
    </row>
    <row r="288" spans="1:16" x14ac:dyDescent="0.2">
      <c r="B288" t="s">
        <v>172</v>
      </c>
      <c r="I288" s="41">
        <v>86.39</v>
      </c>
      <c r="J288" s="41">
        <v>86.39</v>
      </c>
      <c r="K288" s="41">
        <v>86.39</v>
      </c>
      <c r="L288" s="41">
        <v>86.39</v>
      </c>
      <c r="M288" s="41">
        <v>86.39</v>
      </c>
      <c r="N288" s="41">
        <v>86.39</v>
      </c>
    </row>
    <row r="289" spans="2:14" x14ac:dyDescent="0.2">
      <c r="B289" t="s">
        <v>170</v>
      </c>
      <c r="J289" s="34">
        <v>0.63433267739321675</v>
      </c>
      <c r="K289" s="34">
        <v>0.63433267739321675</v>
      </c>
      <c r="L289" s="34">
        <v>0.63433267739321675</v>
      </c>
      <c r="M289" s="34">
        <v>0.63433267739321675</v>
      </c>
      <c r="N289" s="34">
        <v>0.63433267739321675</v>
      </c>
    </row>
    <row r="290" spans="2:14" x14ac:dyDescent="0.2">
      <c r="B290" t="s">
        <v>171</v>
      </c>
      <c r="J290" s="34">
        <v>-2.3565713208922587</v>
      </c>
      <c r="K290" s="34">
        <v>-2.7809454655852548</v>
      </c>
      <c r="L290" s="34">
        <v>-3.2926009455841063</v>
      </c>
      <c r="M290" s="34">
        <v>-3.8563476967288586</v>
      </c>
      <c r="N290" s="34">
        <v>-4.4837121308405532</v>
      </c>
    </row>
    <row r="291" spans="2:14" x14ac:dyDescent="0.2">
      <c r="B291" s="24" t="s">
        <v>173</v>
      </c>
      <c r="C291" s="24"/>
      <c r="D291" s="24"/>
      <c r="E291" s="24"/>
      <c r="F291" s="24"/>
      <c r="G291" s="24"/>
      <c r="H291" s="24"/>
      <c r="I291" s="24"/>
      <c r="J291" s="81">
        <v>0.83342979511517534</v>
      </c>
      <c r="K291" s="81">
        <v>0.83342979511517534</v>
      </c>
      <c r="L291" s="81">
        <v>0.83342979511517534</v>
      </c>
      <c r="M291" s="81">
        <v>0.83342979511517534</v>
      </c>
      <c r="N291" s="81">
        <v>0.83342979511517534</v>
      </c>
    </row>
    <row r="292" spans="2:14" x14ac:dyDescent="0.2">
      <c r="B292" s="27" t="s">
        <v>174</v>
      </c>
      <c r="C292" s="27"/>
      <c r="D292" s="27"/>
      <c r="E292" s="70">
        <v>232</v>
      </c>
      <c r="F292" s="70">
        <v>236</v>
      </c>
      <c r="G292" s="70">
        <v>477</v>
      </c>
      <c r="H292" s="70">
        <v>519</v>
      </c>
      <c r="I292" s="70">
        <v>552</v>
      </c>
      <c r="J292" s="83">
        <v>551.11119115161614</v>
      </c>
      <c r="K292" s="83">
        <v>549.79800815853935</v>
      </c>
      <c r="L292" s="83">
        <v>547.97316968546363</v>
      </c>
      <c r="M292" s="83">
        <v>545.58458446124314</v>
      </c>
      <c r="N292" s="83">
        <v>542.56863480291099</v>
      </c>
    </row>
    <row r="293" spans="2:14" x14ac:dyDescent="0.2">
      <c r="B293" s="24" t="s">
        <v>175</v>
      </c>
      <c r="C293" s="24"/>
      <c r="D293" s="24"/>
      <c r="E293" s="76">
        <v>16</v>
      </c>
      <c r="F293" s="76">
        <v>13</v>
      </c>
      <c r="G293" s="76">
        <v>35</v>
      </c>
      <c r="H293" s="76">
        <v>22</v>
      </c>
      <c r="I293" s="76">
        <v>13</v>
      </c>
      <c r="J293" s="76">
        <v>13</v>
      </c>
      <c r="K293" s="76">
        <v>13</v>
      </c>
      <c r="L293" s="76">
        <v>13</v>
      </c>
      <c r="M293" s="76">
        <v>13</v>
      </c>
      <c r="N293" s="76">
        <v>13</v>
      </c>
    </row>
    <row r="294" spans="2:14" x14ac:dyDescent="0.2">
      <c r="B294" s="27" t="s">
        <v>176</v>
      </c>
      <c r="C294" s="27"/>
      <c r="D294" s="27"/>
      <c r="E294" s="70">
        <v>248</v>
      </c>
      <c r="F294" s="70">
        <v>249</v>
      </c>
      <c r="G294" s="70">
        <v>512</v>
      </c>
      <c r="H294" s="70">
        <v>541</v>
      </c>
      <c r="I294" s="70">
        <v>565</v>
      </c>
      <c r="J294" s="70">
        <v>564.11119115161614</v>
      </c>
      <c r="K294" s="70">
        <v>562.79800815853935</v>
      </c>
      <c r="L294" s="70">
        <v>560.97316968546363</v>
      </c>
      <c r="M294" s="70">
        <v>558.58458446124314</v>
      </c>
      <c r="N294" s="70">
        <v>555.56863480291099</v>
      </c>
    </row>
  </sheetData>
  <mergeCells count="8">
    <mergeCell ref="J61:L61"/>
    <mergeCell ref="B2:B3"/>
    <mergeCell ref="C2:C3"/>
    <mergeCell ref="D2:D3"/>
    <mergeCell ref="E2:F3"/>
    <mergeCell ref="G2:G3"/>
    <mergeCell ref="D61:F61"/>
    <mergeCell ref="G61:I61"/>
  </mergeCells>
  <conditionalFormatting sqref="E2:G4 E5:F18">
    <cfRule type="containsText" dxfId="11" priority="4" operator="containsText" text="BUY">
      <formula>NOT(ISERROR(SEARCH("BUY",E2)))</formula>
    </cfRule>
    <cfRule type="containsText" dxfId="10" priority="5" operator="containsText" text="HOLD">
      <formula>NOT(ISERROR(SEARCH("HOLD",E2)))</formula>
    </cfRule>
    <cfRule type="containsText" dxfId="9" priority="6" operator="containsText" text="SELL">
      <formula>NOT(ISERROR(SEARCH("SELL",E2)))</formula>
    </cfRule>
  </conditionalFormatting>
  <conditionalFormatting sqref="K5">
    <cfRule type="containsText" dxfId="8" priority="1" operator="containsText" text="BUY">
      <formula>NOT(ISERROR(SEARCH("BUY",K5)))</formula>
    </cfRule>
    <cfRule type="containsText" dxfId="7" priority="2" operator="containsText" text="HOLD">
      <formula>NOT(ISERROR(SEARCH("HOLD",K5)))</formula>
    </cfRule>
    <cfRule type="containsText" dxfId="6" priority="3" operator="containsText" text="SELL">
      <formula>NOT(ISERROR(SEARCH("SELL",K5)))</formula>
    </cfRule>
  </conditionalFormatting>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9910-6A0B-4880-A145-510E7CBC81E6}">
  <dimension ref="A1:T288"/>
  <sheetViews>
    <sheetView showGridLines="0" topLeftCell="C1" zoomScale="94" zoomScaleNormal="115" workbookViewId="0">
      <selection activeCell="N12" sqref="N12"/>
    </sheetView>
  </sheetViews>
  <sheetFormatPr baseColWidth="10" defaultColWidth="8.83203125" defaultRowHeight="15" x14ac:dyDescent="0.2"/>
  <cols>
    <col min="1" max="1" width="3.6640625" customWidth="1"/>
    <col min="2" max="4" width="17.6640625" customWidth="1"/>
    <col min="5" max="9" width="13.6640625" customWidth="1"/>
    <col min="10" max="10" width="13.83203125" customWidth="1"/>
    <col min="11" max="16" width="13.6640625" customWidth="1"/>
    <col min="18" max="20" width="15.33203125" bestFit="1" customWidth="1"/>
  </cols>
  <sheetData>
    <row r="1" spans="2:16" ht="5" customHeight="1" x14ac:dyDescent="0.2"/>
    <row r="2" spans="2:16" ht="15" customHeight="1" x14ac:dyDescent="0.2">
      <c r="B2" s="150" t="s">
        <v>239</v>
      </c>
      <c r="C2" s="151" t="s">
        <v>191</v>
      </c>
      <c r="D2" s="152">
        <v>44720</v>
      </c>
      <c r="E2" s="153" t="s">
        <v>192</v>
      </c>
      <c r="F2" s="153"/>
      <c r="G2" s="153" t="str">
        <f>IF(COUNTIF(E16:E18,"BUY")=3,"BUY",IF(COUNTIF(E16:E18,"SELL")&gt;=2,"SELL","HOLD"))</f>
        <v>SELL</v>
      </c>
    </row>
    <row r="3" spans="2:16" ht="15" customHeight="1" x14ac:dyDescent="0.2">
      <c r="B3" s="150"/>
      <c r="C3" s="151"/>
      <c r="D3" s="153"/>
      <c r="E3" s="153"/>
      <c r="F3" s="153"/>
      <c r="G3" s="153"/>
    </row>
    <row r="4" spans="2:16" ht="15" customHeight="1" x14ac:dyDescent="0.2">
      <c r="B4" s="1" t="s">
        <v>202</v>
      </c>
      <c r="C4" s="2"/>
      <c r="D4" s="2"/>
      <c r="E4" s="3"/>
      <c r="F4" s="3"/>
      <c r="G4" s="3"/>
      <c r="H4" s="3"/>
      <c r="I4" s="3"/>
      <c r="J4" s="3"/>
      <c r="K4" s="3"/>
      <c r="L4" s="4"/>
      <c r="M4" s="3"/>
      <c r="N4" s="3"/>
      <c r="O4" s="3"/>
      <c r="P4" s="3"/>
    </row>
    <row r="5" spans="2:16" ht="15" customHeight="1" x14ac:dyDescent="0.2">
      <c r="B5" s="67" t="s">
        <v>193</v>
      </c>
      <c r="C5" s="67"/>
      <c r="D5" s="67"/>
      <c r="E5" s="67"/>
      <c r="G5" s="67" t="s">
        <v>240</v>
      </c>
      <c r="H5" s="67"/>
      <c r="I5" s="67"/>
      <c r="J5" s="67"/>
      <c r="K5" s="67"/>
    </row>
    <row r="6" spans="2:16" ht="15" customHeight="1" x14ac:dyDescent="0.2">
      <c r="B6" t="s">
        <v>194</v>
      </c>
      <c r="C6" t="s">
        <v>241</v>
      </c>
    </row>
    <row r="7" spans="2:16" ht="15" customHeight="1" x14ac:dyDescent="0.2">
      <c r="B7" t="s">
        <v>195</v>
      </c>
      <c r="C7" t="s">
        <v>242</v>
      </c>
    </row>
    <row r="8" spans="2:16" ht="15" customHeight="1" x14ac:dyDescent="0.2">
      <c r="B8" t="s">
        <v>196</v>
      </c>
      <c r="C8" t="s">
        <v>243</v>
      </c>
    </row>
    <row r="9" spans="2:16" ht="15" customHeight="1" x14ac:dyDescent="0.2">
      <c r="B9" t="s">
        <v>197</v>
      </c>
      <c r="C9" t="s">
        <v>244</v>
      </c>
    </row>
    <row r="10" spans="2:16" ht="15" customHeight="1" x14ac:dyDescent="0.2">
      <c r="B10" t="s">
        <v>198</v>
      </c>
      <c r="C10" t="s">
        <v>199</v>
      </c>
    </row>
    <row r="11" spans="2:16" ht="15" customHeight="1" x14ac:dyDescent="0.2"/>
    <row r="12" spans="2:16" ht="15" customHeight="1" x14ac:dyDescent="0.2">
      <c r="B12" s="67" t="s">
        <v>200</v>
      </c>
      <c r="C12" s="67"/>
      <c r="D12" s="67"/>
      <c r="E12" s="67"/>
    </row>
    <row r="13" spans="2:16" ht="15" customHeight="1" x14ac:dyDescent="0.2">
      <c r="B13" t="s">
        <v>201</v>
      </c>
      <c r="C13" s="41">
        <v>294.92</v>
      </c>
    </row>
    <row r="14" spans="2:16" ht="15" customHeight="1" x14ac:dyDescent="0.2"/>
    <row r="15" spans="2:16" ht="15" customHeight="1" x14ac:dyDescent="0.2">
      <c r="B15" s="24"/>
      <c r="C15" s="85" t="s">
        <v>245</v>
      </c>
      <c r="D15" s="24" t="s">
        <v>246</v>
      </c>
      <c r="E15" s="24" t="s">
        <v>192</v>
      </c>
    </row>
    <row r="16" spans="2:16" ht="15" customHeight="1" x14ac:dyDescent="0.2">
      <c r="B16" t="s">
        <v>247</v>
      </c>
      <c r="C16" s="86">
        <f>MAX(E21:E25)</f>
        <v>148.7870063744823</v>
      </c>
      <c r="D16" s="12">
        <f>C16/$C$13-1</f>
        <v>-0.49550045309072865</v>
      </c>
      <c r="E16" s="61" t="str">
        <f>IF(D16&gt;10%,"BUY",IF(D16&lt;-10%,"SELL","HOLD"))</f>
        <v>SELL</v>
      </c>
    </row>
    <row r="17" spans="2:16" ht="15" customHeight="1" x14ac:dyDescent="0.2">
      <c r="B17" t="s">
        <v>248</v>
      </c>
      <c r="C17" s="86">
        <f>AVERAGE(E21:E25)</f>
        <v>94.046540915384043</v>
      </c>
      <c r="D17" s="12">
        <f t="shared" ref="D17:D18" si="0">C17/$C$13-1</f>
        <v>-0.68111168820227852</v>
      </c>
      <c r="E17" s="61" t="str">
        <f t="shared" ref="E17:E18" si="1">IF(D17&gt;10%,"BUY",IF(D17&lt;-10%,"SELL","HOLD"))</f>
        <v>SELL</v>
      </c>
    </row>
    <row r="18" spans="2:16" ht="15" customHeight="1" x14ac:dyDescent="0.2">
      <c r="B18" t="s">
        <v>249</v>
      </c>
      <c r="C18" s="86">
        <f>MIN(E21:E25)</f>
        <v>39.84874481486434</v>
      </c>
      <c r="D18" s="12">
        <f t="shared" si="0"/>
        <v>-0.86488286716782747</v>
      </c>
      <c r="E18" s="61" t="str">
        <f t="shared" si="1"/>
        <v>SELL</v>
      </c>
    </row>
    <row r="19" spans="2:16" ht="15" customHeight="1" x14ac:dyDescent="0.2"/>
    <row r="20" spans="2:16" ht="15" customHeight="1" x14ac:dyDescent="0.2">
      <c r="B20" s="67" t="s">
        <v>250</v>
      </c>
      <c r="C20" s="67"/>
      <c r="D20" s="67"/>
      <c r="E20" s="67"/>
    </row>
    <row r="21" spans="2:16" ht="15" customHeight="1" x14ac:dyDescent="0.2">
      <c r="B21" t="s">
        <v>251</v>
      </c>
      <c r="E21" s="41">
        <f>D34</f>
        <v>39.84874481486434</v>
      </c>
    </row>
    <row r="22" spans="2:16" ht="15" customHeight="1" x14ac:dyDescent="0.2">
      <c r="B22" t="s">
        <v>252</v>
      </c>
      <c r="E22" s="41">
        <f>D58</f>
        <v>148.7870063744823</v>
      </c>
    </row>
    <row r="23" spans="2:16" ht="15" customHeight="1" x14ac:dyDescent="0.2">
      <c r="B23" t="s">
        <v>253</v>
      </c>
      <c r="E23" s="41">
        <f>D76</f>
        <v>82.527302879907253</v>
      </c>
    </row>
    <row r="24" spans="2:16" ht="15" customHeight="1" x14ac:dyDescent="0.2">
      <c r="B24" t="s">
        <v>254</v>
      </c>
      <c r="E24" s="41">
        <f>D81</f>
        <v>92.049800607496508</v>
      </c>
    </row>
    <row r="25" spans="2:16" ht="15" customHeight="1" x14ac:dyDescent="0.2">
      <c r="B25" t="s">
        <v>255</v>
      </c>
      <c r="E25" s="41">
        <f>D85</f>
        <v>107.0198499001698</v>
      </c>
    </row>
    <row r="26" spans="2:16" ht="15" customHeight="1" x14ac:dyDescent="0.2"/>
    <row r="27" spans="2:16" x14ac:dyDescent="0.2">
      <c r="B27" s="1" t="s">
        <v>256</v>
      </c>
      <c r="C27" s="2"/>
      <c r="D27" s="2"/>
      <c r="E27" s="3"/>
      <c r="F27" s="3"/>
      <c r="G27" s="3"/>
      <c r="H27" s="3"/>
      <c r="I27" s="3"/>
      <c r="J27" s="3"/>
      <c r="K27" s="3"/>
      <c r="L27" s="3"/>
      <c r="M27" s="3"/>
      <c r="N27" s="3"/>
      <c r="O27" s="3"/>
      <c r="P27" s="3"/>
    </row>
    <row r="28" spans="2:16" x14ac:dyDescent="0.2">
      <c r="B28" s="44" t="s">
        <v>257</v>
      </c>
      <c r="C28" s="45"/>
      <c r="D28" s="45"/>
      <c r="E28" s="45"/>
      <c r="F28" s="45"/>
      <c r="G28" s="45"/>
      <c r="H28" s="45"/>
      <c r="I28" s="45"/>
      <c r="J28" s="87" t="s">
        <v>12</v>
      </c>
      <c r="K28" s="87" t="s">
        <v>13</v>
      </c>
      <c r="L28" s="87" t="s">
        <v>14</v>
      </c>
      <c r="M28" s="87" t="s">
        <v>15</v>
      </c>
      <c r="N28" s="87" t="s">
        <v>16</v>
      </c>
    </row>
    <row r="29" spans="2:16" x14ac:dyDescent="0.2">
      <c r="B29" t="s">
        <v>258</v>
      </c>
      <c r="E29" s="88"/>
      <c r="F29" s="88"/>
      <c r="G29" s="88"/>
      <c r="H29" s="88"/>
      <c r="I29" s="88"/>
      <c r="J29" s="117">
        <f>-J225/J148</f>
        <v>0.32991571184200075</v>
      </c>
      <c r="K29" s="117">
        <f t="shared" ref="K29:N29" si="2">-K225/K148</f>
        <v>0.40852836325340552</v>
      </c>
      <c r="L29" s="117">
        <f t="shared" si="2"/>
        <v>0.5045001028200734</v>
      </c>
      <c r="M29" s="117">
        <f t="shared" si="2"/>
        <v>0.62427144587885441</v>
      </c>
      <c r="N29" s="117">
        <f t="shared" si="2"/>
        <v>0.77468305763063683</v>
      </c>
    </row>
    <row r="30" spans="2:16" x14ac:dyDescent="0.2">
      <c r="B30" t="s">
        <v>259</v>
      </c>
      <c r="D30" s="5">
        <v>0.09</v>
      </c>
      <c r="F30" s="6"/>
      <c r="G30" s="6"/>
      <c r="H30" s="6"/>
      <c r="I30" s="6"/>
      <c r="J30" s="89"/>
      <c r="K30" s="89"/>
      <c r="L30" s="89"/>
      <c r="M30" s="89"/>
      <c r="N30" s="89"/>
    </row>
    <row r="31" spans="2:16" x14ac:dyDescent="0.2">
      <c r="B31" t="s">
        <v>260</v>
      </c>
      <c r="D31" s="145">
        <f>'CAPM Models'!X21</f>
        <v>0.10359408631148184</v>
      </c>
    </row>
    <row r="32" spans="2:16" x14ac:dyDescent="0.2">
      <c r="B32" t="s">
        <v>261</v>
      </c>
      <c r="D32" s="90"/>
      <c r="N32" s="117">
        <f>(N29*(1+D30))/(D31-D30)</f>
        <v>62.115578308796877</v>
      </c>
    </row>
    <row r="33" spans="2:16" ht="16" thickBot="1" x14ac:dyDescent="0.25">
      <c r="B33" t="s">
        <v>262</v>
      </c>
      <c r="E33" s="77"/>
      <c r="F33" s="77"/>
      <c r="G33" s="77"/>
      <c r="H33" s="77"/>
      <c r="I33" s="77"/>
      <c r="J33" s="118">
        <f>J29</f>
        <v>0.32991571184200075</v>
      </c>
      <c r="K33" s="118">
        <f t="shared" ref="K33:M33" si="3">K29</f>
        <v>0.40852836325340552</v>
      </c>
      <c r="L33" s="118">
        <f t="shared" si="3"/>
        <v>0.5045001028200734</v>
      </c>
      <c r="M33" s="118">
        <f t="shared" si="3"/>
        <v>0.62427144587885441</v>
      </c>
      <c r="N33" s="118">
        <f>N29+N32</f>
        <v>62.890261366427517</v>
      </c>
    </row>
    <row r="34" spans="2:16" ht="16" thickBot="1" x14ac:dyDescent="0.25">
      <c r="B34" s="91" t="s">
        <v>172</v>
      </c>
      <c r="C34" s="92"/>
      <c r="D34" s="120">
        <f>NPV(D31,J33:N33)</f>
        <v>39.84874481486434</v>
      </c>
    </row>
    <row r="36" spans="2:16" x14ac:dyDescent="0.2">
      <c r="B36" s="44" t="s">
        <v>263</v>
      </c>
      <c r="C36" s="45"/>
      <c r="D36" s="45"/>
      <c r="E36" s="45"/>
      <c r="F36" s="45"/>
      <c r="G36" s="44" t="s">
        <v>264</v>
      </c>
      <c r="H36" s="45"/>
      <c r="I36" s="45"/>
      <c r="J36" s="45"/>
      <c r="K36" s="45"/>
      <c r="L36" s="44" t="s">
        <v>265</v>
      </c>
      <c r="M36" s="45"/>
      <c r="N36" s="45"/>
      <c r="O36" s="45"/>
      <c r="P36" s="45" t="s">
        <v>266</v>
      </c>
    </row>
    <row r="37" spans="2:16" x14ac:dyDescent="0.2">
      <c r="B37" t="s">
        <v>267</v>
      </c>
      <c r="E37" s="121">
        <f>I148</f>
        <v>2496</v>
      </c>
      <c r="G37" t="s">
        <v>268</v>
      </c>
      <c r="J37" s="124">
        <f>E39/SUM($E$39:$E$42)</f>
        <v>0.98437164268464239</v>
      </c>
      <c r="L37" t="s">
        <v>269</v>
      </c>
      <c r="O37" s="119">
        <f>D31</f>
        <v>0.10359408631148184</v>
      </c>
      <c r="P37" s="5"/>
    </row>
    <row r="38" spans="2:16" x14ac:dyDescent="0.2">
      <c r="B38" t="s">
        <v>270</v>
      </c>
      <c r="E38" s="117">
        <f>C13</f>
        <v>294.92</v>
      </c>
      <c r="G38" t="s">
        <v>271</v>
      </c>
      <c r="J38" s="124">
        <f t="shared" ref="J38:J40" si="4">E40/SUM($E$39:$E$42)</f>
        <v>0</v>
      </c>
      <c r="L38" t="s">
        <v>272</v>
      </c>
      <c r="O38" s="119">
        <f>0</f>
        <v>0</v>
      </c>
      <c r="P38" s="5"/>
    </row>
    <row r="39" spans="2:16" x14ac:dyDescent="0.2">
      <c r="B39" t="s">
        <v>273</v>
      </c>
      <c r="E39" s="122">
        <f>E37*E38</f>
        <v>736120.32000000007</v>
      </c>
      <c r="G39" t="s">
        <v>274</v>
      </c>
      <c r="J39" s="124">
        <f t="shared" si="4"/>
        <v>1.5628357315357649E-2</v>
      </c>
      <c r="L39" t="s">
        <v>275</v>
      </c>
      <c r="O39" s="119">
        <f>I269</f>
        <v>2.4476249740717694E-2</v>
      </c>
      <c r="P39" s="5"/>
    </row>
    <row r="40" spans="2:16" x14ac:dyDescent="0.2">
      <c r="B40" t="s">
        <v>276</v>
      </c>
      <c r="E40" s="117">
        <f>0</f>
        <v>0</v>
      </c>
      <c r="G40" t="s">
        <v>277</v>
      </c>
      <c r="J40" s="124">
        <f t="shared" si="4"/>
        <v>0</v>
      </c>
      <c r="L40" t="s">
        <v>278</v>
      </c>
      <c r="O40" s="119">
        <f>O39*(1-E43)</f>
        <v>2.0804812279610039E-2</v>
      </c>
      <c r="P40" s="5"/>
    </row>
    <row r="41" spans="2:16" x14ac:dyDescent="0.2">
      <c r="B41" t="s">
        <v>279</v>
      </c>
      <c r="E41" s="122">
        <f>I169+I171+I172</f>
        <v>11687</v>
      </c>
      <c r="L41" t="s">
        <v>280</v>
      </c>
      <c r="O41" s="119">
        <f>'CAPM Models'!X19</f>
        <v>3.0499999999999999E-2</v>
      </c>
      <c r="P41" s="5" t="s">
        <v>374</v>
      </c>
    </row>
    <row r="42" spans="2:16" x14ac:dyDescent="0.2">
      <c r="B42" t="s">
        <v>281</v>
      </c>
      <c r="E42" s="122">
        <f>I168</f>
        <v>0</v>
      </c>
      <c r="L42" t="s">
        <v>282</v>
      </c>
      <c r="O42" s="119">
        <f>O41*(1-E43)</f>
        <v>2.5925E-2</v>
      </c>
      <c r="P42" s="5"/>
    </row>
    <row r="43" spans="2:16" ht="16" thickBot="1" x14ac:dyDescent="0.25">
      <c r="B43" t="s">
        <v>283</v>
      </c>
      <c r="E43" s="123">
        <f>J108</f>
        <v>0.15</v>
      </c>
      <c r="G43" s="43"/>
      <c r="H43" s="15"/>
      <c r="P43" s="5"/>
    </row>
    <row r="44" spans="2:16" ht="16" thickBot="1" x14ac:dyDescent="0.25">
      <c r="B44" s="91" t="s">
        <v>284</v>
      </c>
      <c r="C44" s="93"/>
      <c r="D44" s="125">
        <f>J37*O37+J38*O38+J39*O40+J40*O42</f>
        <v>0.1023002259550327</v>
      </c>
      <c r="H44" s="43"/>
    </row>
    <row r="46" spans="2:16" x14ac:dyDescent="0.2">
      <c r="B46" s="44" t="s">
        <v>285</v>
      </c>
      <c r="C46" s="45"/>
      <c r="D46" s="45"/>
      <c r="E46" s="45"/>
      <c r="F46" s="45"/>
      <c r="G46" s="45"/>
      <c r="H46" s="45"/>
      <c r="I46" s="45"/>
      <c r="J46" s="87" t="s">
        <v>12</v>
      </c>
      <c r="K46" s="87" t="s">
        <v>13</v>
      </c>
      <c r="L46" s="87" t="s">
        <v>14</v>
      </c>
      <c r="M46" s="87" t="s">
        <v>15</v>
      </c>
      <c r="N46" s="87" t="s">
        <v>16</v>
      </c>
      <c r="O46" s="45"/>
      <c r="P46" s="45"/>
    </row>
    <row r="47" spans="2:16" x14ac:dyDescent="0.2">
      <c r="B47" t="s">
        <v>286</v>
      </c>
      <c r="E47" s="52"/>
      <c r="F47" s="52"/>
      <c r="G47" s="52"/>
      <c r="H47" s="52"/>
      <c r="I47" s="52"/>
      <c r="J47" s="128">
        <f>J202+J205</f>
        <v>8272.8342633727334</v>
      </c>
      <c r="K47" s="128">
        <f t="shared" ref="K47:N47" si="5">K202+K205</f>
        <v>10369.013002921565</v>
      </c>
      <c r="L47" s="128">
        <f t="shared" si="5"/>
        <v>12341.356967346735</v>
      </c>
      <c r="M47" s="128">
        <f t="shared" si="5"/>
        <v>14859.942674932088</v>
      </c>
      <c r="N47" s="128">
        <f t="shared" si="5"/>
        <v>18019.182524120639</v>
      </c>
    </row>
    <row r="48" spans="2:16" x14ac:dyDescent="0.2">
      <c r="B48" t="s">
        <v>287</v>
      </c>
      <c r="D48" s="119">
        <v>6.5000000000000002E-2</v>
      </c>
    </row>
    <row r="49" spans="2:16" x14ac:dyDescent="0.2">
      <c r="B49" t="s">
        <v>288</v>
      </c>
      <c r="D49" s="119">
        <f>D44</f>
        <v>0.1023002259550327</v>
      </c>
    </row>
    <row r="50" spans="2:16" x14ac:dyDescent="0.2">
      <c r="B50" t="s">
        <v>289</v>
      </c>
      <c r="N50" s="122">
        <f>(N47*(1+D48))/(D49-D48)</f>
        <v>514485.60690553219</v>
      </c>
    </row>
    <row r="51" spans="2:16" x14ac:dyDescent="0.2">
      <c r="B51" t="s">
        <v>262</v>
      </c>
      <c r="E51" s="52"/>
      <c r="F51" s="52"/>
      <c r="G51" s="52"/>
      <c r="H51" s="52"/>
      <c r="I51" s="52"/>
      <c r="J51" s="128">
        <f>J47</f>
        <v>8272.8342633727334</v>
      </c>
      <c r="K51" s="128">
        <f t="shared" ref="K51:M51" si="6">K47</f>
        <v>10369.013002921565</v>
      </c>
      <c r="L51" s="128">
        <f t="shared" si="6"/>
        <v>12341.356967346735</v>
      </c>
      <c r="M51" s="128">
        <f t="shared" si="6"/>
        <v>14859.942674932088</v>
      </c>
      <c r="N51" s="128">
        <f>N47+N50</f>
        <v>532504.78942965285</v>
      </c>
    </row>
    <row r="52" spans="2:16" x14ac:dyDescent="0.2">
      <c r="B52" t="s">
        <v>377</v>
      </c>
      <c r="D52" s="126">
        <f>NPV(D49,J51:N51)</f>
        <v>362526.26791070786</v>
      </c>
    </row>
    <row r="53" spans="2:16" x14ac:dyDescent="0.2">
      <c r="B53" t="s">
        <v>291</v>
      </c>
      <c r="D53" s="9">
        <v>0.7</v>
      </c>
    </row>
    <row r="54" spans="2:16" x14ac:dyDescent="0.2">
      <c r="B54" t="s">
        <v>292</v>
      </c>
      <c r="D54" s="121">
        <f>I153*D53</f>
        <v>20533.099999999999</v>
      </c>
    </row>
    <row r="55" spans="2:16" x14ac:dyDescent="0.2">
      <c r="B55" t="s">
        <v>293</v>
      </c>
      <c r="D55" s="122">
        <f>D52+D54</f>
        <v>383059.36791070784</v>
      </c>
    </row>
    <row r="56" spans="2:16" x14ac:dyDescent="0.2">
      <c r="B56" t="s">
        <v>294</v>
      </c>
      <c r="D56" s="121">
        <f>E40+E41+E42</f>
        <v>11687</v>
      </c>
    </row>
    <row r="57" spans="2:16" ht="16" thickBot="1" x14ac:dyDescent="0.25">
      <c r="B57" t="s">
        <v>295</v>
      </c>
      <c r="D57" s="121">
        <f>D55-D56</f>
        <v>371372.36791070784</v>
      </c>
      <c r="P57" t="s">
        <v>65</v>
      </c>
    </row>
    <row r="58" spans="2:16" ht="16" thickBot="1" x14ac:dyDescent="0.25">
      <c r="B58" s="91" t="s">
        <v>172</v>
      </c>
      <c r="C58" s="92"/>
      <c r="D58" s="127">
        <f>D57/E37</f>
        <v>148.7870063744823</v>
      </c>
    </row>
    <row r="60" spans="2:16" x14ac:dyDescent="0.2">
      <c r="B60" s="44" t="s">
        <v>296</v>
      </c>
      <c r="C60" s="45"/>
      <c r="D60" s="45"/>
      <c r="E60" s="45"/>
      <c r="F60" s="45"/>
      <c r="G60" s="45"/>
      <c r="H60" s="45"/>
      <c r="I60" s="45"/>
      <c r="J60" s="45"/>
      <c r="K60" s="45"/>
      <c r="L60" s="45"/>
      <c r="M60" s="45"/>
      <c r="N60" s="45"/>
      <c r="O60" s="45"/>
      <c r="P60" s="45"/>
    </row>
    <row r="61" spans="2:16" x14ac:dyDescent="0.2">
      <c r="D61" s="149" t="s">
        <v>297</v>
      </c>
      <c r="E61" s="149"/>
      <c r="F61" s="149"/>
      <c r="G61" s="154" t="s">
        <v>298</v>
      </c>
      <c r="H61" s="149"/>
      <c r="I61" s="155"/>
      <c r="J61" s="149" t="s">
        <v>256</v>
      </c>
      <c r="K61" s="149"/>
      <c r="L61" s="149"/>
    </row>
    <row r="62" spans="2:16" x14ac:dyDescent="0.2">
      <c r="D62" s="94" t="s">
        <v>299</v>
      </c>
      <c r="E62" s="94" t="s">
        <v>300</v>
      </c>
      <c r="F62" s="94" t="s">
        <v>301</v>
      </c>
      <c r="G62" s="95" t="s">
        <v>302</v>
      </c>
      <c r="H62" s="94" t="s">
        <v>303</v>
      </c>
      <c r="I62" s="96" t="s">
        <v>304</v>
      </c>
      <c r="J62" s="94" t="s">
        <v>378</v>
      </c>
      <c r="K62" s="94" t="s">
        <v>306</v>
      </c>
      <c r="L62" s="94" t="s">
        <v>307</v>
      </c>
    </row>
    <row r="63" spans="2:16" x14ac:dyDescent="0.2">
      <c r="B63" t="s">
        <v>308</v>
      </c>
      <c r="D63" s="41">
        <v>101.9</v>
      </c>
      <c r="E63" s="97">
        <v>165715</v>
      </c>
      <c r="F63" s="97">
        <v>284365</v>
      </c>
      <c r="G63" s="98">
        <v>26434</v>
      </c>
      <c r="H63" s="99">
        <v>14116</v>
      </c>
      <c r="I63" s="100">
        <v>3162</v>
      </c>
      <c r="J63" s="101">
        <f>F63/G63</f>
        <v>10.757547098433836</v>
      </c>
      <c r="K63" s="101">
        <f>F63/H63</f>
        <v>20.144871068291302</v>
      </c>
      <c r="L63" s="101">
        <f>E63/I63</f>
        <v>52.408285895003161</v>
      </c>
      <c r="M63" s="42"/>
    </row>
    <row r="64" spans="2:16" x14ac:dyDescent="0.2">
      <c r="B64" t="s">
        <v>309</v>
      </c>
      <c r="D64" s="41">
        <v>138.96</v>
      </c>
      <c r="E64" s="97">
        <v>158921</v>
      </c>
      <c r="F64" s="97">
        <v>274666</v>
      </c>
      <c r="G64" s="98">
        <v>33566</v>
      </c>
      <c r="H64" s="99">
        <v>11376</v>
      </c>
      <c r="I64" s="100">
        <v>9043</v>
      </c>
      <c r="J64" s="101">
        <f t="shared" ref="J64:J68" si="7">F64/G64</f>
        <v>8.1828636119883207</v>
      </c>
      <c r="K64" s="101">
        <f t="shared" ref="K64:K68" si="8">F64/H64</f>
        <v>24.144338959212376</v>
      </c>
      <c r="L64" s="101">
        <f t="shared" ref="L64:L68" si="9">E64/I64</f>
        <v>17.573924582550038</v>
      </c>
      <c r="M64" s="42"/>
    </row>
    <row r="65" spans="2:13" x14ac:dyDescent="0.2">
      <c r="B65" t="s">
        <v>310</v>
      </c>
      <c r="D65" s="41">
        <v>177.07</v>
      </c>
      <c r="E65" s="97">
        <v>47740</v>
      </c>
      <c r="F65" s="97">
        <v>98312</v>
      </c>
      <c r="G65" s="98">
        <v>11063</v>
      </c>
      <c r="H65" s="99">
        <v>3845</v>
      </c>
      <c r="I65" s="100">
        <v>1871</v>
      </c>
      <c r="J65" s="101">
        <f t="shared" si="7"/>
        <v>8.8865587996022786</v>
      </c>
      <c r="K65" s="101">
        <f t="shared" si="8"/>
        <v>25.568790637191157</v>
      </c>
      <c r="L65" s="101">
        <f t="shared" si="9"/>
        <v>25.515766969535008</v>
      </c>
      <c r="M65" s="42"/>
    </row>
    <row r="66" spans="2:13" x14ac:dyDescent="0.2">
      <c r="B66" t="s">
        <v>348</v>
      </c>
      <c r="D66" s="41">
        <v>86.39</v>
      </c>
      <c r="E66" s="97">
        <v>47687</v>
      </c>
      <c r="F66" s="97">
        <v>55374</v>
      </c>
      <c r="G66" s="98">
        <v>6821</v>
      </c>
      <c r="H66" s="99">
        <v>2253</v>
      </c>
      <c r="I66" s="100">
        <v>1286</v>
      </c>
      <c r="J66" s="101">
        <f t="shared" si="7"/>
        <v>8.1181644920099689</v>
      </c>
      <c r="K66" s="101">
        <f t="shared" si="8"/>
        <v>24.577896138482025</v>
      </c>
      <c r="L66" s="101">
        <f t="shared" si="9"/>
        <v>37.081648522550545</v>
      </c>
      <c r="M66" s="42"/>
    </row>
    <row r="67" spans="2:13" x14ac:dyDescent="0.2">
      <c r="B67" t="s">
        <v>347</v>
      </c>
      <c r="D67" s="41">
        <v>50.71</v>
      </c>
      <c r="E67" s="97">
        <v>205832</v>
      </c>
      <c r="F67" s="97">
        <v>243933</v>
      </c>
      <c r="G67" s="98">
        <v>79024</v>
      </c>
      <c r="H67" s="99">
        <v>28861</v>
      </c>
      <c r="I67" s="100">
        <v>19868</v>
      </c>
      <c r="J67" s="101">
        <f t="shared" si="7"/>
        <v>3.0868217250455556</v>
      </c>
      <c r="K67" s="101">
        <f t="shared" si="8"/>
        <v>8.4519940404005407</v>
      </c>
      <c r="L67" s="101">
        <f t="shared" si="9"/>
        <v>10.359975840547614</v>
      </c>
      <c r="M67" s="42"/>
    </row>
    <row r="68" spans="2:13" x14ac:dyDescent="0.2">
      <c r="B68" t="s">
        <v>350</v>
      </c>
      <c r="D68" s="102">
        <v>92.92</v>
      </c>
      <c r="E68" s="103">
        <v>104070</v>
      </c>
      <c r="F68" s="103">
        <v>111649</v>
      </c>
      <c r="G68" s="104">
        <v>22705</v>
      </c>
      <c r="H68" s="103">
        <v>7298</v>
      </c>
      <c r="I68" s="105">
        <v>4861</v>
      </c>
      <c r="J68" s="106">
        <f t="shared" si="7"/>
        <v>4.9173750275269761</v>
      </c>
      <c r="K68" s="107">
        <f t="shared" si="8"/>
        <v>15.298574952041655</v>
      </c>
      <c r="L68" s="107">
        <f t="shared" si="9"/>
        <v>21.409175066858673</v>
      </c>
      <c r="M68" s="42"/>
    </row>
    <row r="69" spans="2:13" x14ac:dyDescent="0.2">
      <c r="B69" t="s">
        <v>6</v>
      </c>
      <c r="J69" s="129">
        <f>AVERAGE(J63:J68)</f>
        <v>7.3248884591011558</v>
      </c>
      <c r="K69" s="129">
        <f t="shared" ref="K69:L69" si="10">AVERAGE(K63:K68)</f>
        <v>19.697744299269843</v>
      </c>
      <c r="L69" s="129">
        <f t="shared" si="10"/>
        <v>27.391462812840839</v>
      </c>
    </row>
    <row r="71" spans="2:13" x14ac:dyDescent="0.2">
      <c r="B71" t="s">
        <v>358</v>
      </c>
      <c r="C71" s="77"/>
      <c r="D71" s="130">
        <f>C13</f>
        <v>294.92</v>
      </c>
      <c r="E71" s="43"/>
      <c r="F71" s="15"/>
      <c r="G71" s="122">
        <f>I131</f>
        <v>26914</v>
      </c>
      <c r="H71" s="122">
        <f>I137+I191+I192</f>
        <v>11215</v>
      </c>
      <c r="I71" s="122">
        <f>I143</f>
        <v>9752</v>
      </c>
      <c r="J71" s="108"/>
      <c r="K71" s="108"/>
    </row>
    <row r="72" spans="2:13" x14ac:dyDescent="0.2">
      <c r="C72" s="77"/>
      <c r="D72" s="43"/>
      <c r="E72" s="43"/>
      <c r="F72" s="22"/>
      <c r="G72" s="22"/>
      <c r="H72" s="22"/>
      <c r="I72" s="101"/>
      <c r="J72" s="101"/>
      <c r="K72" s="101"/>
    </row>
    <row r="73" spans="2:13" x14ac:dyDescent="0.2">
      <c r="B73" s="27" t="s">
        <v>313</v>
      </c>
      <c r="C73" s="77"/>
      <c r="D73" s="43"/>
      <c r="E73" s="43"/>
      <c r="F73" s="22"/>
      <c r="G73" s="22"/>
      <c r="H73" s="22"/>
      <c r="I73" s="101"/>
      <c r="J73" s="101"/>
      <c r="K73" s="101"/>
    </row>
    <row r="74" spans="2:13" x14ac:dyDescent="0.2">
      <c r="B74" t="s">
        <v>314</v>
      </c>
      <c r="D74" s="122">
        <f>G71*J69</f>
        <v>197142.04798824849</v>
      </c>
    </row>
    <row r="75" spans="2:13" ht="16" thickBot="1" x14ac:dyDescent="0.25">
      <c r="B75" t="s">
        <v>315</v>
      </c>
      <c r="D75" s="121">
        <f>D74+D54-D56</f>
        <v>205988.1479882485</v>
      </c>
    </row>
    <row r="76" spans="2:13" ht="16" thickBot="1" x14ac:dyDescent="0.25">
      <c r="B76" s="91" t="s">
        <v>172</v>
      </c>
      <c r="C76" s="92"/>
      <c r="D76" s="127">
        <f>D75/E37</f>
        <v>82.527302879907253</v>
      </c>
    </row>
    <row r="78" spans="2:13" x14ac:dyDescent="0.2">
      <c r="B78" s="27" t="s">
        <v>316</v>
      </c>
    </row>
    <row r="79" spans="2:13" x14ac:dyDescent="0.2">
      <c r="B79" t="s">
        <v>314</v>
      </c>
      <c r="D79" s="122">
        <f>H71*K69</f>
        <v>220910.20231631128</v>
      </c>
    </row>
    <row r="80" spans="2:13" ht="16" thickBot="1" x14ac:dyDescent="0.25">
      <c r="B80" t="s">
        <v>315</v>
      </c>
      <c r="D80" s="121">
        <f>D79+D54-D56</f>
        <v>229756.30231631128</v>
      </c>
    </row>
    <row r="81" spans="2:16" ht="16" thickBot="1" x14ac:dyDescent="0.25">
      <c r="B81" s="91" t="s">
        <v>172</v>
      </c>
      <c r="C81" s="92"/>
      <c r="D81" s="127">
        <f>D80/E37</f>
        <v>92.049800607496508</v>
      </c>
    </row>
    <row r="82" spans="2:16" x14ac:dyDescent="0.2">
      <c r="B82" s="27"/>
      <c r="D82" s="109"/>
    </row>
    <row r="83" spans="2:16" x14ac:dyDescent="0.2">
      <c r="B83" s="27" t="s">
        <v>317</v>
      </c>
    </row>
    <row r="84" spans="2:16" ht="16" thickBot="1" x14ac:dyDescent="0.25">
      <c r="B84" t="s">
        <v>314</v>
      </c>
      <c r="D84" s="122">
        <f>I71*L69</f>
        <v>267121.54535082384</v>
      </c>
    </row>
    <row r="85" spans="2:16" ht="16" thickBot="1" x14ac:dyDescent="0.25">
      <c r="B85" s="91" t="s">
        <v>172</v>
      </c>
      <c r="C85" s="92"/>
      <c r="D85" s="127">
        <f>D84/E37</f>
        <v>107.0198499001698</v>
      </c>
      <c r="E85" s="42"/>
    </row>
    <row r="86" spans="2:16" ht="15" customHeight="1" x14ac:dyDescent="0.2"/>
    <row r="87" spans="2:16" x14ac:dyDescent="0.2">
      <c r="B87" s="1" t="s">
        <v>361</v>
      </c>
      <c r="C87" s="2"/>
      <c r="D87" s="2"/>
      <c r="E87" s="3" t="s">
        <v>1</v>
      </c>
      <c r="F87" s="3" t="s">
        <v>2</v>
      </c>
      <c r="G87" s="3" t="s">
        <v>3</v>
      </c>
      <c r="H87" s="3" t="s">
        <v>4</v>
      </c>
      <c r="I87" s="3" t="s">
        <v>5</v>
      </c>
      <c r="J87" s="3" t="s">
        <v>12</v>
      </c>
      <c r="K87" s="3" t="s">
        <v>13</v>
      </c>
      <c r="L87" s="3" t="s">
        <v>14</v>
      </c>
      <c r="M87" s="3" t="s">
        <v>15</v>
      </c>
      <c r="N87" s="3" t="s">
        <v>16</v>
      </c>
      <c r="O87" s="3"/>
      <c r="P87" s="3"/>
    </row>
    <row r="89" spans="2:16" x14ac:dyDescent="0.2">
      <c r="B89" t="s">
        <v>363</v>
      </c>
      <c r="E89" s="143">
        <f>(E157-E155)/E170</f>
        <v>7.3365134431916736</v>
      </c>
      <c r="F89" s="143">
        <f t="shared" ref="F89:N89" si="11">(F157-F155)/F170</f>
        <v>8.3009781790820174</v>
      </c>
      <c r="G89" s="143">
        <f t="shared" si="11"/>
        <v>8.8845291479820627</v>
      </c>
      <c r="H89" s="143">
        <f t="shared" si="11"/>
        <v>4.8784713375796178</v>
      </c>
      <c r="I89" s="143">
        <f t="shared" si="11"/>
        <v>7.9236447520184541</v>
      </c>
      <c r="J89" s="143">
        <f t="shared" si="11"/>
        <v>6.2287894985957069</v>
      </c>
      <c r="K89" s="143">
        <f t="shared" si="11"/>
        <v>6.4176288193887805</v>
      </c>
      <c r="L89" s="143">
        <f t="shared" si="11"/>
        <v>7.475303864330586</v>
      </c>
      <c r="M89" s="143">
        <f t="shared" si="11"/>
        <v>6.6687911606826482</v>
      </c>
      <c r="N89" s="143">
        <f t="shared" si="11"/>
        <v>7.1378606852987163</v>
      </c>
    </row>
    <row r="90" spans="2:16" x14ac:dyDescent="0.2">
      <c r="B90" t="s">
        <v>364</v>
      </c>
      <c r="E90" s="143">
        <f>(E168+E169+E171)/E163</f>
        <v>0.17792011386887288</v>
      </c>
      <c r="F90" s="143">
        <f t="shared" ref="F90:N90" si="12">(F168+F169+F171)/F163</f>
        <v>0.12957893364619996</v>
      </c>
      <c r="G90" s="143">
        <f t="shared" si="12"/>
        <v>9.734037352107168E-2</v>
      </c>
      <c r="H90" s="143">
        <f t="shared" si="12"/>
        <v>0.20655591812518539</v>
      </c>
      <c r="I90" s="143">
        <f t="shared" si="12"/>
        <v>0.20924453280318092</v>
      </c>
      <c r="J90" s="143">
        <f t="shared" si="12"/>
        <v>0.17409320440015483</v>
      </c>
      <c r="K90" s="143">
        <f t="shared" si="12"/>
        <v>0.14536473878978612</v>
      </c>
      <c r="L90" s="143">
        <f t="shared" si="12"/>
        <v>0.12139883875316003</v>
      </c>
      <c r="M90" s="143">
        <f t="shared" si="12"/>
        <v>0.10132014803868279</v>
      </c>
      <c r="N90" s="143">
        <f t="shared" si="12"/>
        <v>8.4461806142509754E-2</v>
      </c>
    </row>
    <row r="91" spans="2:16" x14ac:dyDescent="0.2">
      <c r="B91" t="s">
        <v>365</v>
      </c>
      <c r="E91" s="143">
        <f>E137/E139</f>
        <v>52.622950819672134</v>
      </c>
      <c r="F91" s="143">
        <f t="shared" ref="F91:N91" si="13">F137/F139</f>
        <v>65.58620689655173</v>
      </c>
      <c r="G91" s="143">
        <f t="shared" si="13"/>
        <v>54.730769230769234</v>
      </c>
      <c r="H91" s="143">
        <f t="shared" si="13"/>
        <v>24.630434782608695</v>
      </c>
      <c r="I91" s="143">
        <f t="shared" si="13"/>
        <v>42.546610169491522</v>
      </c>
      <c r="J91" s="143">
        <f t="shared" si="13"/>
        <v>31.19967381452814</v>
      </c>
      <c r="K91" s="143">
        <f t="shared" si="13"/>
        <v>37.828941176552355</v>
      </c>
      <c r="L91" s="143">
        <f t="shared" si="13"/>
        <v>45.710857423177849</v>
      </c>
      <c r="M91" s="143">
        <f t="shared" si="13"/>
        <v>55.01266319601325</v>
      </c>
      <c r="N91" s="143">
        <f t="shared" si="13"/>
        <v>65.894254641923851</v>
      </c>
    </row>
    <row r="92" spans="2:16" x14ac:dyDescent="0.2">
      <c r="B92" t="s">
        <v>366</v>
      </c>
      <c r="E92" s="143">
        <f>E132/E155</f>
        <v>4.8894472361809047</v>
      </c>
      <c r="F92" s="143">
        <f t="shared" ref="F92:N92" si="14">F132/F155</f>
        <v>2.8857142857142857</v>
      </c>
      <c r="G92" s="143">
        <f t="shared" si="14"/>
        <v>4.2390194075587333</v>
      </c>
      <c r="H92" s="143">
        <f t="shared" si="14"/>
        <v>3.4386637458926614</v>
      </c>
      <c r="I92" s="143">
        <f t="shared" si="14"/>
        <v>3.6234165067178501</v>
      </c>
      <c r="J92" s="143">
        <f t="shared" si="14"/>
        <v>3.6234165067178505</v>
      </c>
      <c r="K92" s="143">
        <f t="shared" si="14"/>
        <v>3.6234165067178501</v>
      </c>
      <c r="L92" s="143">
        <f t="shared" si="14"/>
        <v>3.6234165067178501</v>
      </c>
      <c r="M92" s="143">
        <f t="shared" si="14"/>
        <v>3.6234165067178501</v>
      </c>
      <c r="N92" s="143">
        <f t="shared" si="14"/>
        <v>3.6234165067178501</v>
      </c>
    </row>
    <row r="93" spans="2:16" x14ac:dyDescent="0.2">
      <c r="B93" t="s">
        <v>367</v>
      </c>
      <c r="E93" s="143">
        <f>E131/E158</f>
        <v>9.743229689067201</v>
      </c>
      <c r="F93" s="143">
        <f t="shared" ref="F93:N93" si="15">F131/F158</f>
        <v>8.3447293447293447</v>
      </c>
      <c r="G93" s="143">
        <f t="shared" si="15"/>
        <v>6.5221027479091997</v>
      </c>
      <c r="H93" s="143">
        <f t="shared" si="15"/>
        <v>7.7594229874360163</v>
      </c>
      <c r="I93" s="143">
        <f t="shared" si="15"/>
        <v>9.6882649388048954</v>
      </c>
      <c r="J93" s="143">
        <f t="shared" si="15"/>
        <v>8.2040859453682327</v>
      </c>
      <c r="K93" s="143">
        <f t="shared" si="15"/>
        <v>8.2040859453682309</v>
      </c>
      <c r="L93" s="143">
        <f t="shared" si="15"/>
        <v>8.2040859453682327</v>
      </c>
      <c r="M93" s="143">
        <f t="shared" si="15"/>
        <v>8.2040859453682327</v>
      </c>
      <c r="N93" s="143">
        <f t="shared" si="15"/>
        <v>8.2040859453682327</v>
      </c>
    </row>
    <row r="94" spans="2:16" x14ac:dyDescent="0.2">
      <c r="B94" t="s">
        <v>368</v>
      </c>
      <c r="E94" s="143">
        <f>E143/E131</f>
        <v>0.3136709903232448</v>
      </c>
      <c r="F94" s="143">
        <f t="shared" ref="F94:N94" si="16">F143/F131</f>
        <v>0.35344827586206895</v>
      </c>
      <c r="G94" s="143">
        <f t="shared" si="16"/>
        <v>0.25609085913170909</v>
      </c>
      <c r="H94" s="143">
        <f t="shared" si="16"/>
        <v>0.25979010494752625</v>
      </c>
      <c r="I94" s="143">
        <f t="shared" si="16"/>
        <v>0.36233930296499961</v>
      </c>
      <c r="J94" s="143">
        <f t="shared" si="16"/>
        <v>0.26412676846092031</v>
      </c>
      <c r="K94" s="143">
        <f t="shared" si="16"/>
        <v>0.2665876190580424</v>
      </c>
      <c r="L94" s="143">
        <f t="shared" si="16"/>
        <v>0.26767436743494066</v>
      </c>
      <c r="M94" s="143">
        <f t="shared" si="16"/>
        <v>0.26848781799383648</v>
      </c>
      <c r="N94" s="143">
        <f t="shared" si="16"/>
        <v>0.26905949463607198</v>
      </c>
    </row>
    <row r="95" spans="2:16" x14ac:dyDescent="0.2">
      <c r="B95" t="s">
        <v>369</v>
      </c>
      <c r="E95" s="143">
        <f>(E131-E132)/E131</f>
        <v>0.59934115709285563</v>
      </c>
      <c r="F95" s="143">
        <f t="shared" ref="F95:N95" si="17">(F131-F132)/F131</f>
        <v>0.61206896551724133</v>
      </c>
      <c r="G95" s="143">
        <f t="shared" si="17"/>
        <v>0.61989375343469499</v>
      </c>
      <c r="H95" s="143">
        <f t="shared" si="17"/>
        <v>0.62344827586206897</v>
      </c>
      <c r="I95" s="143">
        <f t="shared" si="17"/>
        <v>0.64929033216913135</v>
      </c>
      <c r="J95" s="143">
        <f t="shared" si="17"/>
        <v>0.62080849681519845</v>
      </c>
      <c r="K95" s="143">
        <f t="shared" si="17"/>
        <v>0.62080849681519856</v>
      </c>
      <c r="L95" s="143">
        <f t="shared" si="17"/>
        <v>0.62080849681519845</v>
      </c>
      <c r="M95" s="143">
        <f t="shared" si="17"/>
        <v>0.62080849681519845</v>
      </c>
      <c r="N95" s="143">
        <f t="shared" si="17"/>
        <v>0.62080849681519856</v>
      </c>
    </row>
    <row r="96" spans="2:16" x14ac:dyDescent="0.2">
      <c r="B96" t="s">
        <v>370</v>
      </c>
      <c r="E96" s="143">
        <f>E143/E163</f>
        <v>0.27106129347922781</v>
      </c>
      <c r="F96" s="143">
        <f t="shared" ref="F96:N96" si="18">F143/F163</f>
        <v>0.26991265806283404</v>
      </c>
      <c r="G96" s="143">
        <f t="shared" si="18"/>
        <v>0.13669697858609564</v>
      </c>
      <c r="H96" s="143">
        <f t="shared" si="18"/>
        <v>0.12850786116879265</v>
      </c>
      <c r="I96" s="143">
        <f t="shared" si="18"/>
        <v>0.1864199418871387</v>
      </c>
      <c r="J96" s="143">
        <f t="shared" si="18"/>
        <v>0.13932211999622399</v>
      </c>
      <c r="K96" s="143">
        <f t="shared" si="18"/>
        <v>0.14468646915346187</v>
      </c>
      <c r="L96" s="143">
        <f t="shared" si="18"/>
        <v>0.14950414062200879</v>
      </c>
      <c r="M96" s="143">
        <f t="shared" si="18"/>
        <v>0.15422519835936468</v>
      </c>
      <c r="N96" s="143">
        <f t="shared" si="18"/>
        <v>0.15876203455997212</v>
      </c>
    </row>
    <row r="97" spans="1:16" x14ac:dyDescent="0.2">
      <c r="B97" t="s">
        <v>371</v>
      </c>
      <c r="E97" s="143">
        <f>E143/E181</f>
        <v>0.40784366216035339</v>
      </c>
      <c r="F97" s="143">
        <f t="shared" ref="F97:N97" si="19">F143/F181</f>
        <v>0.363500702247191</v>
      </c>
      <c r="G97" s="143">
        <f t="shared" si="19"/>
        <v>0.18223294010297855</v>
      </c>
      <c r="H97" s="143">
        <f t="shared" si="19"/>
        <v>0.19860627177700349</v>
      </c>
      <c r="I97" s="143">
        <f t="shared" si="19"/>
        <v>0.28073811785704006</v>
      </c>
      <c r="J97" s="143">
        <f t="shared" si="19"/>
        <v>0.20099896444846144</v>
      </c>
      <c r="K97" s="143">
        <f t="shared" si="19"/>
        <v>0.2015025358406298</v>
      </c>
      <c r="L97" s="143">
        <f t="shared" si="19"/>
        <v>0.20257229168488639</v>
      </c>
      <c r="M97" s="143">
        <f t="shared" si="19"/>
        <v>0.20451351747622695</v>
      </c>
      <c r="N97" s="143">
        <f t="shared" si="19"/>
        <v>0.20698301688758597</v>
      </c>
    </row>
    <row r="98" spans="1:16" x14ac:dyDescent="0.2">
      <c r="B98" t="s">
        <v>362</v>
      </c>
      <c r="E98" s="143">
        <f>((E155/E132)*365)+((E154/E131)*365)-((E166/E132)*365)</f>
        <v>66.288336135997227</v>
      </c>
      <c r="F98" s="143">
        <f t="shared" ref="F98:N98" si="20">((F155/F132)*365)+((F154/F131)*365)-((F166/F132)*365)</f>
        <v>129.8110086870756</v>
      </c>
      <c r="G98" s="143">
        <f t="shared" si="20"/>
        <v>81.077146615404644</v>
      </c>
      <c r="H98" s="143">
        <f t="shared" si="20"/>
        <v>92.5227122702385</v>
      </c>
      <c r="I98" s="143">
        <f t="shared" si="20"/>
        <v>94.848181346110991</v>
      </c>
      <c r="J98" s="143">
        <f t="shared" si="20"/>
        <v>94.848181346110991</v>
      </c>
      <c r="K98" s="143">
        <f t="shared" si="20"/>
        <v>94.848181346111019</v>
      </c>
      <c r="L98" s="143">
        <f t="shared" si="20"/>
        <v>94.848181346111019</v>
      </c>
      <c r="M98" s="143">
        <f t="shared" si="20"/>
        <v>94.848181346110991</v>
      </c>
      <c r="N98" s="143">
        <f t="shared" si="20"/>
        <v>94.848181346111019</v>
      </c>
    </row>
    <row r="100" spans="1:16" x14ac:dyDescent="0.2">
      <c r="A100" t="s">
        <v>10</v>
      </c>
      <c r="B100" s="1" t="s">
        <v>0</v>
      </c>
      <c r="C100" s="2"/>
      <c r="D100" s="2"/>
      <c r="E100" s="3" t="s">
        <v>1</v>
      </c>
      <c r="F100" s="3" t="s">
        <v>2</v>
      </c>
      <c r="G100" s="3" t="s">
        <v>3</v>
      </c>
      <c r="H100" s="3" t="s">
        <v>4</v>
      </c>
      <c r="I100" s="3" t="s">
        <v>5</v>
      </c>
      <c r="J100" s="3" t="s">
        <v>6</v>
      </c>
      <c r="K100" s="3"/>
      <c r="L100" s="4" t="s">
        <v>7</v>
      </c>
      <c r="M100" s="3"/>
      <c r="N100" s="3"/>
      <c r="O100" s="3"/>
      <c r="P100" s="3"/>
    </row>
    <row r="101" spans="1:16" x14ac:dyDescent="0.2">
      <c r="B101" t="s">
        <v>8</v>
      </c>
      <c r="D101" s="5"/>
      <c r="E101" s="12">
        <v>-0.11799999999999999</v>
      </c>
      <c r="F101" s="12">
        <v>0.20609429689108505</v>
      </c>
      <c r="G101" s="12">
        <v>-6.8111983612154314E-2</v>
      </c>
      <c r="H101" s="12">
        <v>0.52729437625938824</v>
      </c>
      <c r="I101" s="12">
        <v>0.61403298350824587</v>
      </c>
      <c r="J101" s="8">
        <v>0.23226193460931296</v>
      </c>
      <c r="K101" s="7"/>
      <c r="L101" s="8" t="s">
        <v>9</v>
      </c>
      <c r="M101" s="7"/>
      <c r="N101" s="7"/>
      <c r="O101" s="7"/>
      <c r="P101" s="7"/>
    </row>
    <row r="102" spans="1:16" x14ac:dyDescent="0.2">
      <c r="B102" t="s">
        <v>159</v>
      </c>
      <c r="E102" s="9">
        <v>0.40065884290714432</v>
      </c>
      <c r="F102" s="9">
        <v>0.38793103448275862</v>
      </c>
      <c r="G102" s="9">
        <v>0.38010624656530501</v>
      </c>
      <c r="H102" s="9">
        <v>0.37655172413793103</v>
      </c>
      <c r="I102" s="9">
        <v>0.35070966783086871</v>
      </c>
      <c r="J102" s="8">
        <v>0.37919150318480155</v>
      </c>
      <c r="K102" s="7"/>
      <c r="L102" s="8" t="s">
        <v>132</v>
      </c>
      <c r="M102" s="7"/>
      <c r="N102" s="7"/>
      <c r="O102" s="7"/>
      <c r="P102" s="7"/>
    </row>
    <row r="103" spans="1:16" x14ac:dyDescent="0.2">
      <c r="B103" t="s">
        <v>158</v>
      </c>
      <c r="E103" s="9">
        <v>0.18499073502161828</v>
      </c>
      <c r="F103" s="9">
        <v>0.20279959030385797</v>
      </c>
      <c r="G103" s="9">
        <v>0.25911339073090311</v>
      </c>
      <c r="H103" s="9">
        <v>0.2353223388305847</v>
      </c>
      <c r="I103" s="9">
        <v>0.19573456193802483</v>
      </c>
      <c r="J103" s="8">
        <v>0.21559212336499778</v>
      </c>
      <c r="K103" s="10"/>
      <c r="L103" s="11" t="s">
        <v>133</v>
      </c>
      <c r="M103" s="12"/>
      <c r="N103" s="12"/>
      <c r="O103" s="12"/>
      <c r="P103" s="12"/>
    </row>
    <row r="104" spans="1:16" x14ac:dyDescent="0.2">
      <c r="B104" t="s">
        <v>157</v>
      </c>
      <c r="E104" s="9">
        <v>8.3899526456660489E-2</v>
      </c>
      <c r="F104" s="9">
        <v>8.4585182656196647E-2</v>
      </c>
      <c r="G104" s="9">
        <v>0.10010991023997069</v>
      </c>
      <c r="H104" s="9">
        <v>0.11634182908545727</v>
      </c>
      <c r="I104" s="9">
        <v>8.0478561343538674E-2</v>
      </c>
      <c r="J104" s="8">
        <v>9.3083001956364736E-2</v>
      </c>
      <c r="K104" s="10"/>
      <c r="L104" s="11" t="s">
        <v>135</v>
      </c>
      <c r="M104" s="12"/>
      <c r="N104" s="12"/>
      <c r="O104" s="12"/>
      <c r="P104" s="12"/>
    </row>
    <row r="105" spans="1:16" x14ac:dyDescent="0.2">
      <c r="B105" t="s">
        <v>136</v>
      </c>
      <c r="E105" s="9"/>
      <c r="F105" s="9"/>
      <c r="G105" s="9"/>
      <c r="H105" s="9"/>
      <c r="I105" s="9"/>
      <c r="J105" s="8"/>
      <c r="K105" s="10"/>
      <c r="L105" s="11" t="s">
        <v>137</v>
      </c>
      <c r="M105" s="12"/>
      <c r="N105" s="12"/>
      <c r="O105" s="12"/>
      <c r="P105" s="12"/>
    </row>
    <row r="106" spans="1:16" x14ac:dyDescent="0.2">
      <c r="B106" t="s">
        <v>138</v>
      </c>
      <c r="E106" s="9"/>
      <c r="F106" s="9"/>
      <c r="G106" s="9"/>
      <c r="H106" s="9"/>
      <c r="I106" s="9"/>
      <c r="J106" s="8"/>
      <c r="K106" s="10"/>
      <c r="L106" s="11" t="s">
        <v>139</v>
      </c>
      <c r="M106" s="12"/>
      <c r="N106" s="12"/>
      <c r="O106" s="12"/>
      <c r="P106" s="12"/>
    </row>
    <row r="107" spans="1:16" x14ac:dyDescent="0.2">
      <c r="B107" t="s">
        <v>140</v>
      </c>
      <c r="E107" s="80">
        <v>-22</v>
      </c>
      <c r="F107" s="80">
        <v>14</v>
      </c>
      <c r="G107" s="80">
        <v>-2</v>
      </c>
      <c r="H107" s="80">
        <v>4</v>
      </c>
      <c r="I107" s="80">
        <v>107</v>
      </c>
      <c r="J107" s="16">
        <v>20.2</v>
      </c>
      <c r="K107" s="10"/>
      <c r="L107" s="11" t="s">
        <v>141</v>
      </c>
      <c r="M107" s="12"/>
      <c r="N107" s="12"/>
      <c r="O107" s="12"/>
      <c r="P107" s="12"/>
    </row>
    <row r="108" spans="1:16" x14ac:dyDescent="0.2">
      <c r="B108" t="s">
        <v>142</v>
      </c>
      <c r="E108" s="9"/>
      <c r="F108" s="9"/>
      <c r="G108" s="9"/>
      <c r="H108" s="9"/>
      <c r="I108" s="9"/>
      <c r="J108" s="8">
        <v>0.15</v>
      </c>
      <c r="K108" s="10"/>
      <c r="L108" s="11" t="s">
        <v>143</v>
      </c>
      <c r="M108" s="12"/>
      <c r="N108" s="12"/>
      <c r="O108" s="12"/>
      <c r="P108" s="12"/>
    </row>
    <row r="109" spans="1:16" x14ac:dyDescent="0.2">
      <c r="B109" t="s">
        <v>144</v>
      </c>
      <c r="E109" s="9"/>
      <c r="F109" s="9"/>
      <c r="G109" s="9"/>
      <c r="H109" s="9"/>
      <c r="I109" s="9"/>
      <c r="J109" s="8"/>
      <c r="K109" s="10"/>
      <c r="L109" s="11" t="s">
        <v>167</v>
      </c>
      <c r="M109" s="12"/>
      <c r="N109" s="12"/>
      <c r="O109" s="12"/>
      <c r="P109" s="12"/>
    </row>
    <row r="110" spans="1:16" x14ac:dyDescent="0.2">
      <c r="B110" t="s">
        <v>203</v>
      </c>
      <c r="E110" s="9"/>
      <c r="F110" s="9"/>
      <c r="G110" s="9"/>
      <c r="H110" s="9"/>
      <c r="I110" s="9"/>
      <c r="J110" s="8"/>
      <c r="K110" s="10"/>
      <c r="L110" s="11" t="s">
        <v>146</v>
      </c>
      <c r="M110" s="12"/>
      <c r="N110" s="12"/>
      <c r="O110" s="12"/>
      <c r="P110" s="12"/>
    </row>
    <row r="111" spans="1:16" x14ac:dyDescent="0.2">
      <c r="B111" t="s">
        <v>147</v>
      </c>
      <c r="E111" s="9"/>
      <c r="F111" s="9"/>
      <c r="G111" s="9"/>
      <c r="H111" s="9"/>
      <c r="I111" s="9"/>
      <c r="J111" s="8"/>
      <c r="K111" s="10"/>
      <c r="L111" s="11" t="s">
        <v>148</v>
      </c>
      <c r="M111" s="12"/>
      <c r="N111" s="12"/>
      <c r="O111" s="12"/>
      <c r="P111" s="12"/>
    </row>
    <row r="112" spans="1:16" x14ac:dyDescent="0.2">
      <c r="B112" t="s">
        <v>205</v>
      </c>
      <c r="E112" s="9">
        <v>0.11745933703932468</v>
      </c>
      <c r="F112" s="9">
        <v>0.13972345510413109</v>
      </c>
      <c r="G112" s="9">
        <v>0.18583989741710935</v>
      </c>
      <c r="H112" s="9">
        <v>0.15802098950524737</v>
      </c>
      <c r="I112" s="9">
        <v>0.1259195957494241</v>
      </c>
      <c r="J112" s="11">
        <v>0.14539265496304732</v>
      </c>
      <c r="K112" s="10"/>
      <c r="L112" s="11" t="s">
        <v>206</v>
      </c>
      <c r="M112" s="12"/>
      <c r="N112" s="12"/>
      <c r="O112" s="12"/>
      <c r="P112" s="12"/>
    </row>
    <row r="113" spans="1:16" x14ac:dyDescent="0.2">
      <c r="B113" t="s">
        <v>204</v>
      </c>
      <c r="E113" s="9">
        <v>-0.12620508326029797</v>
      </c>
      <c r="F113" s="9">
        <v>-0.14233353695784973</v>
      </c>
      <c r="G113" s="9">
        <v>-0.17496303597831445</v>
      </c>
      <c r="H113" s="9">
        <v>-0.18444022770398483</v>
      </c>
      <c r="I113" s="9">
        <v>-0.18028917084685747</v>
      </c>
      <c r="J113" s="11">
        <v>-0.16164621094946088</v>
      </c>
      <c r="K113" s="10"/>
      <c r="L113" s="11" t="s">
        <v>177</v>
      </c>
      <c r="M113" s="12"/>
      <c r="N113" s="12"/>
      <c r="O113" s="12"/>
      <c r="P113" s="12"/>
    </row>
    <row r="114" spans="1:16" x14ac:dyDescent="0.2">
      <c r="B114" t="s">
        <v>207</v>
      </c>
      <c r="E114" s="9"/>
      <c r="F114" s="9"/>
      <c r="G114" s="9"/>
      <c r="H114" s="9"/>
      <c r="I114" s="9"/>
      <c r="J114" s="8"/>
      <c r="K114" s="10"/>
      <c r="L114" s="11" t="s">
        <v>145</v>
      </c>
      <c r="M114" s="12"/>
      <c r="N114" s="12"/>
      <c r="O114" s="12"/>
      <c r="P114" s="12"/>
    </row>
    <row r="115" spans="1:16" x14ac:dyDescent="0.2">
      <c r="B115" t="s">
        <v>209</v>
      </c>
      <c r="E115" s="9"/>
      <c r="F115" s="9"/>
      <c r="G115" s="9"/>
      <c r="H115" s="9"/>
      <c r="I115" s="9"/>
      <c r="J115" s="8"/>
      <c r="K115" s="10"/>
      <c r="L115" s="11" t="s">
        <v>178</v>
      </c>
      <c r="M115" s="12"/>
      <c r="N115" s="12"/>
      <c r="O115" s="12"/>
      <c r="P115" s="12"/>
    </row>
    <row r="116" spans="1:16" x14ac:dyDescent="0.2">
      <c r="B116" t="s">
        <v>208</v>
      </c>
      <c r="E116" s="9">
        <v>-0.51401869158878499</v>
      </c>
      <c r="F116" s="9">
        <v>-0.39189189189189189</v>
      </c>
      <c r="G116" s="9">
        <v>-0.33783783783783783</v>
      </c>
      <c r="H116" s="9">
        <v>-0.18274111675126903</v>
      </c>
      <c r="I116" s="9">
        <v>-0.19400413507925568</v>
      </c>
      <c r="J116" s="11">
        <v>-0.32409873462980793</v>
      </c>
      <c r="K116" s="10"/>
      <c r="L116" s="11" t="s">
        <v>179</v>
      </c>
      <c r="M116" s="12"/>
      <c r="N116" s="12"/>
      <c r="O116" s="12"/>
      <c r="P116" s="12"/>
    </row>
    <row r="117" spans="1:16" x14ac:dyDescent="0.2">
      <c r="B117" t="s">
        <v>210</v>
      </c>
      <c r="E117" s="9"/>
      <c r="F117" s="9"/>
      <c r="G117" s="9"/>
      <c r="H117" s="9"/>
      <c r="I117" s="9"/>
      <c r="J117" s="8"/>
      <c r="K117" s="10"/>
      <c r="L117" s="11" t="s">
        <v>150</v>
      </c>
      <c r="M117" s="12"/>
      <c r="N117" s="12"/>
      <c r="O117" s="12"/>
      <c r="P117" s="12"/>
    </row>
    <row r="118" spans="1:16" x14ac:dyDescent="0.2">
      <c r="B118" t="s">
        <v>211</v>
      </c>
      <c r="E118" s="9"/>
      <c r="F118" s="9"/>
      <c r="G118" s="9"/>
      <c r="H118" s="9"/>
      <c r="I118" s="9"/>
      <c r="J118" s="8"/>
      <c r="K118" s="10"/>
      <c r="L118" s="11" t="s">
        <v>152</v>
      </c>
      <c r="M118" s="12"/>
      <c r="N118" s="12"/>
      <c r="O118" s="12"/>
      <c r="P118" s="12"/>
    </row>
    <row r="119" spans="1:16" x14ac:dyDescent="0.2">
      <c r="B119" t="s">
        <v>212</v>
      </c>
      <c r="E119" s="9"/>
      <c r="F119" s="9"/>
      <c r="G119" s="9"/>
      <c r="H119" s="9"/>
      <c r="I119" s="9"/>
      <c r="J119" s="8"/>
      <c r="K119" s="10"/>
      <c r="L119" s="11" t="s">
        <v>154</v>
      </c>
      <c r="M119" s="12"/>
      <c r="N119" s="12"/>
      <c r="O119" s="12"/>
      <c r="P119" s="12"/>
    </row>
    <row r="120" spans="1:16" x14ac:dyDescent="0.2">
      <c r="B120" t="s">
        <v>213</v>
      </c>
      <c r="E120" s="9"/>
      <c r="F120" s="9"/>
      <c r="G120" s="9"/>
      <c r="H120" s="9"/>
      <c r="I120" s="9"/>
      <c r="J120" s="8"/>
      <c r="K120" s="10"/>
      <c r="L120" s="11" t="s">
        <v>145</v>
      </c>
      <c r="M120" s="12"/>
      <c r="N120" s="12"/>
      <c r="O120" s="12"/>
      <c r="P120" s="12"/>
    </row>
    <row r="121" spans="1:16" x14ac:dyDescent="0.2">
      <c r="B121" t="s">
        <v>214</v>
      </c>
      <c r="E121" s="9">
        <v>-0.11191335740072202</v>
      </c>
      <c r="F121" s="9">
        <v>-8.9591886017870076E-2</v>
      </c>
      <c r="G121" s="9">
        <v>-0.13948497854077252</v>
      </c>
      <c r="H121" s="9">
        <v>-9.1181902123730382E-2</v>
      </c>
      <c r="I121" s="9">
        <v>-4.0914684167350286E-2</v>
      </c>
      <c r="J121" s="8">
        <v>-9.4617361650089063E-2</v>
      </c>
      <c r="K121" s="10"/>
      <c r="L121" s="11" t="s">
        <v>160</v>
      </c>
      <c r="M121" s="12"/>
      <c r="N121" s="12"/>
      <c r="O121" s="12"/>
      <c r="P121" s="12"/>
    </row>
    <row r="122" spans="1:16" x14ac:dyDescent="0.2">
      <c r="B122" t="s">
        <v>215</v>
      </c>
      <c r="E122" s="9">
        <v>-0.29832622251394814</v>
      </c>
      <c r="F122" s="9">
        <v>-0.38130886259357644</v>
      </c>
      <c r="G122" s="9">
        <v>0</v>
      </c>
      <c r="H122" s="9">
        <v>0</v>
      </c>
      <c r="I122" s="9">
        <v>0</v>
      </c>
      <c r="J122" s="8">
        <v>-0.13592701702150492</v>
      </c>
      <c r="K122" s="10"/>
      <c r="L122" s="11" t="s">
        <v>162</v>
      </c>
      <c r="M122" s="12"/>
      <c r="N122" s="12"/>
      <c r="O122" s="12"/>
      <c r="P122" s="12"/>
    </row>
    <row r="123" spans="1:16" x14ac:dyDescent="0.2">
      <c r="B123" t="s">
        <v>216</v>
      </c>
      <c r="E123" s="13">
        <v>612</v>
      </c>
      <c r="F123" s="13">
        <v>1032</v>
      </c>
      <c r="G123" s="13">
        <v>551</v>
      </c>
      <c r="H123" s="13">
        <v>942</v>
      </c>
      <c r="I123" s="13">
        <v>1290</v>
      </c>
      <c r="J123" s="16">
        <v>885.4</v>
      </c>
      <c r="K123" s="10"/>
      <c r="L123" s="11" t="s">
        <v>164</v>
      </c>
      <c r="M123" s="12"/>
      <c r="N123" s="12"/>
      <c r="O123" s="12"/>
      <c r="P123" s="12"/>
    </row>
    <row r="124" spans="1:16" x14ac:dyDescent="0.2">
      <c r="B124" t="s">
        <v>217</v>
      </c>
      <c r="E124" s="13">
        <v>529</v>
      </c>
      <c r="F124" s="13">
        <v>698</v>
      </c>
      <c r="G124" s="13">
        <v>994</v>
      </c>
      <c r="H124" s="13">
        <v>1590</v>
      </c>
      <c r="I124" s="13">
        <v>2282</v>
      </c>
      <c r="J124" s="16">
        <v>1218.5999999999999</v>
      </c>
      <c r="K124" s="10"/>
      <c r="L124" s="11" t="s">
        <v>166</v>
      </c>
      <c r="M124" s="12"/>
      <c r="N124" s="12"/>
      <c r="O124" s="12"/>
      <c r="P124" s="12"/>
    </row>
    <row r="125" spans="1:16" x14ac:dyDescent="0.2">
      <c r="B125" t="s">
        <v>183</v>
      </c>
      <c r="E125" s="9">
        <v>0.73172740374716905</v>
      </c>
      <c r="F125" s="9">
        <v>0.80846705360191196</v>
      </c>
      <c r="G125" s="9">
        <v>1.2855834401905111</v>
      </c>
      <c r="H125" s="9">
        <v>0.98830584707646174</v>
      </c>
      <c r="I125" s="9">
        <v>1.0898788734487628</v>
      </c>
      <c r="J125" s="11">
        <v>0.98079252361296343</v>
      </c>
      <c r="K125" s="10"/>
      <c r="L125" s="11" t="s">
        <v>184</v>
      </c>
      <c r="M125" s="12"/>
      <c r="N125" s="12"/>
      <c r="O125" s="12"/>
      <c r="P125" s="12"/>
    </row>
    <row r="126" spans="1:16" x14ac:dyDescent="0.2">
      <c r="E126" s="9"/>
      <c r="F126" s="9"/>
      <c r="G126" s="9"/>
      <c r="H126" s="9"/>
      <c r="I126" s="9"/>
      <c r="J126" s="11"/>
      <c r="K126" s="10"/>
      <c r="L126" s="11"/>
      <c r="M126" s="12"/>
      <c r="N126" s="12"/>
      <c r="O126" s="12"/>
      <c r="P126" s="12"/>
    </row>
    <row r="127" spans="1:16" x14ac:dyDescent="0.2">
      <c r="A127" t="s">
        <v>10</v>
      </c>
      <c r="B127" s="1" t="s">
        <v>11</v>
      </c>
      <c r="C127" s="2"/>
      <c r="D127" s="2"/>
      <c r="E127" s="3" t="s">
        <v>1</v>
      </c>
      <c r="F127" s="3" t="s">
        <v>2</v>
      </c>
      <c r="G127" s="3" t="s">
        <v>3</v>
      </c>
      <c r="H127" s="3" t="s">
        <v>4</v>
      </c>
      <c r="I127" s="3" t="s">
        <v>5</v>
      </c>
      <c r="J127" s="3" t="s">
        <v>12</v>
      </c>
      <c r="K127" s="3" t="s">
        <v>13</v>
      </c>
      <c r="L127" s="3" t="s">
        <v>14</v>
      </c>
      <c r="M127" s="3" t="s">
        <v>15</v>
      </c>
      <c r="N127" s="3" t="s">
        <v>16</v>
      </c>
      <c r="O127" s="3"/>
      <c r="P127" s="3"/>
    </row>
    <row r="128" spans="1:16" x14ac:dyDescent="0.2">
      <c r="B128" s="17"/>
      <c r="E128" s="18"/>
      <c r="F128" s="18"/>
      <c r="G128" s="18"/>
      <c r="H128" s="18"/>
      <c r="I128" s="18"/>
      <c r="J128" s="18"/>
      <c r="K128" s="18"/>
      <c r="L128" s="18"/>
      <c r="M128" s="18"/>
      <c r="N128" s="18"/>
      <c r="O128" s="18"/>
      <c r="P128" s="18"/>
    </row>
    <row r="129" spans="2:20" x14ac:dyDescent="0.2">
      <c r="B129" s="19" t="s">
        <v>17</v>
      </c>
      <c r="E129" s="20">
        <v>9714</v>
      </c>
      <c r="F129" s="20">
        <v>11716</v>
      </c>
      <c r="G129" s="20">
        <v>10918</v>
      </c>
      <c r="H129" s="20">
        <v>16675</v>
      </c>
      <c r="I129" s="20">
        <v>26914</v>
      </c>
      <c r="J129" s="21">
        <v>33165.097708075045</v>
      </c>
      <c r="K129" s="21">
        <v>40868.087463259442</v>
      </c>
      <c r="L129" s="21">
        <v>50360.188521258686</v>
      </c>
      <c r="M129" s="21">
        <v>62056.94333449594</v>
      </c>
      <c r="N129" s="21">
        <v>76470.409049306472</v>
      </c>
      <c r="O129" s="15"/>
      <c r="P129" s="22"/>
    </row>
    <row r="130" spans="2:20" x14ac:dyDescent="0.2">
      <c r="B130" s="23" t="s">
        <v>18</v>
      </c>
      <c r="C130" s="24"/>
      <c r="D130" s="24"/>
      <c r="E130" s="25">
        <v>-0.11799999999999999</v>
      </c>
      <c r="F130" s="26">
        <v>0.20609429689108505</v>
      </c>
      <c r="G130" s="26">
        <v>-6.8111983612154314E-2</v>
      </c>
      <c r="H130" s="26">
        <v>0.52729437625938824</v>
      </c>
      <c r="I130" s="26">
        <v>0.61403298350824587</v>
      </c>
      <c r="J130" s="26">
        <v>0.23226193460931288</v>
      </c>
      <c r="K130" s="26">
        <v>0.23226193460931288</v>
      </c>
      <c r="L130" s="26">
        <v>0.23226193460931288</v>
      </c>
      <c r="M130" s="26">
        <v>0.23226193460931288</v>
      </c>
      <c r="N130" s="26">
        <v>0.23226193460931288</v>
      </c>
      <c r="O130" s="15"/>
      <c r="P130" s="22"/>
    </row>
    <row r="131" spans="2:20" x14ac:dyDescent="0.2">
      <c r="B131" s="27" t="s">
        <v>19</v>
      </c>
      <c r="E131" s="28">
        <v>9714</v>
      </c>
      <c r="F131" s="28">
        <v>11716</v>
      </c>
      <c r="G131" s="28">
        <v>10918</v>
      </c>
      <c r="H131" s="28">
        <v>16675</v>
      </c>
      <c r="I131" s="28">
        <v>26914</v>
      </c>
      <c r="J131" s="28">
        <v>33165.097708075045</v>
      </c>
      <c r="K131" s="28">
        <v>40868.087463259442</v>
      </c>
      <c r="L131" s="28">
        <v>50360.188521258686</v>
      </c>
      <c r="M131" s="28">
        <v>62056.94333449594</v>
      </c>
      <c r="N131" s="28">
        <v>76470.409049306472</v>
      </c>
      <c r="O131" s="28"/>
      <c r="P131" s="29"/>
    </row>
    <row r="132" spans="2:20" x14ac:dyDescent="0.2">
      <c r="B132" t="s">
        <v>20</v>
      </c>
      <c r="E132" s="30">
        <v>3892</v>
      </c>
      <c r="F132" s="30">
        <v>4545</v>
      </c>
      <c r="G132" s="30">
        <v>4150</v>
      </c>
      <c r="H132" s="30">
        <v>6279</v>
      </c>
      <c r="I132" s="30">
        <v>9439</v>
      </c>
      <c r="J132" s="31">
        <v>12575.923253195793</v>
      </c>
      <c r="K132" s="31">
        <v>15496.831517481291</v>
      </c>
      <c r="L132" s="31">
        <v>19096.155586046068</v>
      </c>
      <c r="M132" s="31">
        <v>23531.465626061567</v>
      </c>
      <c r="N132" s="31">
        <v>28996.929356563171</v>
      </c>
      <c r="O132" s="31"/>
      <c r="P132" s="32"/>
    </row>
    <row r="133" spans="2:20" x14ac:dyDescent="0.2">
      <c r="B133" s="23" t="s">
        <v>18</v>
      </c>
      <c r="C133" s="24"/>
      <c r="D133" s="24"/>
      <c r="E133" s="25">
        <v>-9.5600000000000004E-2</v>
      </c>
      <c r="F133" s="26">
        <v>0.16778006166495385</v>
      </c>
      <c r="G133" s="26">
        <v>-8.6908690869086924E-2</v>
      </c>
      <c r="H133" s="26">
        <v>0.51301204819277113</v>
      </c>
      <c r="I133" s="26">
        <v>0.5032648510909381</v>
      </c>
      <c r="J133" s="26">
        <v>0.33233639720264785</v>
      </c>
      <c r="K133" s="26">
        <v>0.23226193460931288</v>
      </c>
      <c r="L133" s="26">
        <v>0.23226193460931288</v>
      </c>
      <c r="M133" s="26">
        <v>0.23226193460931288</v>
      </c>
      <c r="N133" s="26">
        <v>0.23226193460931288</v>
      </c>
      <c r="O133" s="31"/>
      <c r="P133" s="32"/>
    </row>
    <row r="134" spans="2:20" x14ac:dyDescent="0.2">
      <c r="B134" s="27" t="s">
        <v>21</v>
      </c>
      <c r="E134" s="28">
        <v>5822</v>
      </c>
      <c r="F134" s="28">
        <v>7171</v>
      </c>
      <c r="G134" s="28">
        <v>6768</v>
      </c>
      <c r="H134" s="28">
        <v>10396</v>
      </c>
      <c r="I134" s="28">
        <v>17475</v>
      </c>
      <c r="J134" s="28">
        <v>20589.174454879252</v>
      </c>
      <c r="K134" s="28">
        <v>25371.255945778154</v>
      </c>
      <c r="L134" s="28">
        <v>31264.032935212617</v>
      </c>
      <c r="M134" s="28">
        <v>38525.477708434373</v>
      </c>
      <c r="N134" s="28">
        <v>47473.479692743305</v>
      </c>
      <c r="O134" s="28"/>
      <c r="P134" s="33"/>
      <c r="R134" s="34"/>
      <c r="S134" s="34"/>
      <c r="T134" s="34"/>
    </row>
    <row r="135" spans="2:20" x14ac:dyDescent="0.2">
      <c r="B135" t="s">
        <v>22</v>
      </c>
      <c r="E135" s="35">
        <v>1797</v>
      </c>
      <c r="F135" s="35">
        <v>2376</v>
      </c>
      <c r="G135" s="35">
        <v>2829</v>
      </c>
      <c r="H135" s="35">
        <v>3924</v>
      </c>
      <c r="I135" s="35">
        <v>5268</v>
      </c>
      <c r="J135" s="31">
        <v>7150.13383649152</v>
      </c>
      <c r="K135" s="31">
        <v>8810.8377540705496</v>
      </c>
      <c r="L135" s="31">
        <v>10857.259976359748</v>
      </c>
      <c r="M135" s="31">
        <v>13378.988183025325</v>
      </c>
      <c r="N135" s="31">
        <v>16486.417861529924</v>
      </c>
      <c r="O135" s="28"/>
      <c r="P135" s="33"/>
      <c r="R135" s="34"/>
      <c r="S135" s="34"/>
      <c r="T135" s="34"/>
    </row>
    <row r="136" spans="2:20" x14ac:dyDescent="0.2">
      <c r="B136" s="24" t="s">
        <v>134</v>
      </c>
      <c r="C136" s="24"/>
      <c r="D136" s="24"/>
      <c r="E136" s="36">
        <v>815</v>
      </c>
      <c r="F136" s="36">
        <v>991</v>
      </c>
      <c r="G136" s="36">
        <v>1093</v>
      </c>
      <c r="H136" s="36">
        <v>1940</v>
      </c>
      <c r="I136" s="36">
        <v>2166</v>
      </c>
      <c r="J136" s="37">
        <v>3087.106854843777</v>
      </c>
      <c r="K136" s="37">
        <v>3804.1242652954638</v>
      </c>
      <c r="L136" s="37">
        <v>4687.6775266472196</v>
      </c>
      <c r="M136" s="37">
        <v>5776.4465778109015</v>
      </c>
      <c r="N136" s="37">
        <v>7118.0952351406058</v>
      </c>
      <c r="O136" s="28"/>
      <c r="P136" s="33"/>
      <c r="R136" s="34"/>
      <c r="S136" s="34"/>
      <c r="T136" s="34"/>
    </row>
    <row r="137" spans="2:20" x14ac:dyDescent="0.2">
      <c r="B137" s="27" t="s">
        <v>23</v>
      </c>
      <c r="E137" s="28">
        <v>3210</v>
      </c>
      <c r="F137" s="28">
        <v>3804</v>
      </c>
      <c r="G137" s="28">
        <v>2846</v>
      </c>
      <c r="H137" s="28">
        <v>4532</v>
      </c>
      <c r="I137" s="28">
        <v>10041</v>
      </c>
      <c r="J137" s="28">
        <v>10351.933763543955</v>
      </c>
      <c r="K137" s="28">
        <v>12756.293926412141</v>
      </c>
      <c r="L137" s="28">
        <v>15719.095432205648</v>
      </c>
      <c r="M137" s="28">
        <v>19370.042947598147</v>
      </c>
      <c r="N137" s="28">
        <v>23868.966596072776</v>
      </c>
      <c r="O137" s="28"/>
      <c r="P137" s="29"/>
    </row>
    <row r="138" spans="2:20" x14ac:dyDescent="0.2">
      <c r="B138" t="s">
        <v>24</v>
      </c>
      <c r="E138" s="38">
        <v>69</v>
      </c>
      <c r="F138" s="38">
        <v>136</v>
      </c>
      <c r="G138" s="38">
        <v>178</v>
      </c>
      <c r="H138" s="38">
        <v>57</v>
      </c>
      <c r="I138" s="38">
        <v>29</v>
      </c>
      <c r="J138" s="15">
        <v>265.29784625158982</v>
      </c>
      <c r="K138" s="15">
        <v>378.27614125072756</v>
      </c>
      <c r="L138" s="15">
        <v>463.56392973119671</v>
      </c>
      <c r="M138" s="15">
        <v>563.66247449567368</v>
      </c>
      <c r="N138" s="15">
        <v>679.05256143269867</v>
      </c>
      <c r="O138" s="15"/>
      <c r="P138" s="22"/>
    </row>
    <row r="139" spans="2:20" x14ac:dyDescent="0.2">
      <c r="B139" t="s">
        <v>25</v>
      </c>
      <c r="E139" s="38">
        <v>61</v>
      </c>
      <c r="F139" s="38">
        <v>58</v>
      </c>
      <c r="G139" s="38">
        <v>52</v>
      </c>
      <c r="H139" s="38">
        <v>184</v>
      </c>
      <c r="I139" s="38">
        <v>236</v>
      </c>
      <c r="J139" s="15">
        <v>331.79621764903112</v>
      </c>
      <c r="K139" s="15">
        <v>337.20991203208513</v>
      </c>
      <c r="L139" s="15">
        <v>343.88100154593087</v>
      </c>
      <c r="M139" s="15">
        <v>352.10153121621437</v>
      </c>
      <c r="N139" s="15">
        <v>362.23137701123102</v>
      </c>
      <c r="O139" s="15"/>
      <c r="P139" s="22"/>
    </row>
    <row r="140" spans="2:20" x14ac:dyDescent="0.2">
      <c r="B140" s="24" t="s">
        <v>26</v>
      </c>
      <c r="C140" s="24"/>
      <c r="D140" s="24"/>
      <c r="E140" s="36">
        <v>-22</v>
      </c>
      <c r="F140" s="36">
        <v>14</v>
      </c>
      <c r="G140" s="36">
        <v>-2</v>
      </c>
      <c r="H140" s="36">
        <v>4</v>
      </c>
      <c r="I140" s="36">
        <v>107</v>
      </c>
      <c r="J140" s="37">
        <v>20.2</v>
      </c>
      <c r="K140" s="37">
        <v>20.2</v>
      </c>
      <c r="L140" s="37">
        <v>20.2</v>
      </c>
      <c r="M140" s="37">
        <v>20.2</v>
      </c>
      <c r="N140" s="37">
        <v>20.2</v>
      </c>
      <c r="O140" s="31"/>
      <c r="P140" s="39"/>
    </row>
    <row r="141" spans="2:20" x14ac:dyDescent="0.2">
      <c r="B141" s="27" t="s">
        <v>27</v>
      </c>
      <c r="E141" s="28">
        <v>3196</v>
      </c>
      <c r="F141" s="28">
        <v>3896</v>
      </c>
      <c r="G141" s="28">
        <v>2970</v>
      </c>
      <c r="H141" s="28">
        <v>4409</v>
      </c>
      <c r="I141" s="28">
        <v>9941</v>
      </c>
      <c r="J141" s="28">
        <v>10305.635392146514</v>
      </c>
      <c r="K141" s="28">
        <v>12817.560155630785</v>
      </c>
      <c r="L141" s="28">
        <v>15858.978360390915</v>
      </c>
      <c r="M141" s="28">
        <v>19601.803890877611</v>
      </c>
      <c r="N141" s="28">
        <v>24205.987780494244</v>
      </c>
      <c r="O141" s="28"/>
      <c r="P141" s="29"/>
    </row>
    <row r="142" spans="2:20" x14ac:dyDescent="0.2">
      <c r="B142" s="24" t="s">
        <v>28</v>
      </c>
      <c r="C142" s="24"/>
      <c r="D142" s="24"/>
      <c r="E142" s="36">
        <v>149</v>
      </c>
      <c r="F142" s="36">
        <v>-245</v>
      </c>
      <c r="G142" s="36">
        <v>174</v>
      </c>
      <c r="H142" s="36">
        <v>77</v>
      </c>
      <c r="I142" s="36">
        <v>189</v>
      </c>
      <c r="J142" s="37">
        <v>1545.8453088219771</v>
      </c>
      <c r="K142" s="37">
        <v>1922.6340233446176</v>
      </c>
      <c r="L142" s="37">
        <v>2378.8467540586371</v>
      </c>
      <c r="M142" s="37">
        <v>2940.2705836316413</v>
      </c>
      <c r="N142" s="37">
        <v>3630.8981670741364</v>
      </c>
      <c r="O142" s="31"/>
      <c r="P142" s="39"/>
    </row>
    <row r="143" spans="2:20" x14ac:dyDescent="0.2">
      <c r="B143" s="27" t="s">
        <v>29</v>
      </c>
      <c r="E143" s="28">
        <v>3047</v>
      </c>
      <c r="F143" s="28">
        <v>4141</v>
      </c>
      <c r="G143" s="28">
        <v>2796</v>
      </c>
      <c r="H143" s="28">
        <v>4332</v>
      </c>
      <c r="I143" s="28">
        <v>9752</v>
      </c>
      <c r="J143" s="28">
        <v>8759.7900833245367</v>
      </c>
      <c r="K143" s="28">
        <v>10894.926132286168</v>
      </c>
      <c r="L143" s="28">
        <v>13480.131606332277</v>
      </c>
      <c r="M143" s="28">
        <v>16661.533307245969</v>
      </c>
      <c r="N143" s="28">
        <v>20575.089613420107</v>
      </c>
      <c r="O143" s="31"/>
      <c r="P143" s="39"/>
    </row>
    <row r="144" spans="2:20" x14ac:dyDescent="0.2">
      <c r="O144" s="15"/>
      <c r="P144" s="22"/>
    </row>
    <row r="145" spans="1:19" x14ac:dyDescent="0.2">
      <c r="B145" t="s">
        <v>30</v>
      </c>
      <c r="E145" s="40">
        <v>5.0868113522537559</v>
      </c>
      <c r="F145" s="40">
        <v>6.8108552631578947</v>
      </c>
      <c r="G145" s="40">
        <v>1.1463714637146372</v>
      </c>
      <c r="H145" s="40">
        <v>1.7559789217673287</v>
      </c>
      <c r="I145" s="40">
        <v>3.9070512820512819</v>
      </c>
      <c r="J145" s="40">
        <v>3.4868411683479885</v>
      </c>
      <c r="K145" s="40">
        <v>4.3176892287930428</v>
      </c>
      <c r="L145" s="40">
        <v>5.3320034930354518</v>
      </c>
      <c r="M145" s="40">
        <v>6.5978530260388721</v>
      </c>
      <c r="N145" s="40">
        <v>8.1875360306023452</v>
      </c>
      <c r="O145" s="40"/>
      <c r="P145" s="41"/>
    </row>
    <row r="146" spans="1:19" x14ac:dyDescent="0.2">
      <c r="B146" t="s">
        <v>31</v>
      </c>
      <c r="E146" s="40">
        <v>4.8212025316455698</v>
      </c>
      <c r="F146" s="40">
        <v>6.6256000000000004</v>
      </c>
      <c r="G146" s="40">
        <v>1.1310679611650485</v>
      </c>
      <c r="H146" s="40">
        <v>1.7258964143426294</v>
      </c>
      <c r="I146" s="40">
        <v>3.8469428007889546</v>
      </c>
      <c r="J146" s="40">
        <v>3.4335389781154131</v>
      </c>
      <c r="K146" s="40">
        <v>4.2519715750643936</v>
      </c>
      <c r="L146" s="40">
        <v>5.2510001522021579</v>
      </c>
      <c r="M146" s="40">
        <v>6.4975072602098756</v>
      </c>
      <c r="N146" s="40">
        <v>8.0624118986061841</v>
      </c>
      <c r="O146" s="40"/>
      <c r="P146" s="41"/>
    </row>
    <row r="148" spans="1:19" x14ac:dyDescent="0.2">
      <c r="B148" t="s">
        <v>32</v>
      </c>
      <c r="D148" s="42"/>
      <c r="E148" s="38">
        <v>599</v>
      </c>
      <c r="F148" s="38">
        <v>608</v>
      </c>
      <c r="G148" s="38">
        <v>2439</v>
      </c>
      <c r="H148" s="38">
        <v>2467</v>
      </c>
      <c r="I148" s="38">
        <v>2496</v>
      </c>
      <c r="J148" s="43">
        <v>2512.2423593142298</v>
      </c>
      <c r="K148" s="43">
        <v>2523.323369276327</v>
      </c>
      <c r="L148" s="43">
        <v>2528.1550591517307</v>
      </c>
      <c r="M148" s="43">
        <v>2525.2962200719089</v>
      </c>
      <c r="N148" s="43">
        <v>2512.9769855689328</v>
      </c>
      <c r="O148" s="43"/>
      <c r="P148" s="43"/>
    </row>
    <row r="149" spans="1:19" x14ac:dyDescent="0.2">
      <c r="B149" t="s">
        <v>33</v>
      </c>
      <c r="D149" s="42"/>
      <c r="E149" s="38">
        <v>632</v>
      </c>
      <c r="F149" s="38">
        <v>625</v>
      </c>
      <c r="G149" s="38">
        <v>2472</v>
      </c>
      <c r="H149" s="38">
        <v>2510</v>
      </c>
      <c r="I149" s="38">
        <v>2535</v>
      </c>
      <c r="J149" s="43">
        <v>2551.2423593142298</v>
      </c>
      <c r="K149" s="43">
        <v>2562.323369276327</v>
      </c>
      <c r="L149" s="43">
        <v>2567.1550591517307</v>
      </c>
      <c r="M149" s="43">
        <v>2564.2962200719089</v>
      </c>
      <c r="N149" s="43">
        <v>2551.9769855689328</v>
      </c>
      <c r="O149" s="43"/>
      <c r="P149" s="43"/>
    </row>
    <row r="150" spans="1:19" x14ac:dyDescent="0.2">
      <c r="E150" s="46"/>
      <c r="F150" s="46"/>
      <c r="G150" s="46"/>
      <c r="H150" s="46"/>
      <c r="I150" s="46"/>
    </row>
    <row r="151" spans="1:19" x14ac:dyDescent="0.2">
      <c r="A151" t="s">
        <v>10</v>
      </c>
      <c r="B151" s="1" t="s">
        <v>34</v>
      </c>
      <c r="C151" s="2"/>
      <c r="D151" s="2"/>
      <c r="E151" s="3" t="s">
        <v>1</v>
      </c>
      <c r="F151" s="3" t="s">
        <v>2</v>
      </c>
      <c r="G151" s="3" t="s">
        <v>3</v>
      </c>
      <c r="H151" s="3" t="s">
        <v>4</v>
      </c>
      <c r="I151" s="3" t="s">
        <v>5</v>
      </c>
      <c r="J151" s="3" t="s">
        <v>12</v>
      </c>
      <c r="K151" s="3" t="s">
        <v>13</v>
      </c>
      <c r="L151" s="3" t="s">
        <v>14</v>
      </c>
      <c r="M151" s="3" t="s">
        <v>15</v>
      </c>
      <c r="N151" s="3" t="s">
        <v>16</v>
      </c>
      <c r="O151" s="3"/>
      <c r="P151" s="3"/>
    </row>
    <row r="152" spans="1:19" x14ac:dyDescent="0.2">
      <c r="B152" s="44" t="s">
        <v>35</v>
      </c>
      <c r="C152" s="45"/>
      <c r="D152" s="45"/>
      <c r="E152" s="45"/>
      <c r="F152" s="45"/>
      <c r="G152" s="45"/>
      <c r="H152" s="45"/>
      <c r="I152" s="45"/>
      <c r="J152" s="45"/>
      <c r="K152" s="45"/>
      <c r="L152" s="45"/>
      <c r="M152" s="45"/>
      <c r="N152" s="45"/>
      <c r="O152" s="45"/>
      <c r="P152" s="45"/>
    </row>
    <row r="153" spans="1:19" x14ac:dyDescent="0.2">
      <c r="B153" t="s">
        <v>36</v>
      </c>
      <c r="E153" s="14">
        <v>7108</v>
      </c>
      <c r="F153" s="14">
        <v>9472</v>
      </c>
      <c r="G153" s="14">
        <v>14036</v>
      </c>
      <c r="H153" s="14">
        <v>16480</v>
      </c>
      <c r="I153" s="14">
        <v>29333</v>
      </c>
      <c r="J153" s="14">
        <v>35989.674510840399</v>
      </c>
      <c r="K153" s="14">
        <v>44060.935069440151</v>
      </c>
      <c r="L153" s="14">
        <v>53275.207341537112</v>
      </c>
      <c r="M153" s="14">
        <v>63987.090247619417</v>
      </c>
      <c r="N153" s="14">
        <v>76601.663664605119</v>
      </c>
      <c r="O153" s="6"/>
      <c r="P153" s="6"/>
      <c r="Q153" s="6"/>
      <c r="R153" s="6"/>
      <c r="S153" s="6"/>
    </row>
    <row r="154" spans="1:19" x14ac:dyDescent="0.2">
      <c r="B154" t="s">
        <v>37</v>
      </c>
      <c r="E154" s="38">
        <v>1265</v>
      </c>
      <c r="F154" s="38">
        <v>1424</v>
      </c>
      <c r="G154" s="38">
        <v>1657</v>
      </c>
      <c r="H154" s="38">
        <v>2429</v>
      </c>
      <c r="I154" s="38">
        <v>4650</v>
      </c>
      <c r="J154" s="22">
        <v>5730.0179959333045</v>
      </c>
      <c r="K154" s="22">
        <v>7060.8830610149516</v>
      </c>
      <c r="L154" s="22">
        <v>8700.8574208164118</v>
      </c>
      <c r="M154" s="22">
        <v>10721.735398135028</v>
      </c>
      <c r="N154" s="22">
        <v>13211.986404075022</v>
      </c>
      <c r="O154" s="6"/>
      <c r="P154" s="6"/>
      <c r="Q154" s="6"/>
      <c r="R154" s="6"/>
      <c r="S154" s="6"/>
    </row>
    <row r="155" spans="1:19" x14ac:dyDescent="0.2">
      <c r="B155" t="s">
        <v>38</v>
      </c>
      <c r="E155" s="38">
        <v>796</v>
      </c>
      <c r="F155" s="38">
        <v>1575</v>
      </c>
      <c r="G155" s="38">
        <v>979</v>
      </c>
      <c r="H155" s="38">
        <v>1826</v>
      </c>
      <c r="I155" s="38">
        <v>2605</v>
      </c>
      <c r="J155" s="22">
        <v>3470.7363147128976</v>
      </c>
      <c r="K155" s="22">
        <v>4276.8562456869122</v>
      </c>
      <c r="L155" s="22">
        <v>5270.2071513560768</v>
      </c>
      <c r="M155" s="22">
        <v>6494.2756601218753</v>
      </c>
      <c r="N155" s="22">
        <v>8002.6486888279542</v>
      </c>
      <c r="O155" s="6"/>
      <c r="P155" s="6"/>
      <c r="Q155" s="6"/>
      <c r="R155" s="6"/>
      <c r="S155" s="6"/>
    </row>
    <row r="156" spans="1:19" x14ac:dyDescent="0.2">
      <c r="B156" s="24" t="s">
        <v>39</v>
      </c>
      <c r="C156" s="24"/>
      <c r="D156" s="24"/>
      <c r="E156" s="36">
        <v>86</v>
      </c>
      <c r="F156" s="36">
        <v>136</v>
      </c>
      <c r="G156" s="36">
        <v>157</v>
      </c>
      <c r="H156" s="36">
        <v>239</v>
      </c>
      <c r="I156" s="36">
        <v>366</v>
      </c>
      <c r="J156" s="47">
        <v>451.00786806700853</v>
      </c>
      <c r="K156" s="47">
        <v>555.75982802827366</v>
      </c>
      <c r="L156" s="47">
        <v>684.8416808642595</v>
      </c>
      <c r="M156" s="47">
        <v>843.90433456288611</v>
      </c>
      <c r="N156" s="47">
        <v>1039.9111879336469</v>
      </c>
      <c r="O156" s="6"/>
      <c r="P156" s="6"/>
      <c r="Q156" s="6"/>
      <c r="R156" s="6"/>
      <c r="S156" s="6"/>
    </row>
    <row r="157" spans="1:19" x14ac:dyDescent="0.2">
      <c r="B157" s="27" t="s">
        <v>40</v>
      </c>
      <c r="E157" s="28">
        <v>9255</v>
      </c>
      <c r="F157" s="28">
        <v>12607</v>
      </c>
      <c r="G157" s="28">
        <v>16829</v>
      </c>
      <c r="H157" s="28">
        <v>20974</v>
      </c>
      <c r="I157" s="28">
        <v>36954</v>
      </c>
      <c r="J157" s="28">
        <v>45641.436689553608</v>
      </c>
      <c r="K157" s="28">
        <v>55954.434204170291</v>
      </c>
      <c r="L157" s="28">
        <v>67931.113594573864</v>
      </c>
      <c r="M157" s="28">
        <v>82047.005640439209</v>
      </c>
      <c r="N157" s="28">
        <v>98856.209945441748</v>
      </c>
      <c r="O157" s="6"/>
      <c r="P157" s="6"/>
      <c r="Q157" s="6"/>
      <c r="R157" s="6"/>
      <c r="S157" s="6"/>
    </row>
    <row r="158" spans="1:19" x14ac:dyDescent="0.2">
      <c r="B158" t="s">
        <v>41</v>
      </c>
      <c r="E158" s="14">
        <v>997</v>
      </c>
      <c r="F158" s="14">
        <v>1404</v>
      </c>
      <c r="G158" s="14">
        <v>1674</v>
      </c>
      <c r="H158" s="14">
        <v>2149</v>
      </c>
      <c r="I158" s="14">
        <v>2778</v>
      </c>
      <c r="J158" s="14">
        <v>4042.5097846273793</v>
      </c>
      <c r="K158" s="14">
        <v>4981.4309278820119</v>
      </c>
      <c r="L158" s="14">
        <v>6138.4277123145521</v>
      </c>
      <c r="M158" s="14">
        <v>7564.1508082361488</v>
      </c>
      <c r="N158" s="14">
        <v>9321.0151086336737</v>
      </c>
      <c r="O158" s="6"/>
      <c r="P158" s="6"/>
      <c r="Q158" s="6"/>
      <c r="R158" s="6"/>
      <c r="S158" s="6"/>
    </row>
    <row r="159" spans="1:19" x14ac:dyDescent="0.2">
      <c r="B159" t="s">
        <v>123</v>
      </c>
      <c r="E159" s="46">
        <v>0</v>
      </c>
      <c r="F159" s="46">
        <v>0</v>
      </c>
      <c r="G159" s="46">
        <v>618</v>
      </c>
      <c r="H159" s="46">
        <v>707</v>
      </c>
      <c r="I159" s="46">
        <v>829</v>
      </c>
      <c r="J159" s="14">
        <v>1021.5451437911204</v>
      </c>
      <c r="K159" s="14">
        <v>1258.8111951787946</v>
      </c>
      <c r="L159" s="14">
        <v>1551.1851186788829</v>
      </c>
      <c r="M159" s="14">
        <v>1911.4663752804167</v>
      </c>
      <c r="N159" s="14">
        <v>2355.4272535436971</v>
      </c>
      <c r="O159" s="6"/>
      <c r="P159" s="6"/>
      <c r="Q159" s="6"/>
      <c r="R159" s="6"/>
      <c r="S159" s="6"/>
    </row>
    <row r="160" spans="1:19" x14ac:dyDescent="0.2">
      <c r="B160" t="s">
        <v>42</v>
      </c>
      <c r="E160" s="46">
        <v>618</v>
      </c>
      <c r="F160" s="46">
        <v>618</v>
      </c>
      <c r="G160" s="46">
        <v>618</v>
      </c>
      <c r="H160" s="46">
        <v>4193</v>
      </c>
      <c r="I160" s="46">
        <v>4349</v>
      </c>
      <c r="J160" s="22">
        <v>4349</v>
      </c>
      <c r="K160" s="22">
        <v>4349</v>
      </c>
      <c r="L160" s="22">
        <v>4349</v>
      </c>
      <c r="M160" s="22">
        <v>4349</v>
      </c>
      <c r="N160" s="22">
        <v>4349</v>
      </c>
      <c r="O160" s="6"/>
      <c r="P160" s="6"/>
      <c r="Q160" s="6"/>
      <c r="R160" s="6"/>
      <c r="S160" s="6"/>
    </row>
    <row r="161" spans="2:20" x14ac:dyDescent="0.2">
      <c r="B161" t="s">
        <v>43</v>
      </c>
      <c r="E161" s="48">
        <v>52</v>
      </c>
      <c r="F161" s="48">
        <v>45</v>
      </c>
      <c r="G161" s="48">
        <v>49</v>
      </c>
      <c r="H161" s="48">
        <v>2737</v>
      </c>
      <c r="I161" s="48">
        <v>2339</v>
      </c>
      <c r="J161" s="48">
        <v>1580.9330597008793</v>
      </c>
      <c r="K161" s="48">
        <v>1068.5546555173937</v>
      </c>
      <c r="L161" s="48">
        <v>722.23744378141612</v>
      </c>
      <c r="M161" s="48">
        <v>488.1612021495921</v>
      </c>
      <c r="N161" s="48">
        <v>329.94877423754343</v>
      </c>
      <c r="O161" s="6"/>
      <c r="P161" s="6"/>
      <c r="Q161" s="6"/>
      <c r="R161" s="6"/>
      <c r="S161" s="6"/>
    </row>
    <row r="162" spans="2:20" x14ac:dyDescent="0.2">
      <c r="B162" t="s">
        <v>44</v>
      </c>
      <c r="E162" s="38">
        <v>319</v>
      </c>
      <c r="F162" s="38">
        <v>668</v>
      </c>
      <c r="G162" s="38">
        <v>666</v>
      </c>
      <c r="H162" s="38">
        <v>2950</v>
      </c>
      <c r="I162" s="38">
        <v>5063</v>
      </c>
      <c r="J162" s="22">
        <v>6238.9421749269513</v>
      </c>
      <c r="K162" s="22">
        <v>7688.0109543911194</v>
      </c>
      <c r="L162" s="22">
        <v>9473.643251955591</v>
      </c>
      <c r="M162" s="22">
        <v>11674.009961453259</v>
      </c>
      <c r="N162" s="22">
        <v>14385.438099748782</v>
      </c>
      <c r="O162" s="6"/>
      <c r="P162" s="6"/>
      <c r="Q162" s="6"/>
      <c r="R162" s="6"/>
      <c r="S162" s="6"/>
    </row>
    <row r="163" spans="2:20" ht="16" thickBot="1" x14ac:dyDescent="0.25">
      <c r="B163" s="49" t="s">
        <v>45</v>
      </c>
      <c r="C163" s="50"/>
      <c r="D163" s="50"/>
      <c r="E163" s="51">
        <v>11241</v>
      </c>
      <c r="F163" s="51">
        <v>15342</v>
      </c>
      <c r="G163" s="51">
        <v>20454</v>
      </c>
      <c r="H163" s="51">
        <v>33710</v>
      </c>
      <c r="I163" s="51">
        <v>52312</v>
      </c>
      <c r="J163" s="51">
        <v>62874.366852599938</v>
      </c>
      <c r="K163" s="51">
        <v>75300.241937139624</v>
      </c>
      <c r="L163" s="51">
        <v>90165.607121304318</v>
      </c>
      <c r="M163" s="51">
        <v>108033.79398755863</v>
      </c>
      <c r="N163" s="51">
        <v>129597.03918160545</v>
      </c>
      <c r="O163" s="6"/>
      <c r="P163" s="6"/>
      <c r="Q163" s="6"/>
      <c r="R163" s="6"/>
      <c r="S163" s="6"/>
    </row>
    <row r="164" spans="2:20" ht="16" thickTop="1" x14ac:dyDescent="0.2">
      <c r="I164" s="42"/>
      <c r="J164" s="52"/>
      <c r="K164" s="52"/>
      <c r="L164" s="52"/>
      <c r="M164" s="52"/>
      <c r="N164" s="52"/>
      <c r="O164" s="42"/>
    </row>
    <row r="165" spans="2:20" x14ac:dyDescent="0.2">
      <c r="B165" s="44" t="s">
        <v>46</v>
      </c>
      <c r="C165" s="45"/>
      <c r="D165" s="45"/>
      <c r="E165" s="45"/>
      <c r="F165" s="45"/>
      <c r="G165" s="45"/>
      <c r="H165" s="45"/>
      <c r="I165" s="45"/>
      <c r="J165" s="45"/>
      <c r="K165" s="45"/>
      <c r="L165" s="45"/>
      <c r="M165" s="45"/>
      <c r="N165" s="45"/>
      <c r="O165" s="45"/>
      <c r="P165" s="45"/>
    </row>
    <row r="166" spans="2:20" x14ac:dyDescent="0.2">
      <c r="B166" t="s">
        <v>47</v>
      </c>
      <c r="E166" s="53">
        <v>596</v>
      </c>
      <c r="F166" s="53">
        <v>511</v>
      </c>
      <c r="G166" s="53">
        <v>687</v>
      </c>
      <c r="H166" s="53">
        <v>1149</v>
      </c>
      <c r="I166" s="53">
        <v>1783</v>
      </c>
      <c r="J166" s="22">
        <v>2375.5557962123212</v>
      </c>
      <c r="K166" s="22">
        <v>2927.3069812129615</v>
      </c>
      <c r="L166" s="22">
        <v>3607.2089638648317</v>
      </c>
      <c r="M166" s="22">
        <v>4445.0262963521327</v>
      </c>
      <c r="N166" s="22">
        <v>5477.4367033321478</v>
      </c>
      <c r="O166" s="54"/>
      <c r="P166" s="54"/>
      <c r="Q166" s="54"/>
      <c r="R166" s="54"/>
      <c r="S166" s="54"/>
      <c r="T166" s="54"/>
    </row>
    <row r="167" spans="2:20" x14ac:dyDescent="0.2">
      <c r="B167" t="s">
        <v>112</v>
      </c>
      <c r="E167" s="53">
        <v>542</v>
      </c>
      <c r="F167" s="53">
        <v>818</v>
      </c>
      <c r="G167" s="53">
        <v>1097</v>
      </c>
      <c r="H167" s="53">
        <v>1777</v>
      </c>
      <c r="I167" s="53">
        <v>2552</v>
      </c>
      <c r="J167" s="22">
        <v>3144.7324571229665</v>
      </c>
      <c r="K167" s="22">
        <v>3875.1341014430445</v>
      </c>
      <c r="L167" s="22">
        <v>4775.1802447147275</v>
      </c>
      <c r="M167" s="22">
        <v>5884.2728464603424</v>
      </c>
      <c r="N167" s="22">
        <v>7250.9654415482701</v>
      </c>
      <c r="O167" s="54"/>
      <c r="P167" s="54"/>
      <c r="Q167" s="54"/>
      <c r="R167" s="54"/>
      <c r="S167" s="54"/>
      <c r="T167" s="54"/>
    </row>
    <row r="168" spans="2:20" x14ac:dyDescent="0.2">
      <c r="B168" t="s">
        <v>122</v>
      </c>
      <c r="E168" s="53">
        <v>15</v>
      </c>
      <c r="F168" s="53">
        <v>0</v>
      </c>
      <c r="G168" s="53">
        <v>0</v>
      </c>
      <c r="H168" s="53">
        <v>0</v>
      </c>
      <c r="I168" s="53">
        <v>0</v>
      </c>
      <c r="J168" s="22">
        <v>0</v>
      </c>
      <c r="K168" s="22">
        <v>0</v>
      </c>
      <c r="L168" s="22">
        <v>0</v>
      </c>
      <c r="M168" s="22">
        <v>0</v>
      </c>
      <c r="N168" s="22">
        <v>0</v>
      </c>
      <c r="O168" s="54"/>
      <c r="P168" s="54"/>
      <c r="Q168" s="54"/>
      <c r="R168" s="54"/>
      <c r="S168" s="54"/>
      <c r="T168" s="54"/>
    </row>
    <row r="169" spans="2:20" x14ac:dyDescent="0.2">
      <c r="B169" s="24" t="s">
        <v>48</v>
      </c>
      <c r="C169" s="24"/>
      <c r="D169" s="24"/>
      <c r="E169" s="55">
        <v>0</v>
      </c>
      <c r="F169" s="55">
        <v>0</v>
      </c>
      <c r="G169" s="55">
        <v>0</v>
      </c>
      <c r="H169" s="55">
        <v>999</v>
      </c>
      <c r="I169" s="55">
        <v>0</v>
      </c>
      <c r="J169" s="56">
        <v>1250</v>
      </c>
      <c r="K169" s="56">
        <v>1250</v>
      </c>
      <c r="L169" s="56">
        <v>0</v>
      </c>
      <c r="M169" s="56">
        <v>1000</v>
      </c>
      <c r="N169" s="56">
        <v>0</v>
      </c>
      <c r="O169" s="54"/>
      <c r="P169" s="54"/>
      <c r="Q169" s="54"/>
      <c r="R169" s="54"/>
      <c r="S169" s="54"/>
      <c r="T169" s="54"/>
    </row>
    <row r="170" spans="2:20" x14ac:dyDescent="0.2">
      <c r="B170" s="27" t="s">
        <v>49</v>
      </c>
      <c r="E170" s="28">
        <v>1153</v>
      </c>
      <c r="F170" s="28">
        <v>1329</v>
      </c>
      <c r="G170" s="28">
        <v>1784</v>
      </c>
      <c r="H170" s="28">
        <v>3925</v>
      </c>
      <c r="I170" s="28">
        <v>4335</v>
      </c>
      <c r="J170" s="28">
        <v>6770.2882533352877</v>
      </c>
      <c r="K170" s="28">
        <v>8052.4410826560061</v>
      </c>
      <c r="L170" s="28">
        <v>8382.3892085795596</v>
      </c>
      <c r="M170" s="28">
        <v>11329.299142812475</v>
      </c>
      <c r="N170" s="28">
        <v>12728.402144880418</v>
      </c>
      <c r="O170" s="28"/>
      <c r="P170" s="29"/>
    </row>
    <row r="171" spans="2:20" x14ac:dyDescent="0.2">
      <c r="B171" t="s">
        <v>50</v>
      </c>
      <c r="E171" s="53">
        <v>1985</v>
      </c>
      <c r="F171" s="53">
        <v>1988</v>
      </c>
      <c r="G171" s="53">
        <v>1991</v>
      </c>
      <c r="H171" s="53">
        <v>5964</v>
      </c>
      <c r="I171" s="53">
        <v>10946</v>
      </c>
      <c r="J171" s="15">
        <v>9696</v>
      </c>
      <c r="K171" s="15">
        <v>9696</v>
      </c>
      <c r="L171" s="15">
        <v>10946</v>
      </c>
      <c r="M171" s="15">
        <v>9946</v>
      </c>
      <c r="N171" s="15">
        <v>10946</v>
      </c>
      <c r="O171" s="15"/>
      <c r="P171" s="22"/>
    </row>
    <row r="172" spans="2:20" x14ac:dyDescent="0.2">
      <c r="B172" t="s">
        <v>124</v>
      </c>
      <c r="E172" s="57">
        <v>0</v>
      </c>
      <c r="F172" s="57">
        <v>0</v>
      </c>
      <c r="G172" s="57">
        <v>561</v>
      </c>
      <c r="H172" s="57">
        <v>634</v>
      </c>
      <c r="I172" s="57">
        <v>741</v>
      </c>
      <c r="J172" s="48">
        <v>913.10609354550081</v>
      </c>
      <c r="K172" s="48">
        <v>1125.1858813359311</v>
      </c>
      <c r="L172" s="48">
        <v>1386.5237309300992</v>
      </c>
      <c r="M172" s="48">
        <v>1708.5604150576464</v>
      </c>
      <c r="N172" s="48">
        <v>2105.3939624558261</v>
      </c>
      <c r="O172" s="15"/>
      <c r="P172" s="22"/>
    </row>
    <row r="173" spans="2:20" x14ac:dyDescent="0.2">
      <c r="B173" t="s">
        <v>51</v>
      </c>
      <c r="E173" s="53">
        <v>632</v>
      </c>
      <c r="F173" s="53">
        <v>633</v>
      </c>
      <c r="G173" s="53">
        <v>775</v>
      </c>
      <c r="H173" s="53">
        <v>1375</v>
      </c>
      <c r="I173" s="53">
        <v>1553</v>
      </c>
      <c r="J173" s="15">
        <v>1913.7027844482629</v>
      </c>
      <c r="K173" s="15">
        <v>2358.1830954314455</v>
      </c>
      <c r="L173" s="15">
        <v>2905.8992633393309</v>
      </c>
      <c r="M173" s="15">
        <v>3580.8290480223009</v>
      </c>
      <c r="N173" s="15">
        <v>4412.5193302211846</v>
      </c>
      <c r="O173" s="15"/>
      <c r="P173" s="22"/>
    </row>
    <row r="174" spans="2:20" ht="16" thickBot="1" x14ac:dyDescent="0.25">
      <c r="B174" s="49" t="s">
        <v>52</v>
      </c>
      <c r="C174" s="50"/>
      <c r="D174" s="50"/>
      <c r="E174" s="51">
        <v>3770</v>
      </c>
      <c r="F174" s="51">
        <v>3950</v>
      </c>
      <c r="G174" s="51">
        <v>5111</v>
      </c>
      <c r="H174" s="51">
        <v>11898</v>
      </c>
      <c r="I174" s="51">
        <v>17575</v>
      </c>
      <c r="J174" s="51">
        <v>19293.097131329054</v>
      </c>
      <c r="K174" s="51">
        <v>21231.810059423384</v>
      </c>
      <c r="L174" s="51">
        <v>23620.812202848992</v>
      </c>
      <c r="M174" s="51">
        <v>26564.688605892421</v>
      </c>
      <c r="N174" s="51">
        <v>30192.31543755743</v>
      </c>
      <c r="O174" s="58"/>
      <c r="P174" s="59"/>
    </row>
    <row r="175" spans="2:20" ht="16" thickTop="1" x14ac:dyDescent="0.2"/>
    <row r="176" spans="2:20" x14ac:dyDescent="0.2">
      <c r="B176" s="44" t="s">
        <v>53</v>
      </c>
      <c r="C176" s="45"/>
      <c r="D176" s="45"/>
      <c r="E176" s="45"/>
      <c r="F176" s="45"/>
      <c r="G176" s="45"/>
      <c r="H176" s="45"/>
      <c r="I176" s="45"/>
      <c r="J176" s="45"/>
      <c r="K176" s="45"/>
      <c r="L176" s="45"/>
      <c r="M176" s="45"/>
      <c r="N176" s="45"/>
      <c r="O176" s="45"/>
      <c r="P176" s="45"/>
    </row>
    <row r="177" spans="1:16" x14ac:dyDescent="0.2">
      <c r="B177" t="s">
        <v>127</v>
      </c>
      <c r="E177" s="48">
        <v>5237</v>
      </c>
      <c r="F177" s="48">
        <v>5935</v>
      </c>
      <c r="G177" s="48">
        <v>6929</v>
      </c>
      <c r="H177" s="48">
        <v>8519</v>
      </c>
      <c r="I177" s="48">
        <v>10801</v>
      </c>
      <c r="J177" s="48">
        <v>12019.6</v>
      </c>
      <c r="K177" s="48">
        <v>13238.2</v>
      </c>
      <c r="L177" s="48">
        <v>14456.800000000001</v>
      </c>
      <c r="M177" s="48">
        <v>15675.400000000001</v>
      </c>
      <c r="N177" s="48">
        <v>16894</v>
      </c>
      <c r="O177" s="43"/>
    </row>
    <row r="178" spans="1:16" x14ac:dyDescent="0.2">
      <c r="B178" t="s">
        <v>54</v>
      </c>
      <c r="E178" s="48">
        <v>-5336</v>
      </c>
      <c r="F178" s="48">
        <v>-5883</v>
      </c>
      <c r="G178" s="48">
        <v>-5332</v>
      </c>
      <c r="H178" s="48">
        <v>-4390</v>
      </c>
      <c r="I178" s="48">
        <v>-3100</v>
      </c>
      <c r="J178" s="48">
        <v>-3405.2921357608643</v>
      </c>
      <c r="K178" s="48">
        <v>-4000.8069455921645</v>
      </c>
      <c r="L178" s="48">
        <v>-4947.7210238982188</v>
      </c>
      <c r="M178" s="48">
        <v>-6327.0735453566131</v>
      </c>
      <c r="N178" s="48">
        <v>-8238.384101458958</v>
      </c>
      <c r="O178" s="43"/>
    </row>
    <row r="179" spans="1:16" x14ac:dyDescent="0.2">
      <c r="B179" t="s">
        <v>55</v>
      </c>
      <c r="E179" s="48">
        <v>8814</v>
      </c>
      <c r="F179" s="48">
        <v>12584</v>
      </c>
      <c r="G179" s="48">
        <v>14990</v>
      </c>
      <c r="H179" s="48">
        <v>18927</v>
      </c>
      <c r="I179" s="48">
        <v>28280</v>
      </c>
      <c r="J179" s="48">
        <v>36210.961857031754</v>
      </c>
      <c r="K179" s="48">
        <v>46075.038823308401</v>
      </c>
      <c r="L179" s="48">
        <v>58279.715942353549</v>
      </c>
      <c r="M179" s="48">
        <v>73364.778927022824</v>
      </c>
      <c r="N179" s="48">
        <v>91993.107845506966</v>
      </c>
      <c r="O179" s="43"/>
    </row>
    <row r="180" spans="1:16" x14ac:dyDescent="0.2">
      <c r="B180" t="s">
        <v>56</v>
      </c>
      <c r="E180" s="53">
        <v>-1244</v>
      </c>
      <c r="F180" s="53">
        <v>-1244</v>
      </c>
      <c r="G180" s="53">
        <v>-1244</v>
      </c>
      <c r="H180" s="53">
        <v>-1244</v>
      </c>
      <c r="I180" s="53">
        <v>-1244</v>
      </c>
      <c r="J180" s="43">
        <v>-1244</v>
      </c>
      <c r="K180" s="43">
        <v>-1244</v>
      </c>
      <c r="L180" s="43">
        <v>-1244</v>
      </c>
      <c r="M180" s="43">
        <v>-1244</v>
      </c>
      <c r="N180" s="43">
        <v>-1244</v>
      </c>
      <c r="O180" s="43"/>
    </row>
    <row r="181" spans="1:16" ht="16" thickBot="1" x14ac:dyDescent="0.25">
      <c r="B181" s="49" t="s">
        <v>57</v>
      </c>
      <c r="C181" s="50"/>
      <c r="D181" s="50"/>
      <c r="E181" s="51">
        <v>7471</v>
      </c>
      <c r="F181" s="51">
        <v>11392</v>
      </c>
      <c r="G181" s="51">
        <v>15343</v>
      </c>
      <c r="H181" s="51">
        <v>21812</v>
      </c>
      <c r="I181" s="51">
        <v>34737</v>
      </c>
      <c r="J181" s="51">
        <v>43581.269721270888</v>
      </c>
      <c r="K181" s="51">
        <v>54068.431877716241</v>
      </c>
      <c r="L181" s="51">
        <v>66544.794918455329</v>
      </c>
      <c r="M181" s="51">
        <v>81469.105381666217</v>
      </c>
      <c r="N181" s="51">
        <v>99404.723744048009</v>
      </c>
      <c r="O181" s="58"/>
      <c r="P181" s="59"/>
    </row>
    <row r="182" spans="1:16" ht="16" thickTop="1" x14ac:dyDescent="0.2">
      <c r="E182" s="43"/>
      <c r="F182" s="43"/>
      <c r="G182" s="43"/>
      <c r="H182" s="43"/>
      <c r="I182" s="43"/>
      <c r="K182" s="60"/>
    </row>
    <row r="183" spans="1:16" x14ac:dyDescent="0.2">
      <c r="B183" t="s">
        <v>58</v>
      </c>
      <c r="E183" s="61" t="str">
        <f t="shared" ref="E183:N183" si="21">IF(ABS(E163-(E174+E181))&lt;0.0001,"Y","N")</f>
        <v>Y</v>
      </c>
      <c r="F183" s="61" t="str">
        <f t="shared" si="21"/>
        <v>Y</v>
      </c>
      <c r="G183" s="61" t="str">
        <f t="shared" si="21"/>
        <v>Y</v>
      </c>
      <c r="H183" s="61" t="str">
        <f t="shared" si="21"/>
        <v>Y</v>
      </c>
      <c r="I183" s="61" t="str">
        <f t="shared" si="21"/>
        <v>Y</v>
      </c>
      <c r="J183" s="61" t="str">
        <f t="shared" si="21"/>
        <v>Y</v>
      </c>
      <c r="K183" s="61" t="str">
        <f t="shared" si="21"/>
        <v>Y</v>
      </c>
      <c r="L183" s="61" t="str">
        <f t="shared" si="21"/>
        <v>Y</v>
      </c>
      <c r="M183" s="61" t="str">
        <f t="shared" si="21"/>
        <v>Y</v>
      </c>
      <c r="N183" s="61" t="str">
        <f t="shared" si="21"/>
        <v>Y</v>
      </c>
      <c r="O183" s="61"/>
      <c r="P183" s="61"/>
    </row>
    <row r="184" spans="1:16" x14ac:dyDescent="0.2">
      <c r="B184" t="s">
        <v>218</v>
      </c>
      <c r="E184" s="62">
        <f t="shared" ref="E184:N184" si="22">E163-E174-E181</f>
        <v>0</v>
      </c>
      <c r="F184" s="62">
        <f t="shared" si="22"/>
        <v>0</v>
      </c>
      <c r="G184" s="62">
        <f t="shared" si="22"/>
        <v>0</v>
      </c>
      <c r="H184" s="62">
        <f t="shared" si="22"/>
        <v>0</v>
      </c>
      <c r="I184" s="62">
        <f t="shared" si="22"/>
        <v>0</v>
      </c>
      <c r="J184" s="62">
        <f t="shared" si="22"/>
        <v>0</v>
      </c>
      <c r="K184" s="62">
        <f t="shared" si="22"/>
        <v>0</v>
      </c>
      <c r="L184" s="62">
        <f t="shared" si="22"/>
        <v>0</v>
      </c>
      <c r="M184" s="62">
        <f t="shared" si="22"/>
        <v>0</v>
      </c>
      <c r="N184" s="62">
        <f t="shared" si="22"/>
        <v>0</v>
      </c>
      <c r="O184" s="61"/>
      <c r="P184" s="61"/>
    </row>
    <row r="185" spans="1:16" x14ac:dyDescent="0.2">
      <c r="E185" s="62"/>
      <c r="F185" s="62"/>
      <c r="G185" s="62"/>
      <c r="H185" s="62"/>
      <c r="I185" s="62"/>
      <c r="J185" s="62"/>
      <c r="K185" s="62"/>
      <c r="L185" s="62"/>
      <c r="M185" s="62"/>
      <c r="N185" s="62"/>
      <c r="O185" s="61"/>
      <c r="P185" s="61"/>
    </row>
    <row r="186" spans="1:16" x14ac:dyDescent="0.2">
      <c r="A186" t="s">
        <v>10</v>
      </c>
      <c r="B186" s="1" t="s">
        <v>59</v>
      </c>
      <c r="C186" s="2"/>
      <c r="D186" s="2"/>
      <c r="E186" s="3" t="s">
        <v>1</v>
      </c>
      <c r="F186" s="3" t="s">
        <v>2</v>
      </c>
      <c r="G186" s="3" t="s">
        <v>3</v>
      </c>
      <c r="H186" s="3" t="s">
        <v>4</v>
      </c>
      <c r="I186" s="3" t="s">
        <v>5</v>
      </c>
      <c r="J186" s="3" t="s">
        <v>12</v>
      </c>
      <c r="K186" s="3" t="s">
        <v>13</v>
      </c>
      <c r="L186" s="3" t="s">
        <v>14</v>
      </c>
      <c r="M186" s="3" t="s">
        <v>15</v>
      </c>
      <c r="N186" s="3" t="s">
        <v>16</v>
      </c>
      <c r="O186" s="3"/>
      <c r="P186" s="3"/>
    </row>
    <row r="187" spans="1:16" x14ac:dyDescent="0.2">
      <c r="B187" t="s">
        <v>60</v>
      </c>
      <c r="E187" s="63">
        <v>4872</v>
      </c>
      <c r="F187" s="64">
        <v>7108</v>
      </c>
      <c r="G187" s="64">
        <v>9472</v>
      </c>
      <c r="H187" s="64">
        <v>14036</v>
      </c>
      <c r="I187" s="64">
        <v>16480</v>
      </c>
      <c r="J187" s="64">
        <v>29333</v>
      </c>
      <c r="K187" s="64">
        <v>35989.674510840399</v>
      </c>
      <c r="L187" s="64">
        <v>44060.935069440151</v>
      </c>
      <c r="M187" s="64">
        <v>53275.207341537112</v>
      </c>
      <c r="N187" s="64">
        <v>63987.090247619417</v>
      </c>
      <c r="O187" s="64"/>
      <c r="P187" s="64"/>
    </row>
    <row r="188" spans="1:16" x14ac:dyDescent="0.2">
      <c r="E188" s="52"/>
      <c r="F188" s="43"/>
      <c r="G188" s="43"/>
      <c r="H188" s="43"/>
      <c r="I188" s="43"/>
      <c r="J188" s="43"/>
      <c r="K188" s="43"/>
      <c r="L188" s="43"/>
      <c r="M188" s="43"/>
      <c r="N188" s="43"/>
    </row>
    <row r="189" spans="1:16" x14ac:dyDescent="0.2">
      <c r="B189" s="44" t="s">
        <v>61</v>
      </c>
      <c r="C189" s="45"/>
      <c r="D189" s="45"/>
      <c r="E189" s="45"/>
      <c r="F189" s="45"/>
      <c r="G189" s="45"/>
      <c r="H189" s="45"/>
      <c r="I189" s="45"/>
      <c r="J189" s="45"/>
      <c r="K189" s="45"/>
      <c r="L189" s="45"/>
      <c r="M189" s="45"/>
      <c r="N189" s="45"/>
      <c r="O189" s="45"/>
      <c r="P189" s="45"/>
    </row>
    <row r="190" spans="1:16" x14ac:dyDescent="0.2">
      <c r="B190" t="s">
        <v>62</v>
      </c>
      <c r="E190" s="52">
        <v>3047</v>
      </c>
      <c r="F190" s="52">
        <v>4141</v>
      </c>
      <c r="G190" s="52">
        <v>2796</v>
      </c>
      <c r="H190" s="52">
        <v>4332</v>
      </c>
      <c r="I190" s="52">
        <v>9752</v>
      </c>
      <c r="J190" s="52">
        <v>8759.7900833245367</v>
      </c>
      <c r="K190" s="52">
        <v>10894.926132286168</v>
      </c>
      <c r="L190" s="52">
        <v>13480.131606332277</v>
      </c>
      <c r="M190" s="52">
        <v>16661.533307245969</v>
      </c>
      <c r="N190" s="52">
        <v>20575.089613420107</v>
      </c>
      <c r="O190" s="52"/>
      <c r="P190" s="52"/>
    </row>
    <row r="191" spans="1:16" x14ac:dyDescent="0.2">
      <c r="B191" t="s">
        <v>63</v>
      </c>
      <c r="E191" s="48">
        <v>144</v>
      </c>
      <c r="F191" s="48">
        <v>233</v>
      </c>
      <c r="G191" s="48">
        <v>355</v>
      </c>
      <c r="H191" s="48">
        <v>486</v>
      </c>
      <c r="I191" s="48">
        <v>611</v>
      </c>
      <c r="J191" s="48">
        <v>779.45182325852682</v>
      </c>
      <c r="K191" s="48">
        <v>960.48881166330852</v>
      </c>
      <c r="L191" s="48">
        <v>1183.5738012308284</v>
      </c>
      <c r="M191" s="48">
        <v>1458.4729420575991</v>
      </c>
      <c r="N191" s="48">
        <v>1797.2206891552332</v>
      </c>
      <c r="O191" s="52"/>
      <c r="P191" s="52"/>
    </row>
    <row r="192" spans="1:16" x14ac:dyDescent="0.2">
      <c r="B192" t="s">
        <v>64</v>
      </c>
      <c r="E192" s="48">
        <v>55</v>
      </c>
      <c r="F192" s="48">
        <v>29</v>
      </c>
      <c r="G192" s="48">
        <v>25</v>
      </c>
      <c r="H192" s="48">
        <v>612</v>
      </c>
      <c r="I192" s="48">
        <v>563</v>
      </c>
      <c r="J192" s="48">
        <v>758.06694029912069</v>
      </c>
      <c r="K192" s="48">
        <v>512.3784041834856</v>
      </c>
      <c r="L192" s="48">
        <v>346.31721173597759</v>
      </c>
      <c r="M192" s="48">
        <v>234.07624163182402</v>
      </c>
      <c r="N192" s="48">
        <v>158.21242791204867</v>
      </c>
      <c r="O192" s="15"/>
      <c r="P192" s="22"/>
    </row>
    <row r="193" spans="2:16" x14ac:dyDescent="0.2">
      <c r="B193" t="s">
        <v>92</v>
      </c>
      <c r="D193" s="52"/>
      <c r="E193" s="48">
        <v>612</v>
      </c>
      <c r="F193" s="48">
        <v>1032</v>
      </c>
      <c r="G193" s="48">
        <v>551</v>
      </c>
      <c r="H193" s="48">
        <v>942</v>
      </c>
      <c r="I193" s="48">
        <v>1290</v>
      </c>
      <c r="J193" s="48">
        <v>885.4</v>
      </c>
      <c r="K193" s="48">
        <v>885.4</v>
      </c>
      <c r="L193" s="48">
        <v>885.4</v>
      </c>
      <c r="M193" s="48">
        <v>885.4</v>
      </c>
      <c r="N193" s="48">
        <v>885.4</v>
      </c>
      <c r="O193" s="38"/>
      <c r="P193" s="53"/>
    </row>
    <row r="194" spans="2:16" x14ac:dyDescent="0.2">
      <c r="B194" s="52"/>
      <c r="D194" s="43"/>
      <c r="E194" s="22" t="s">
        <v>65</v>
      </c>
      <c r="F194" s="22"/>
      <c r="G194" s="22"/>
      <c r="H194" s="22"/>
      <c r="I194" s="22"/>
    </row>
    <row r="195" spans="2:16" x14ac:dyDescent="0.2">
      <c r="B195" t="s">
        <v>125</v>
      </c>
      <c r="E195" s="53">
        <v>-440</v>
      </c>
      <c r="F195" s="22">
        <v>-159</v>
      </c>
      <c r="G195" s="22">
        <v>-233</v>
      </c>
      <c r="H195" s="22">
        <v>-772</v>
      </c>
      <c r="I195" s="22">
        <v>-2221</v>
      </c>
      <c r="J195" s="22">
        <v>-1080.0179959333045</v>
      </c>
      <c r="K195" s="22">
        <v>-1330.8650650816471</v>
      </c>
      <c r="L195" s="22">
        <v>-1639.9743598014602</v>
      </c>
      <c r="M195" s="22">
        <v>-2020.8779773186161</v>
      </c>
      <c r="N195" s="22">
        <v>-2490.2510059399938</v>
      </c>
      <c r="O195" s="15"/>
      <c r="P195" s="22"/>
    </row>
    <row r="196" spans="2:16" x14ac:dyDescent="0.2">
      <c r="B196" t="s">
        <v>66</v>
      </c>
      <c r="E196" s="53">
        <v>0</v>
      </c>
      <c r="F196" s="22">
        <v>-779</v>
      </c>
      <c r="G196" s="22">
        <v>596</v>
      </c>
      <c r="H196" s="22">
        <v>-847</v>
      </c>
      <c r="I196" s="22">
        <v>-779</v>
      </c>
      <c r="J196" s="22">
        <v>-865.73631471289764</v>
      </c>
      <c r="K196" s="22">
        <v>-806.11993097401455</v>
      </c>
      <c r="L196" s="22">
        <v>-993.3509056691646</v>
      </c>
      <c r="M196" s="22">
        <v>-1224.0685087657985</v>
      </c>
      <c r="N196" s="22">
        <v>-1508.3730287060789</v>
      </c>
      <c r="O196" s="15"/>
      <c r="P196" s="22"/>
    </row>
    <row r="197" spans="2:16" x14ac:dyDescent="0.2">
      <c r="B197" t="s">
        <v>67</v>
      </c>
      <c r="E197" s="53">
        <v>21</v>
      </c>
      <c r="F197" s="22">
        <v>-50</v>
      </c>
      <c r="G197" s="22">
        <v>-21</v>
      </c>
      <c r="H197" s="22">
        <v>-82</v>
      </c>
      <c r="I197" s="22">
        <v>-127</v>
      </c>
      <c r="J197" s="22">
        <v>-85.00786806700853</v>
      </c>
      <c r="K197" s="22">
        <v>-104.75195996126513</v>
      </c>
      <c r="L197" s="22">
        <v>-129.08185283598584</v>
      </c>
      <c r="M197" s="22">
        <v>-159.0626536986266</v>
      </c>
      <c r="N197" s="22">
        <v>-196.00685337076084</v>
      </c>
      <c r="O197" s="15"/>
      <c r="P197" s="22"/>
    </row>
    <row r="198" spans="2:16" x14ac:dyDescent="0.2">
      <c r="B198" t="s">
        <v>126</v>
      </c>
      <c r="E198" s="53">
        <v>0</v>
      </c>
      <c r="F198" s="48">
        <v>0</v>
      </c>
      <c r="G198" s="48">
        <v>-618</v>
      </c>
      <c r="H198" s="48">
        <v>-89</v>
      </c>
      <c r="I198" s="48">
        <v>-122</v>
      </c>
      <c r="J198" s="48">
        <v>-192.54514379112038</v>
      </c>
      <c r="K198" s="48">
        <v>-237.26605138767422</v>
      </c>
      <c r="L198" s="48">
        <v>-292.37392350008827</v>
      </c>
      <c r="M198" s="48">
        <v>-360.28125660153387</v>
      </c>
      <c r="N198" s="48">
        <v>-443.96087826328039</v>
      </c>
      <c r="O198" s="15"/>
      <c r="P198" s="22"/>
    </row>
    <row r="199" spans="2:16" x14ac:dyDescent="0.2">
      <c r="B199" t="s">
        <v>68</v>
      </c>
      <c r="E199" s="53">
        <v>90</v>
      </c>
      <c r="F199" s="48">
        <v>-85</v>
      </c>
      <c r="G199" s="48">
        <v>176</v>
      </c>
      <c r="H199" s="48">
        <v>462</v>
      </c>
      <c r="I199" s="48">
        <v>634</v>
      </c>
      <c r="J199" s="48">
        <v>592.55579621232118</v>
      </c>
      <c r="K199" s="48">
        <v>551.75118500064036</v>
      </c>
      <c r="L199" s="48">
        <v>679.90198265187018</v>
      </c>
      <c r="M199" s="48">
        <v>837.81733248730097</v>
      </c>
      <c r="N199" s="48">
        <v>1032.4104069800151</v>
      </c>
      <c r="O199" s="15"/>
      <c r="P199" s="22"/>
    </row>
    <row r="200" spans="2:16" x14ac:dyDescent="0.2">
      <c r="B200" t="s">
        <v>114</v>
      </c>
      <c r="E200" s="53">
        <v>33</v>
      </c>
      <c r="F200" s="48">
        <v>276</v>
      </c>
      <c r="G200" s="48">
        <v>279</v>
      </c>
      <c r="H200" s="48">
        <v>680</v>
      </c>
      <c r="I200" s="48">
        <v>775</v>
      </c>
      <c r="J200" s="48">
        <v>592.73245712296648</v>
      </c>
      <c r="K200" s="48">
        <v>730.40164432007805</v>
      </c>
      <c r="L200" s="48">
        <v>900.04614327168292</v>
      </c>
      <c r="M200" s="48">
        <v>1109.092601745615</v>
      </c>
      <c r="N200" s="48">
        <v>1366.6925950879277</v>
      </c>
      <c r="O200" s="15"/>
      <c r="P200" s="22"/>
    </row>
    <row r="201" spans="2:16" x14ac:dyDescent="0.2">
      <c r="B201" s="24" t="s">
        <v>121</v>
      </c>
      <c r="C201" s="24"/>
      <c r="D201" s="24"/>
      <c r="E201" s="55">
        <v>0</v>
      </c>
      <c r="F201" s="65">
        <v>0</v>
      </c>
      <c r="G201" s="65">
        <v>561</v>
      </c>
      <c r="H201" s="65">
        <v>73</v>
      </c>
      <c r="I201" s="65">
        <v>107</v>
      </c>
      <c r="J201" s="65">
        <v>172.10609354550081</v>
      </c>
      <c r="K201" s="65">
        <v>212.07978779043026</v>
      </c>
      <c r="L201" s="65">
        <v>261.33784959416812</v>
      </c>
      <c r="M201" s="65">
        <v>322.03668412754723</v>
      </c>
      <c r="N201" s="65">
        <v>396.83354739817969</v>
      </c>
      <c r="O201" s="15"/>
      <c r="P201" s="22"/>
    </row>
    <row r="202" spans="2:16" x14ac:dyDescent="0.2">
      <c r="B202" s="27" t="s">
        <v>70</v>
      </c>
      <c r="C202" s="27"/>
      <c r="D202" s="27"/>
      <c r="E202" s="66">
        <v>3562</v>
      </c>
      <c r="F202" s="66">
        <v>4638</v>
      </c>
      <c r="G202" s="66">
        <v>4467</v>
      </c>
      <c r="H202" s="66">
        <v>5797</v>
      </c>
      <c r="I202" s="66">
        <v>10483</v>
      </c>
      <c r="J202" s="66">
        <v>10316.795871258639</v>
      </c>
      <c r="K202" s="66">
        <v>12268.422957839506</v>
      </c>
      <c r="L202" s="66">
        <v>14681.927553010104</v>
      </c>
      <c r="M202" s="66">
        <v>17744.138712911285</v>
      </c>
      <c r="N202" s="66">
        <v>21573.2675136734</v>
      </c>
      <c r="O202" s="66"/>
      <c r="P202" s="66"/>
    </row>
    <row r="204" spans="2:16" x14ac:dyDescent="0.2">
      <c r="B204" s="44" t="s">
        <v>71</v>
      </c>
      <c r="C204" s="45"/>
      <c r="D204" s="45"/>
      <c r="E204" s="45"/>
      <c r="F204" s="45"/>
      <c r="G204" s="45"/>
      <c r="H204" s="45"/>
      <c r="I204" s="45"/>
      <c r="J204" s="45"/>
      <c r="K204" s="45"/>
      <c r="L204" s="45"/>
      <c r="M204" s="45"/>
      <c r="N204" s="45"/>
      <c r="O204" s="45"/>
      <c r="P204" s="45"/>
    </row>
    <row r="205" spans="2:16" x14ac:dyDescent="0.2">
      <c r="B205" t="s">
        <v>72</v>
      </c>
      <c r="E205" s="48">
        <v>-620</v>
      </c>
      <c r="F205" s="48">
        <v>-640</v>
      </c>
      <c r="G205" s="48">
        <v>-625</v>
      </c>
      <c r="H205" s="48">
        <v>-961</v>
      </c>
      <c r="I205" s="48">
        <v>-1240</v>
      </c>
      <c r="J205" s="48">
        <v>-2043.9616078859062</v>
      </c>
      <c r="K205" s="48">
        <v>-1899.4099549179409</v>
      </c>
      <c r="L205" s="48">
        <v>-2340.5705856633685</v>
      </c>
      <c r="M205" s="48">
        <v>-2884.1960379791954</v>
      </c>
      <c r="N205" s="48">
        <v>-3554.084989552759</v>
      </c>
      <c r="O205" s="15"/>
      <c r="P205" s="22"/>
    </row>
    <row r="206" spans="2:16" x14ac:dyDescent="0.2">
      <c r="B206" s="24" t="s">
        <v>73</v>
      </c>
      <c r="C206" s="24"/>
      <c r="D206" s="24"/>
      <c r="E206" s="55">
        <v>-600</v>
      </c>
      <c r="F206" s="65">
        <v>-371</v>
      </c>
      <c r="G206" s="65">
        <v>-27</v>
      </c>
      <c r="H206" s="65">
        <v>-9159</v>
      </c>
      <c r="I206" s="65">
        <v>-2434</v>
      </c>
      <c r="J206" s="65">
        <v>-1175.9421749269513</v>
      </c>
      <c r="K206" s="65">
        <v>-1449.0687794641681</v>
      </c>
      <c r="L206" s="65">
        <v>-1785.6322975644707</v>
      </c>
      <c r="M206" s="65">
        <v>-2200.3667094976681</v>
      </c>
      <c r="N206" s="65">
        <v>-2711.4281382955232</v>
      </c>
      <c r="O206" s="31"/>
    </row>
    <row r="207" spans="2:16" x14ac:dyDescent="0.2">
      <c r="B207" s="27" t="s">
        <v>74</v>
      </c>
      <c r="C207" s="27"/>
      <c r="D207" s="27"/>
      <c r="E207" s="29">
        <v>-1220</v>
      </c>
      <c r="F207" s="29">
        <v>-1011</v>
      </c>
      <c r="G207" s="29">
        <v>-652</v>
      </c>
      <c r="H207" s="29">
        <v>-10120</v>
      </c>
      <c r="I207" s="29">
        <v>-3674</v>
      </c>
      <c r="J207" s="29">
        <v>-3219.9037828128576</v>
      </c>
      <c r="K207" s="29">
        <v>-3348.478734382109</v>
      </c>
      <c r="L207" s="29">
        <v>-4126.2028832278393</v>
      </c>
      <c r="M207" s="29">
        <v>-5084.5627474768635</v>
      </c>
      <c r="N207" s="29">
        <v>-6265.5131278482822</v>
      </c>
      <c r="O207" s="28"/>
      <c r="P207" s="29"/>
    </row>
    <row r="209" spans="1:16" x14ac:dyDescent="0.2">
      <c r="B209" s="44" t="s">
        <v>75</v>
      </c>
      <c r="C209" s="45"/>
      <c r="D209" s="45"/>
      <c r="E209" s="45"/>
      <c r="F209" s="45"/>
      <c r="G209" s="45"/>
      <c r="H209" s="45"/>
      <c r="I209" s="45"/>
      <c r="J209" s="45"/>
      <c r="K209" s="45"/>
      <c r="L209" s="45"/>
      <c r="M209" s="45"/>
      <c r="N209" s="45"/>
      <c r="O209" s="45"/>
      <c r="P209" s="45"/>
    </row>
    <row r="210" spans="1:16" x14ac:dyDescent="0.2">
      <c r="B210" t="s">
        <v>76</v>
      </c>
      <c r="E210" s="53">
        <v>0</v>
      </c>
      <c r="F210" s="48">
        <v>-15</v>
      </c>
      <c r="G210" s="48">
        <v>0</v>
      </c>
      <c r="H210" s="48">
        <v>0</v>
      </c>
      <c r="I210" s="48">
        <v>0</v>
      </c>
      <c r="J210" s="48">
        <v>0</v>
      </c>
      <c r="K210" s="48">
        <v>0</v>
      </c>
      <c r="L210" s="48">
        <v>0</v>
      </c>
      <c r="M210" s="48">
        <v>0</v>
      </c>
      <c r="N210" s="48">
        <v>0</v>
      </c>
      <c r="O210" s="15"/>
    </row>
    <row r="211" spans="1:16" x14ac:dyDescent="0.2">
      <c r="B211" t="s">
        <v>77</v>
      </c>
      <c r="E211" s="53">
        <v>615</v>
      </c>
      <c r="F211" s="48">
        <v>3</v>
      </c>
      <c r="G211" s="48">
        <v>3</v>
      </c>
      <c r="H211" s="48">
        <v>4972</v>
      </c>
      <c r="I211" s="48">
        <v>3983</v>
      </c>
      <c r="J211" s="48">
        <v>0</v>
      </c>
      <c r="K211" s="48">
        <v>0</v>
      </c>
      <c r="L211" s="48">
        <v>0</v>
      </c>
      <c r="M211" s="48">
        <v>0</v>
      </c>
      <c r="N211" s="48">
        <v>0</v>
      </c>
      <c r="O211" s="15"/>
    </row>
    <row r="212" spans="1:16" x14ac:dyDescent="0.2">
      <c r="B212" t="s">
        <v>78</v>
      </c>
      <c r="E212" s="53">
        <v>0</v>
      </c>
      <c r="F212" s="48">
        <v>1</v>
      </c>
      <c r="G212" s="48">
        <v>142</v>
      </c>
      <c r="H212" s="48">
        <v>600</v>
      </c>
      <c r="I212" s="48">
        <v>178</v>
      </c>
      <c r="J212" s="48">
        <v>360.70278444826295</v>
      </c>
      <c r="K212" s="48">
        <v>444.48031098318256</v>
      </c>
      <c r="L212" s="48">
        <v>547.71616790788539</v>
      </c>
      <c r="M212" s="48">
        <v>674.92978468296997</v>
      </c>
      <c r="N212" s="48">
        <v>831.69028219888378</v>
      </c>
      <c r="O212" s="15"/>
    </row>
    <row r="213" spans="1:16" x14ac:dyDescent="0.2">
      <c r="B213" t="s">
        <v>79</v>
      </c>
      <c r="E213" s="48">
        <v>-341</v>
      </c>
      <c r="F213" s="48">
        <v>-371</v>
      </c>
      <c r="G213" s="48">
        <v>-390</v>
      </c>
      <c r="H213" s="48">
        <v>-395</v>
      </c>
      <c r="I213" s="48">
        <v>-399</v>
      </c>
      <c r="J213" s="48">
        <v>-828.82822629278155</v>
      </c>
      <c r="K213" s="48">
        <v>-1030.8491660095265</v>
      </c>
      <c r="L213" s="48">
        <v>-1275.454487287137</v>
      </c>
      <c r="M213" s="48">
        <v>-1576.4703225766964</v>
      </c>
      <c r="N213" s="48">
        <v>-1946.7606949359615</v>
      </c>
      <c r="O213" s="15"/>
    </row>
    <row r="214" spans="1:16" x14ac:dyDescent="0.2">
      <c r="B214" t="s">
        <v>80</v>
      </c>
      <c r="E214" s="48">
        <v>529</v>
      </c>
      <c r="F214" s="48">
        <v>698</v>
      </c>
      <c r="G214" s="48">
        <v>994</v>
      </c>
      <c r="H214" s="48">
        <v>1590</v>
      </c>
      <c r="I214" s="48">
        <v>2282</v>
      </c>
      <c r="J214" s="48">
        <v>1218.5999999999999</v>
      </c>
      <c r="K214" s="48">
        <v>1218.5999999999999</v>
      </c>
      <c r="L214" s="48">
        <v>1218.5999999999999</v>
      </c>
      <c r="M214" s="48">
        <v>1218.5999999999999</v>
      </c>
      <c r="N214" s="48">
        <v>1218.5999999999999</v>
      </c>
      <c r="O214" s="15"/>
    </row>
    <row r="215" spans="1:16" x14ac:dyDescent="0.2">
      <c r="B215" s="24" t="s">
        <v>81</v>
      </c>
      <c r="C215" s="24"/>
      <c r="D215" s="24"/>
      <c r="E215" s="65">
        <v>-909</v>
      </c>
      <c r="F215" s="65">
        <v>-1579</v>
      </c>
      <c r="G215" s="65">
        <v>0</v>
      </c>
      <c r="H215" s="65">
        <v>0</v>
      </c>
      <c r="I215" s="65">
        <v>0</v>
      </c>
      <c r="J215" s="65">
        <v>-1190.6921357608644</v>
      </c>
      <c r="K215" s="65">
        <v>-1480.9148098313008</v>
      </c>
      <c r="L215" s="65">
        <v>-1832.3140783060539</v>
      </c>
      <c r="M215" s="65">
        <v>-2264.7525214583939</v>
      </c>
      <c r="N215" s="65">
        <v>-2796.7105561023441</v>
      </c>
      <c r="O215" s="31"/>
    </row>
    <row r="216" spans="1:16" x14ac:dyDescent="0.2">
      <c r="B216" s="27" t="s">
        <v>82</v>
      </c>
      <c r="C216" s="27"/>
      <c r="D216" s="27"/>
      <c r="E216" s="29">
        <v>-106</v>
      </c>
      <c r="F216" s="29">
        <v>-1263</v>
      </c>
      <c r="G216" s="29">
        <v>749</v>
      </c>
      <c r="H216" s="29">
        <v>6767</v>
      </c>
      <c r="I216" s="29">
        <v>6044</v>
      </c>
      <c r="J216" s="29">
        <v>-440.2175776053831</v>
      </c>
      <c r="K216" s="29">
        <v>-848.68366485764477</v>
      </c>
      <c r="L216" s="29">
        <v>-1341.4523976853056</v>
      </c>
      <c r="M216" s="29">
        <v>-1947.6930593521204</v>
      </c>
      <c r="N216" s="29">
        <v>-2693.1809688394219</v>
      </c>
      <c r="O216" s="28"/>
      <c r="P216" s="29"/>
    </row>
    <row r="218" spans="1:16" x14ac:dyDescent="0.2">
      <c r="B218" s="67" t="s">
        <v>83</v>
      </c>
      <c r="C218" s="67"/>
      <c r="D218" s="67"/>
      <c r="E218" s="68">
        <v>2236</v>
      </c>
      <c r="F218" s="68">
        <v>2364</v>
      </c>
      <c r="G218" s="68">
        <v>4564</v>
      </c>
      <c r="H218" s="68">
        <v>2444</v>
      </c>
      <c r="I218" s="68">
        <v>12853</v>
      </c>
      <c r="J218" s="68">
        <v>6656.6745108403975</v>
      </c>
      <c r="K218" s="68">
        <v>8071.2605585997526</v>
      </c>
      <c r="L218" s="68">
        <v>9214.2722720969596</v>
      </c>
      <c r="M218" s="68">
        <v>10711.882906082301</v>
      </c>
      <c r="N218" s="68">
        <v>12614.573416985695</v>
      </c>
      <c r="O218" s="66"/>
      <c r="P218" s="66"/>
    </row>
    <row r="219" spans="1:16" ht="16" thickBot="1" x14ac:dyDescent="0.25">
      <c r="B219" s="49" t="s">
        <v>84</v>
      </c>
      <c r="C219" s="49"/>
      <c r="D219" s="49"/>
      <c r="E219" s="69">
        <v>7108</v>
      </c>
      <c r="F219" s="69">
        <v>9472</v>
      </c>
      <c r="G219" s="69">
        <v>14036</v>
      </c>
      <c r="H219" s="69">
        <v>16480</v>
      </c>
      <c r="I219" s="69">
        <v>29333</v>
      </c>
      <c r="J219" s="69">
        <v>35989.674510840399</v>
      </c>
      <c r="K219" s="69">
        <v>44060.935069440151</v>
      </c>
      <c r="L219" s="69">
        <v>53275.207341537112</v>
      </c>
      <c r="M219" s="69">
        <v>63987.090247619417</v>
      </c>
      <c r="N219" s="69">
        <v>76601.663664605119</v>
      </c>
      <c r="O219" s="70"/>
      <c r="P219" s="70"/>
    </row>
    <row r="220" spans="1:16" ht="16" thickTop="1" x14ac:dyDescent="0.2">
      <c r="G220" s="43"/>
      <c r="H220" s="43"/>
      <c r="I220" s="43"/>
      <c r="J220" s="43"/>
    </row>
    <row r="221" spans="1:16" x14ac:dyDescent="0.2">
      <c r="A221" t="s">
        <v>10</v>
      </c>
      <c r="B221" s="1" t="s">
        <v>55</v>
      </c>
      <c r="C221" s="2"/>
      <c r="D221" s="2"/>
      <c r="E221" s="3" t="s">
        <v>1</v>
      </c>
      <c r="F221" s="3" t="s">
        <v>2</v>
      </c>
      <c r="G221" s="3" t="s">
        <v>3</v>
      </c>
      <c r="H221" s="3" t="s">
        <v>4</v>
      </c>
      <c r="I221" s="3" t="s">
        <v>5</v>
      </c>
      <c r="J221" s="3" t="s">
        <v>12</v>
      </c>
      <c r="K221" s="3" t="s">
        <v>13</v>
      </c>
      <c r="L221" s="3" t="s">
        <v>14</v>
      </c>
      <c r="M221" s="3" t="s">
        <v>15</v>
      </c>
      <c r="N221" s="3" t="s">
        <v>16</v>
      </c>
      <c r="O221" s="3"/>
      <c r="P221" s="3"/>
    </row>
    <row r="223" spans="1:16" x14ac:dyDescent="0.2">
      <c r="B223" s="27" t="s">
        <v>85</v>
      </c>
      <c r="C223" s="27"/>
      <c r="D223" s="27"/>
      <c r="E223" s="71">
        <v>6108</v>
      </c>
      <c r="F223" s="66">
        <v>8814</v>
      </c>
      <c r="G223" s="66">
        <v>12584</v>
      </c>
      <c r="H223" s="66">
        <v>14990</v>
      </c>
      <c r="I223" s="66">
        <v>18927</v>
      </c>
      <c r="J223" s="66">
        <v>28280</v>
      </c>
      <c r="K223" s="66">
        <v>36210.961857031754</v>
      </c>
      <c r="L223" s="66">
        <v>46075.038823308401</v>
      </c>
      <c r="M223" s="66">
        <v>58279.715942353549</v>
      </c>
      <c r="N223" s="66">
        <v>73364.778927022824</v>
      </c>
    </row>
    <row r="224" spans="1:16" x14ac:dyDescent="0.2">
      <c r="B224" t="s">
        <v>62</v>
      </c>
      <c r="E224" s="22">
        <v>3047</v>
      </c>
      <c r="F224" s="22">
        <v>4141</v>
      </c>
      <c r="G224" s="22">
        <v>2796</v>
      </c>
      <c r="H224" s="22">
        <v>4332</v>
      </c>
      <c r="I224" s="22">
        <v>9752</v>
      </c>
      <c r="J224" s="22">
        <v>8759.7900833245367</v>
      </c>
      <c r="K224" s="22">
        <v>10894.926132286168</v>
      </c>
      <c r="L224" s="22">
        <v>13480.131606332277</v>
      </c>
      <c r="M224" s="22">
        <v>16661.533307245969</v>
      </c>
      <c r="N224" s="22">
        <v>20575.089613420107</v>
      </c>
    </row>
    <row r="225" spans="1:16" x14ac:dyDescent="0.2">
      <c r="B225" s="24" t="s">
        <v>86</v>
      </c>
      <c r="C225" s="24"/>
      <c r="D225" s="24"/>
      <c r="E225" s="72">
        <v>-341</v>
      </c>
      <c r="F225" s="72">
        <v>-371</v>
      </c>
      <c r="G225" s="72">
        <v>-390</v>
      </c>
      <c r="H225" s="72">
        <v>-395</v>
      </c>
      <c r="I225" s="72">
        <v>-399</v>
      </c>
      <c r="J225" s="73">
        <v>-828.82822629278155</v>
      </c>
      <c r="K225" s="73">
        <v>-1030.8491660095265</v>
      </c>
      <c r="L225" s="73">
        <v>-1275.454487287137</v>
      </c>
      <c r="M225" s="73">
        <v>-1576.4703225766964</v>
      </c>
      <c r="N225" s="73">
        <v>-1946.7606949359615</v>
      </c>
    </row>
    <row r="226" spans="1:16" x14ac:dyDescent="0.2">
      <c r="B226" s="27" t="s">
        <v>87</v>
      </c>
      <c r="C226" s="27"/>
      <c r="D226" s="27"/>
      <c r="E226" s="66">
        <v>8814</v>
      </c>
      <c r="F226" s="66">
        <v>12584</v>
      </c>
      <c r="G226" s="66">
        <v>14990</v>
      </c>
      <c r="H226" s="66">
        <v>18927</v>
      </c>
      <c r="I226" s="66">
        <v>28280</v>
      </c>
      <c r="J226" s="66">
        <v>36210.961857031754</v>
      </c>
      <c r="K226" s="66">
        <v>46075.038823308401</v>
      </c>
      <c r="L226" s="66">
        <v>58279.715942353549</v>
      </c>
      <c r="M226" s="66">
        <v>73364.778927022824</v>
      </c>
      <c r="N226" s="66">
        <v>91993.107845506966</v>
      </c>
    </row>
    <row r="227" spans="1:16" x14ac:dyDescent="0.2">
      <c r="H227" s="43"/>
      <c r="I227" s="43"/>
    </row>
    <row r="228" spans="1:16" x14ac:dyDescent="0.2">
      <c r="A228" t="s">
        <v>10</v>
      </c>
      <c r="B228" s="1" t="s">
        <v>54</v>
      </c>
      <c r="C228" s="2"/>
      <c r="D228" s="2"/>
      <c r="E228" s="3" t="s">
        <v>1</v>
      </c>
      <c r="F228" s="3" t="s">
        <v>2</v>
      </c>
      <c r="G228" s="3" t="s">
        <v>3</v>
      </c>
      <c r="H228" s="3" t="s">
        <v>4</v>
      </c>
      <c r="I228" s="3" t="s">
        <v>5</v>
      </c>
      <c r="J228" s="3" t="s">
        <v>12</v>
      </c>
      <c r="K228" s="3" t="s">
        <v>13</v>
      </c>
      <c r="L228" s="3" t="s">
        <v>14</v>
      </c>
      <c r="M228" s="3" t="s">
        <v>15</v>
      </c>
      <c r="N228" s="3" t="s">
        <v>16</v>
      </c>
      <c r="O228" s="3"/>
      <c r="P228" s="3"/>
    </row>
    <row r="230" spans="1:16" x14ac:dyDescent="0.2">
      <c r="B230" s="27" t="s">
        <v>88</v>
      </c>
      <c r="C230" s="27"/>
      <c r="D230" s="27"/>
      <c r="E230" s="74">
        <v>-5039</v>
      </c>
      <c r="F230" s="29">
        <v>-5336</v>
      </c>
      <c r="G230" s="29">
        <v>-5883</v>
      </c>
      <c r="H230" s="29">
        <v>-5332</v>
      </c>
      <c r="I230" s="29">
        <v>-4390</v>
      </c>
      <c r="J230" s="29">
        <v>-3100</v>
      </c>
      <c r="K230" s="29">
        <v>-3405.2921357608643</v>
      </c>
      <c r="L230" s="29">
        <v>-4000.8069455921645</v>
      </c>
      <c r="M230" s="29">
        <v>-4947.7210238982188</v>
      </c>
      <c r="N230" s="29">
        <v>-6327.0735453566131</v>
      </c>
    </row>
    <row r="231" spans="1:16" x14ac:dyDescent="0.2">
      <c r="B231" t="s">
        <v>89</v>
      </c>
      <c r="E231" s="57">
        <v>-909</v>
      </c>
      <c r="F231" s="57">
        <v>-1579</v>
      </c>
      <c r="G231" s="57">
        <v>0</v>
      </c>
      <c r="H231" s="57"/>
      <c r="I231" s="57"/>
      <c r="J231" s="39">
        <v>-1190.6921357608644</v>
      </c>
      <c r="K231" s="39">
        <v>-1480.9148098313008</v>
      </c>
      <c r="L231" s="39">
        <v>-1832.3140783060539</v>
      </c>
      <c r="M231" s="39">
        <v>-2264.7525214583939</v>
      </c>
      <c r="N231" s="39">
        <v>-2796.7105561023441</v>
      </c>
    </row>
    <row r="232" spans="1:16" x14ac:dyDescent="0.2">
      <c r="B232" s="24" t="s">
        <v>92</v>
      </c>
      <c r="C232" s="24"/>
      <c r="D232" s="24"/>
      <c r="E232" s="56">
        <v>612</v>
      </c>
      <c r="F232" s="56">
        <v>1032</v>
      </c>
      <c r="G232" s="56">
        <v>551</v>
      </c>
      <c r="H232" s="56">
        <v>942</v>
      </c>
      <c r="I232" s="56">
        <v>1290</v>
      </c>
      <c r="J232" s="47">
        <v>885.4</v>
      </c>
      <c r="K232" s="47">
        <v>885.4</v>
      </c>
      <c r="L232" s="47">
        <v>885.4</v>
      </c>
      <c r="M232" s="47">
        <v>885.4</v>
      </c>
      <c r="N232" s="47">
        <v>885.4</v>
      </c>
    </row>
    <row r="233" spans="1:16" x14ac:dyDescent="0.2">
      <c r="B233" s="27" t="s">
        <v>90</v>
      </c>
      <c r="C233" s="27"/>
      <c r="D233" s="27"/>
      <c r="E233" s="29">
        <v>-5336</v>
      </c>
      <c r="F233" s="29">
        <v>-5883</v>
      </c>
      <c r="G233" s="29">
        <v>-5332</v>
      </c>
      <c r="H233" s="29">
        <v>-4390</v>
      </c>
      <c r="I233" s="29">
        <v>-3100</v>
      </c>
      <c r="J233" s="29">
        <v>-3405.2921357608643</v>
      </c>
      <c r="K233" s="29">
        <v>-4000.8069455921645</v>
      </c>
      <c r="L233" s="29">
        <v>-4947.7210238982188</v>
      </c>
      <c r="M233" s="29">
        <v>-6327.0735453566131</v>
      </c>
      <c r="N233" s="29">
        <v>-8238.384101458958</v>
      </c>
    </row>
    <row r="235" spans="1:16" x14ac:dyDescent="0.2">
      <c r="A235" t="s">
        <v>10</v>
      </c>
      <c r="B235" s="1" t="s">
        <v>127</v>
      </c>
      <c r="C235" s="2"/>
      <c r="D235" s="2"/>
      <c r="E235" s="3" t="s">
        <v>1</v>
      </c>
      <c r="F235" s="3" t="s">
        <v>2</v>
      </c>
      <c r="G235" s="3" t="s">
        <v>3</v>
      </c>
      <c r="H235" s="3" t="s">
        <v>4</v>
      </c>
      <c r="I235" s="3" t="s">
        <v>5</v>
      </c>
      <c r="J235" s="3" t="s">
        <v>12</v>
      </c>
      <c r="K235" s="3" t="s">
        <v>13</v>
      </c>
      <c r="L235" s="3" t="s">
        <v>14</v>
      </c>
      <c r="M235" s="3" t="s">
        <v>15</v>
      </c>
      <c r="N235" s="3" t="s">
        <v>16</v>
      </c>
      <c r="O235" s="3"/>
      <c r="P235" s="3"/>
    </row>
    <row r="237" spans="1:16" x14ac:dyDescent="0.2">
      <c r="B237" s="27" t="s">
        <v>128</v>
      </c>
      <c r="C237" s="27"/>
      <c r="D237" s="27"/>
      <c r="E237" s="74">
        <v>4708</v>
      </c>
      <c r="F237" s="29">
        <v>5237</v>
      </c>
      <c r="G237" s="29">
        <v>5935</v>
      </c>
      <c r="H237" s="29">
        <v>6929</v>
      </c>
      <c r="I237" s="29">
        <v>8519</v>
      </c>
      <c r="J237" s="29">
        <v>10801</v>
      </c>
      <c r="K237" s="29">
        <v>12019.6</v>
      </c>
      <c r="L237" s="29">
        <v>13238.2</v>
      </c>
      <c r="M237" s="29">
        <v>14456.800000000001</v>
      </c>
      <c r="N237" s="29">
        <v>15675.400000000001</v>
      </c>
    </row>
    <row r="238" spans="1:16" x14ac:dyDescent="0.2">
      <c r="B238" t="s">
        <v>91</v>
      </c>
      <c r="E238" s="56">
        <v>529</v>
      </c>
      <c r="F238" s="56">
        <v>698</v>
      </c>
      <c r="G238" s="56">
        <v>994</v>
      </c>
      <c r="H238" s="56">
        <v>1590</v>
      </c>
      <c r="I238" s="56">
        <v>2282</v>
      </c>
      <c r="J238" s="65">
        <v>1218.5999999999999</v>
      </c>
      <c r="K238" s="65">
        <v>1218.5999999999999</v>
      </c>
      <c r="L238" s="65">
        <v>1218.5999999999999</v>
      </c>
      <c r="M238" s="65">
        <v>1218.5999999999999</v>
      </c>
      <c r="N238" s="65">
        <v>1218.5999999999999</v>
      </c>
    </row>
    <row r="239" spans="1:16" x14ac:dyDescent="0.2">
      <c r="B239" s="27" t="s">
        <v>129</v>
      </c>
      <c r="C239" s="27"/>
      <c r="D239" s="27"/>
      <c r="E239" s="29">
        <v>5237</v>
      </c>
      <c r="F239" s="29">
        <v>5935</v>
      </c>
      <c r="G239" s="29">
        <v>6929</v>
      </c>
      <c r="H239" s="29">
        <v>8519</v>
      </c>
      <c r="I239" s="29">
        <v>10801</v>
      </c>
      <c r="J239" s="29">
        <v>12019.6</v>
      </c>
      <c r="K239" s="29">
        <v>13238.2</v>
      </c>
      <c r="L239" s="29">
        <v>14456.800000000001</v>
      </c>
      <c r="M239" s="29">
        <v>15675.400000000001</v>
      </c>
      <c r="N239" s="29">
        <v>16894</v>
      </c>
    </row>
    <row r="241" spans="1:16" x14ac:dyDescent="0.2">
      <c r="A241" t="s">
        <v>10</v>
      </c>
      <c r="B241" s="1" t="s">
        <v>93</v>
      </c>
      <c r="C241" s="2"/>
      <c r="D241" s="2"/>
      <c r="E241" s="3" t="s">
        <v>1</v>
      </c>
      <c r="F241" s="3" t="s">
        <v>2</v>
      </c>
      <c r="G241" s="3" t="s">
        <v>3</v>
      </c>
      <c r="H241" s="3" t="s">
        <v>4</v>
      </c>
      <c r="I241" s="3" t="s">
        <v>5</v>
      </c>
      <c r="J241" s="3" t="s">
        <v>12</v>
      </c>
      <c r="K241" s="3" t="s">
        <v>13</v>
      </c>
      <c r="L241" s="3" t="s">
        <v>14</v>
      </c>
      <c r="M241" s="3" t="s">
        <v>15</v>
      </c>
      <c r="N241" s="3" t="s">
        <v>16</v>
      </c>
      <c r="O241" s="3"/>
      <c r="P241" s="3"/>
    </row>
    <row r="243" spans="1:16" x14ac:dyDescent="0.2">
      <c r="B243" s="27" t="s">
        <v>94</v>
      </c>
      <c r="C243" s="27"/>
      <c r="D243" s="27"/>
      <c r="E243" s="74">
        <v>521</v>
      </c>
      <c r="F243" s="29">
        <v>997</v>
      </c>
      <c r="G243" s="29">
        <v>1404</v>
      </c>
      <c r="H243" s="29">
        <v>1674</v>
      </c>
      <c r="I243" s="29">
        <v>2149</v>
      </c>
      <c r="J243" s="29">
        <v>2778</v>
      </c>
      <c r="K243" s="29">
        <v>4042.5097846273793</v>
      </c>
      <c r="L243" s="29">
        <v>4981.4309278820119</v>
      </c>
      <c r="M243" s="29">
        <v>6138.4277123145521</v>
      </c>
      <c r="N243" s="29">
        <v>7564.1508082361488</v>
      </c>
    </row>
    <row r="244" spans="1:16" x14ac:dyDescent="0.2">
      <c r="B244" t="s">
        <v>95</v>
      </c>
      <c r="E244" s="57">
        <v>620</v>
      </c>
      <c r="F244" s="57">
        <v>640</v>
      </c>
      <c r="G244" s="57">
        <v>625</v>
      </c>
      <c r="H244" s="57">
        <v>961</v>
      </c>
      <c r="I244" s="57">
        <v>1240</v>
      </c>
      <c r="J244" s="48">
        <v>2043.9616078859062</v>
      </c>
      <c r="K244" s="48">
        <v>1899.4099549179409</v>
      </c>
      <c r="L244" s="48">
        <v>2340.5705856633685</v>
      </c>
      <c r="M244" s="48">
        <v>2884.1960379791954</v>
      </c>
      <c r="N244" s="48">
        <v>3554.084989552759</v>
      </c>
    </row>
    <row r="245" spans="1:16" x14ac:dyDescent="0.2">
      <c r="B245" s="24" t="s">
        <v>63</v>
      </c>
      <c r="C245" s="24"/>
      <c r="D245" s="24"/>
      <c r="E245" s="55">
        <v>-144</v>
      </c>
      <c r="F245" s="55">
        <v>-233</v>
      </c>
      <c r="G245" s="55">
        <v>-355</v>
      </c>
      <c r="H245" s="55">
        <v>-486</v>
      </c>
      <c r="I245" s="55">
        <v>-611</v>
      </c>
      <c r="J245" s="47">
        <v>-779.45182325852682</v>
      </c>
      <c r="K245" s="47">
        <v>-960.48881166330852</v>
      </c>
      <c r="L245" s="47">
        <v>-1183.5738012308284</v>
      </c>
      <c r="M245" s="47">
        <v>-1458.4729420575991</v>
      </c>
      <c r="N245" s="47">
        <v>-1797.2206891552332</v>
      </c>
    </row>
    <row r="246" spans="1:16" x14ac:dyDescent="0.2">
      <c r="B246" s="27" t="s">
        <v>96</v>
      </c>
      <c r="C246" s="27"/>
      <c r="D246" s="27"/>
      <c r="E246" s="66">
        <v>997</v>
      </c>
      <c r="F246" s="66">
        <v>1404</v>
      </c>
      <c r="G246" s="66">
        <v>1674</v>
      </c>
      <c r="H246" s="66">
        <v>2149</v>
      </c>
      <c r="I246" s="66">
        <v>2778</v>
      </c>
      <c r="J246" s="66">
        <v>4042.5097846273793</v>
      </c>
      <c r="K246" s="66">
        <v>4981.4309278820119</v>
      </c>
      <c r="L246" s="66">
        <v>6138.4277123145521</v>
      </c>
      <c r="M246" s="66">
        <v>7564.1508082361488</v>
      </c>
      <c r="N246" s="66">
        <v>9321.0151086336737</v>
      </c>
    </row>
    <row r="247" spans="1:16" x14ac:dyDescent="0.2">
      <c r="E247" s="38"/>
      <c r="F247" s="38"/>
      <c r="G247" s="38"/>
      <c r="H247" s="38"/>
      <c r="I247" s="38"/>
    </row>
    <row r="248" spans="1:16" x14ac:dyDescent="0.2">
      <c r="A248" t="s">
        <v>10</v>
      </c>
      <c r="B248" s="1" t="s">
        <v>97</v>
      </c>
      <c r="C248" s="2"/>
      <c r="D248" s="2"/>
      <c r="E248" s="3" t="s">
        <v>1</v>
      </c>
      <c r="F248" s="3" t="s">
        <v>2</v>
      </c>
      <c r="G248" s="3" t="s">
        <v>3</v>
      </c>
      <c r="H248" s="3" t="s">
        <v>4</v>
      </c>
      <c r="I248" s="3" t="s">
        <v>5</v>
      </c>
      <c r="J248" s="3" t="s">
        <v>12</v>
      </c>
      <c r="K248" s="3" t="s">
        <v>13</v>
      </c>
      <c r="L248" s="3" t="s">
        <v>14</v>
      </c>
      <c r="M248" s="3" t="s">
        <v>15</v>
      </c>
      <c r="N248" s="3" t="s">
        <v>16</v>
      </c>
      <c r="O248" s="3"/>
      <c r="P248" s="3"/>
    </row>
    <row r="250" spans="1:16" x14ac:dyDescent="0.2">
      <c r="B250" s="27" t="s">
        <v>98</v>
      </c>
      <c r="C250" s="27"/>
      <c r="D250" s="27"/>
      <c r="E250" s="74">
        <v>0</v>
      </c>
      <c r="F250" s="29">
        <v>52</v>
      </c>
      <c r="G250" s="29">
        <v>45</v>
      </c>
      <c r="H250" s="29">
        <v>49</v>
      </c>
      <c r="I250" s="29">
        <v>2737</v>
      </c>
      <c r="J250" s="29">
        <v>2339</v>
      </c>
      <c r="K250" s="29">
        <v>1580.9330597008793</v>
      </c>
      <c r="L250" s="29">
        <v>1068.5546555173937</v>
      </c>
      <c r="M250" s="29">
        <v>722.23744378141612</v>
      </c>
      <c r="N250" s="29">
        <v>488.1612021495921</v>
      </c>
    </row>
    <row r="251" spans="1:16" x14ac:dyDescent="0.2">
      <c r="B251" t="s">
        <v>130</v>
      </c>
      <c r="E251" s="57">
        <v>107</v>
      </c>
      <c r="F251" s="57">
        <v>22</v>
      </c>
      <c r="G251" s="57">
        <v>29</v>
      </c>
      <c r="H251" s="57">
        <v>3300</v>
      </c>
      <c r="I251" s="57">
        <v>165</v>
      </c>
      <c r="J251" s="57">
        <v>0</v>
      </c>
      <c r="K251" s="57">
        <v>0</v>
      </c>
      <c r="L251" s="57">
        <v>0</v>
      </c>
      <c r="M251" s="57">
        <v>0</v>
      </c>
      <c r="N251" s="57">
        <v>0</v>
      </c>
    </row>
    <row r="252" spans="1:16" x14ac:dyDescent="0.2">
      <c r="B252" s="24" t="s">
        <v>64</v>
      </c>
      <c r="C252" s="24"/>
      <c r="D252" s="24"/>
      <c r="E252" s="55">
        <v>-55</v>
      </c>
      <c r="F252" s="55">
        <v>-29</v>
      </c>
      <c r="G252" s="55">
        <v>-25</v>
      </c>
      <c r="H252" s="55">
        <v>-612</v>
      </c>
      <c r="I252" s="55">
        <v>-563</v>
      </c>
      <c r="J252" s="75">
        <v>-758.06694029912069</v>
      </c>
      <c r="K252" s="75">
        <v>-512.3784041834856</v>
      </c>
      <c r="L252" s="75">
        <v>-346.31721173597759</v>
      </c>
      <c r="M252" s="75">
        <v>-234.07624163182402</v>
      </c>
      <c r="N252" s="75">
        <v>-158.21242791204867</v>
      </c>
    </row>
    <row r="253" spans="1:16" x14ac:dyDescent="0.2">
      <c r="B253" s="27" t="s">
        <v>99</v>
      </c>
      <c r="C253" s="27"/>
      <c r="D253" s="27"/>
      <c r="E253" s="29">
        <v>52</v>
      </c>
      <c r="F253" s="29">
        <v>45</v>
      </c>
      <c r="G253" s="29">
        <v>49</v>
      </c>
      <c r="H253" s="29">
        <v>2737</v>
      </c>
      <c r="I253" s="29">
        <v>2339</v>
      </c>
      <c r="J253" s="29">
        <v>1580.9330597008793</v>
      </c>
      <c r="K253" s="29">
        <v>1068.5546555173937</v>
      </c>
      <c r="L253" s="29">
        <v>722.23744378141612</v>
      </c>
      <c r="M253" s="29">
        <v>488.1612021495921</v>
      </c>
      <c r="N253" s="29">
        <v>329.94877423754343</v>
      </c>
    </row>
    <row r="254" spans="1:16" x14ac:dyDescent="0.2">
      <c r="E254" s="38"/>
      <c r="F254" s="38"/>
      <c r="G254" s="38"/>
      <c r="H254" s="38"/>
      <c r="I254" s="38"/>
    </row>
    <row r="255" spans="1:16" x14ac:dyDescent="0.2">
      <c r="A255" t="s">
        <v>10</v>
      </c>
      <c r="B255" s="1" t="s">
        <v>100</v>
      </c>
      <c r="C255" s="2"/>
      <c r="D255" s="2"/>
      <c r="E255" s="3" t="s">
        <v>1</v>
      </c>
      <c r="F255" s="3" t="s">
        <v>2</v>
      </c>
      <c r="G255" s="3" t="s">
        <v>3</v>
      </c>
      <c r="H255" s="3" t="s">
        <v>4</v>
      </c>
      <c r="I255" s="3" t="s">
        <v>5</v>
      </c>
      <c r="J255" s="3" t="s">
        <v>12</v>
      </c>
      <c r="K255" s="3" t="s">
        <v>13</v>
      </c>
      <c r="L255" s="3" t="s">
        <v>14</v>
      </c>
      <c r="M255" s="3" t="s">
        <v>15</v>
      </c>
      <c r="N255" s="3" t="s">
        <v>16</v>
      </c>
      <c r="O255" s="3"/>
      <c r="P255" s="3"/>
    </row>
    <row r="256" spans="1:16" x14ac:dyDescent="0.2">
      <c r="B256" s="44" t="s">
        <v>101</v>
      </c>
      <c r="C256" s="45"/>
      <c r="D256" s="45"/>
      <c r="E256" s="45"/>
      <c r="F256" s="45"/>
      <c r="G256" s="45"/>
      <c r="H256" s="45"/>
      <c r="I256" s="45"/>
      <c r="J256" s="45"/>
      <c r="K256" s="45"/>
      <c r="L256" s="45"/>
      <c r="M256" s="45"/>
      <c r="N256" s="45"/>
      <c r="O256" s="45"/>
      <c r="P256" s="45"/>
    </row>
    <row r="257" spans="1:16" x14ac:dyDescent="0.2">
      <c r="B257" t="s">
        <v>131</v>
      </c>
      <c r="E257" s="52"/>
      <c r="F257" s="52"/>
      <c r="G257" s="52"/>
      <c r="H257" s="52"/>
      <c r="I257" s="52"/>
      <c r="J257" s="52">
        <v>29333</v>
      </c>
      <c r="K257" s="52">
        <v>35989.674510840399</v>
      </c>
      <c r="L257" s="52">
        <v>44060.935069440151</v>
      </c>
      <c r="M257" s="52">
        <v>53275.207341537112</v>
      </c>
      <c r="N257" s="52">
        <v>63987.090247619417</v>
      </c>
    </row>
    <row r="258" spans="1:16" x14ac:dyDescent="0.2">
      <c r="B258" t="s">
        <v>102</v>
      </c>
      <c r="E258" s="52"/>
      <c r="F258" s="52"/>
      <c r="G258" s="52"/>
      <c r="H258" s="52"/>
      <c r="I258" s="52"/>
      <c r="J258" s="22">
        <v>6656.6745108403975</v>
      </c>
      <c r="K258" s="22">
        <v>8071.2605585997544</v>
      </c>
      <c r="L258" s="22">
        <v>9214.2722720969596</v>
      </c>
      <c r="M258" s="22">
        <v>10711.882906082301</v>
      </c>
      <c r="N258" s="22">
        <v>12614.573416985697</v>
      </c>
    </row>
    <row r="259" spans="1:16" x14ac:dyDescent="0.2">
      <c r="B259" s="24" t="s">
        <v>103</v>
      </c>
      <c r="C259" s="24"/>
      <c r="D259" s="24"/>
      <c r="E259" s="76"/>
      <c r="F259" s="76"/>
      <c r="G259" s="76"/>
      <c r="H259" s="76"/>
      <c r="I259" s="76"/>
      <c r="J259" s="76">
        <v>32528.079876973432</v>
      </c>
      <c r="K259" s="76">
        <v>40083.11463832554</v>
      </c>
      <c r="L259" s="76">
        <v>49392.896389389898</v>
      </c>
      <c r="M259" s="76">
        <v>60864.986060746945</v>
      </c>
      <c r="N259" s="76">
        <v>75001.605473184885</v>
      </c>
    </row>
    <row r="260" spans="1:16" x14ac:dyDescent="0.2">
      <c r="B260" t="s">
        <v>101</v>
      </c>
      <c r="E260" s="43"/>
      <c r="F260" s="43"/>
      <c r="G260" s="43"/>
      <c r="H260" s="43"/>
      <c r="I260" s="43"/>
      <c r="J260" s="43">
        <v>3461.5946338669673</v>
      </c>
      <c r="K260" s="43">
        <v>3977.820431114611</v>
      </c>
      <c r="L260" s="43">
        <v>3882.3109521472143</v>
      </c>
      <c r="M260" s="43">
        <v>3122.1041868724715</v>
      </c>
      <c r="N260" s="43">
        <v>1600.0581914202339</v>
      </c>
    </row>
    <row r="261" spans="1:16" x14ac:dyDescent="0.2">
      <c r="J261" s="77"/>
    </row>
    <row r="262" spans="1:16" x14ac:dyDescent="0.2">
      <c r="B262" s="44" t="s">
        <v>100</v>
      </c>
      <c r="C262" s="45"/>
      <c r="D262" s="45"/>
      <c r="E262" s="45"/>
      <c r="F262" s="45"/>
      <c r="G262" s="45"/>
      <c r="H262" s="45"/>
      <c r="I262" s="45"/>
      <c r="J262" s="45"/>
      <c r="K262" s="45"/>
      <c r="L262" s="45"/>
      <c r="M262" s="45"/>
      <c r="N262" s="45"/>
      <c r="O262" s="45"/>
      <c r="P262" s="45"/>
    </row>
    <row r="263" spans="1:16" x14ac:dyDescent="0.2">
      <c r="B263" t="s">
        <v>104</v>
      </c>
      <c r="E263" s="43"/>
      <c r="F263" s="43"/>
      <c r="G263" s="43"/>
      <c r="H263" s="43"/>
      <c r="I263" s="43"/>
      <c r="J263" s="43">
        <v>0</v>
      </c>
      <c r="K263" s="43">
        <v>0</v>
      </c>
      <c r="L263" s="43">
        <v>0</v>
      </c>
      <c r="M263" s="43">
        <v>0</v>
      </c>
      <c r="N263" s="43">
        <v>0</v>
      </c>
    </row>
    <row r="264" spans="1:16" x14ac:dyDescent="0.2">
      <c r="B264" s="24" t="s">
        <v>105</v>
      </c>
      <c r="C264" s="24"/>
      <c r="D264" s="24"/>
      <c r="E264" s="24"/>
      <c r="F264" s="24"/>
      <c r="G264" s="24"/>
      <c r="H264" s="24"/>
      <c r="I264" s="24"/>
      <c r="J264" s="47">
        <v>0</v>
      </c>
      <c r="K264" s="47">
        <v>0</v>
      </c>
      <c r="L264" s="47">
        <v>0</v>
      </c>
      <c r="M264" s="47">
        <v>0</v>
      </c>
      <c r="N264" s="47">
        <v>0</v>
      </c>
    </row>
    <row r="265" spans="1:16" x14ac:dyDescent="0.2">
      <c r="B265" s="27" t="s">
        <v>106</v>
      </c>
      <c r="C265" s="27"/>
      <c r="D265" s="27"/>
      <c r="E265" s="27"/>
      <c r="F265" s="70"/>
      <c r="G265" s="70"/>
      <c r="H265" s="70"/>
      <c r="I265" s="70"/>
      <c r="J265" s="82">
        <v>0</v>
      </c>
      <c r="K265" s="82">
        <v>0</v>
      </c>
      <c r="L265" s="82">
        <v>0</v>
      </c>
      <c r="M265" s="82">
        <v>0</v>
      </c>
      <c r="N265" s="82">
        <v>0</v>
      </c>
    </row>
    <row r="266" spans="1:16" x14ac:dyDescent="0.2">
      <c r="F266" s="43"/>
      <c r="G266" s="43"/>
      <c r="H266" s="43"/>
      <c r="I266" s="43"/>
      <c r="J266" s="43"/>
      <c r="K266" s="43"/>
      <c r="L266" s="43"/>
      <c r="M266" s="43"/>
      <c r="N266" s="43"/>
    </row>
    <row r="267" spans="1:16" x14ac:dyDescent="0.2">
      <c r="A267" t="s">
        <v>10</v>
      </c>
      <c r="B267" s="1" t="s">
        <v>25</v>
      </c>
      <c r="C267" s="2"/>
      <c r="D267" s="2"/>
      <c r="E267" s="3" t="s">
        <v>1</v>
      </c>
      <c r="F267" s="3" t="s">
        <v>2</v>
      </c>
      <c r="G267" s="3" t="s">
        <v>3</v>
      </c>
      <c r="H267" s="3" t="s">
        <v>4</v>
      </c>
      <c r="I267" s="3" t="s">
        <v>5</v>
      </c>
      <c r="J267" s="3" t="s">
        <v>12</v>
      </c>
      <c r="K267" s="3" t="s">
        <v>13</v>
      </c>
      <c r="L267" s="3" t="s">
        <v>14</v>
      </c>
      <c r="M267" s="3" t="s">
        <v>15</v>
      </c>
      <c r="N267" s="3" t="s">
        <v>16</v>
      </c>
      <c r="O267" s="3"/>
      <c r="P267" s="3"/>
    </row>
    <row r="269" spans="1:16" x14ac:dyDescent="0.2">
      <c r="B269" t="s">
        <v>107</v>
      </c>
      <c r="F269" s="6">
        <v>2.9087261785356068E-2</v>
      </c>
      <c r="G269" s="6">
        <v>2.2907488986784141E-2</v>
      </c>
      <c r="H269" s="6">
        <v>3.6259730022662334E-2</v>
      </c>
      <c r="I269" s="6">
        <v>2.4476249740717694E-2</v>
      </c>
      <c r="J269" s="5">
        <v>2.818268263388006E-2</v>
      </c>
      <c r="K269" s="5">
        <v>2.818268263388006E-2</v>
      </c>
      <c r="L269" s="5">
        <v>2.818268263388006E-2</v>
      </c>
      <c r="M269" s="5">
        <v>2.818268263388006E-2</v>
      </c>
      <c r="N269" s="5">
        <v>2.818268263388006E-2</v>
      </c>
    </row>
    <row r="270" spans="1:16" x14ac:dyDescent="0.2">
      <c r="B270" s="24" t="s">
        <v>108</v>
      </c>
      <c r="C270" s="24"/>
      <c r="D270" s="24"/>
      <c r="E270" s="76">
        <v>2000</v>
      </c>
      <c r="F270" s="76">
        <v>1988</v>
      </c>
      <c r="G270" s="76">
        <v>2552</v>
      </c>
      <c r="H270" s="76">
        <v>7597</v>
      </c>
      <c r="I270" s="76">
        <v>11687</v>
      </c>
      <c r="J270" s="76">
        <v>11859.106093545501</v>
      </c>
      <c r="K270" s="76">
        <v>12071.18588133593</v>
      </c>
      <c r="L270" s="76">
        <v>12332.523730930099</v>
      </c>
      <c r="M270" s="76">
        <v>12654.560415057647</v>
      </c>
      <c r="N270" s="76">
        <v>13051.393962455826</v>
      </c>
    </row>
    <row r="271" spans="1:16" x14ac:dyDescent="0.2">
      <c r="B271" s="27" t="s">
        <v>109</v>
      </c>
      <c r="C271" s="27"/>
      <c r="D271" s="27"/>
      <c r="E271" s="29">
        <v>61</v>
      </c>
      <c r="F271" s="29">
        <v>58</v>
      </c>
      <c r="G271" s="29">
        <v>52</v>
      </c>
      <c r="H271" s="29">
        <v>184</v>
      </c>
      <c r="I271" s="29">
        <v>236</v>
      </c>
      <c r="J271" s="29">
        <v>331.79621764903112</v>
      </c>
      <c r="K271" s="29">
        <v>337.20991203208513</v>
      </c>
      <c r="L271" s="29">
        <v>343.88100154593087</v>
      </c>
      <c r="M271" s="29">
        <v>352.10153121621437</v>
      </c>
      <c r="N271" s="29">
        <v>362.23137701123102</v>
      </c>
    </row>
    <row r="273" spans="1:16" x14ac:dyDescent="0.2">
      <c r="A273" t="s">
        <v>10</v>
      </c>
      <c r="B273" s="1" t="s">
        <v>24</v>
      </c>
      <c r="C273" s="2"/>
      <c r="D273" s="2"/>
      <c r="E273" s="3" t="s">
        <v>1</v>
      </c>
      <c r="F273" s="3" t="s">
        <v>2</v>
      </c>
      <c r="G273" s="3" t="s">
        <v>3</v>
      </c>
      <c r="H273" s="3" t="s">
        <v>4</v>
      </c>
      <c r="I273" s="3" t="s">
        <v>5</v>
      </c>
      <c r="J273" s="3" t="s">
        <v>12</v>
      </c>
      <c r="K273" s="3" t="s">
        <v>13</v>
      </c>
      <c r="L273" s="3" t="s">
        <v>14</v>
      </c>
      <c r="M273" s="3" t="s">
        <v>15</v>
      </c>
      <c r="N273" s="3" t="s">
        <v>16</v>
      </c>
      <c r="O273" s="3"/>
      <c r="P273" s="3"/>
    </row>
    <row r="275" spans="1:16" x14ac:dyDescent="0.2">
      <c r="B275" t="s">
        <v>110</v>
      </c>
      <c r="E275" s="52">
        <v>4872</v>
      </c>
      <c r="F275" s="52">
        <v>7108</v>
      </c>
      <c r="G275" s="52">
        <v>9472</v>
      </c>
      <c r="H275" s="52">
        <v>14036</v>
      </c>
      <c r="I275" s="52">
        <v>16480</v>
      </c>
      <c r="J275" s="52">
        <v>29333</v>
      </c>
      <c r="K275" s="52">
        <v>35989.674510840399</v>
      </c>
      <c r="L275" s="52">
        <v>44060.935069440151</v>
      </c>
      <c r="M275" s="52">
        <v>53275.207341537112</v>
      </c>
      <c r="N275" s="52">
        <v>63987.090247619417</v>
      </c>
    </row>
    <row r="276" spans="1:16" x14ac:dyDescent="0.2">
      <c r="B276" s="24" t="s">
        <v>111</v>
      </c>
      <c r="C276" s="24"/>
      <c r="D276" s="24"/>
      <c r="E276" s="78">
        <v>1.416256157635468E-2</v>
      </c>
      <c r="F276" s="78">
        <v>1.9133370849746763E-2</v>
      </c>
      <c r="G276" s="78">
        <v>1.8792229729729729E-2</v>
      </c>
      <c r="H276" s="78">
        <v>4.0609860359076657E-3</v>
      </c>
      <c r="I276" s="78">
        <v>1.7597087378640776E-3</v>
      </c>
      <c r="J276" s="78">
        <v>1.1581771385920583E-2</v>
      </c>
      <c r="K276" s="78">
        <v>1.1581771385920583E-2</v>
      </c>
      <c r="L276" s="78">
        <v>1.1581771385920583E-2</v>
      </c>
      <c r="M276" s="78">
        <v>1.1581771385920583E-2</v>
      </c>
      <c r="N276" s="78">
        <v>1.1581771385920583E-2</v>
      </c>
    </row>
    <row r="277" spans="1:16" x14ac:dyDescent="0.2">
      <c r="B277" s="27" t="s">
        <v>24</v>
      </c>
      <c r="E277" s="29">
        <v>69</v>
      </c>
      <c r="F277" s="29">
        <v>136</v>
      </c>
      <c r="G277" s="29">
        <v>178</v>
      </c>
      <c r="H277" s="29">
        <v>57</v>
      </c>
      <c r="I277" s="29">
        <v>29</v>
      </c>
      <c r="J277" s="29">
        <v>265.29784625158982</v>
      </c>
      <c r="K277" s="29">
        <v>378.27614125072756</v>
      </c>
      <c r="L277" s="29">
        <v>463.56392973119671</v>
      </c>
      <c r="M277" s="29">
        <v>563.66247449567368</v>
      </c>
      <c r="N277" s="29">
        <v>679.05256143269867</v>
      </c>
    </row>
    <row r="279" spans="1:16" x14ac:dyDescent="0.2">
      <c r="A279" t="s">
        <v>10</v>
      </c>
      <c r="B279" s="1" t="s">
        <v>168</v>
      </c>
      <c r="C279" s="2"/>
      <c r="D279" s="2"/>
      <c r="E279" s="3" t="s">
        <v>1</v>
      </c>
      <c r="F279" s="3" t="s">
        <v>2</v>
      </c>
      <c r="G279" s="3" t="s">
        <v>3</v>
      </c>
      <c r="H279" s="3" t="s">
        <v>4</v>
      </c>
      <c r="I279" s="3" t="s">
        <v>5</v>
      </c>
      <c r="J279" s="3" t="s">
        <v>12</v>
      </c>
      <c r="K279" s="3" t="s">
        <v>13</v>
      </c>
      <c r="L279" s="3" t="s">
        <v>14</v>
      </c>
      <c r="M279" s="3" t="s">
        <v>15</v>
      </c>
      <c r="N279" s="3" t="s">
        <v>16</v>
      </c>
      <c r="O279" s="3"/>
      <c r="P279" s="3"/>
    </row>
    <row r="280" spans="1:16" x14ac:dyDescent="0.2">
      <c r="E280" s="53"/>
      <c r="F280" s="53"/>
      <c r="G280" s="53"/>
      <c r="H280" s="53"/>
      <c r="I280" s="53"/>
    </row>
    <row r="281" spans="1:16" x14ac:dyDescent="0.2">
      <c r="B281" s="27" t="s">
        <v>169</v>
      </c>
      <c r="C281" s="27"/>
      <c r="D281" s="27"/>
      <c r="E281" s="27"/>
      <c r="F281" s="27"/>
      <c r="G281" s="27"/>
      <c r="H281" s="27"/>
      <c r="I281" s="27"/>
      <c r="J281" s="70">
        <v>2496</v>
      </c>
      <c r="K281" s="70">
        <v>2512.2423593142298</v>
      </c>
      <c r="L281" s="70">
        <v>2523.323369276327</v>
      </c>
      <c r="M281" s="70">
        <v>2528.1550591517307</v>
      </c>
      <c r="N281" s="70">
        <v>2525.2962200719089</v>
      </c>
    </row>
    <row r="282" spans="1:16" x14ac:dyDescent="0.2">
      <c r="B282" t="s">
        <v>172</v>
      </c>
      <c r="I282" s="41">
        <v>56.23</v>
      </c>
      <c r="J282" s="41">
        <v>56.23</v>
      </c>
      <c r="K282" s="41">
        <v>56.23</v>
      </c>
      <c r="L282" s="41">
        <v>56.23</v>
      </c>
      <c r="M282" s="41">
        <v>56.23</v>
      </c>
      <c r="N282" s="41">
        <v>56.23</v>
      </c>
    </row>
    <row r="283" spans="1:16" x14ac:dyDescent="0.2">
      <c r="B283" t="s">
        <v>170</v>
      </c>
      <c r="J283" s="34">
        <v>21.671705495287213</v>
      </c>
      <c r="K283" s="34">
        <v>21.671705495287213</v>
      </c>
      <c r="L283" s="34">
        <v>21.671705495287213</v>
      </c>
      <c r="M283" s="34">
        <v>21.671705495287213</v>
      </c>
      <c r="N283" s="34">
        <v>21.671705495287213</v>
      </c>
    </row>
    <row r="284" spans="1:16" x14ac:dyDescent="0.2">
      <c r="B284" t="s">
        <v>171</v>
      </c>
      <c r="J284" s="34">
        <v>-21.175389218581977</v>
      </c>
      <c r="K284" s="34">
        <v>-26.336738570714935</v>
      </c>
      <c r="L284" s="34">
        <v>-32.586058657408039</v>
      </c>
      <c r="M284" s="34">
        <v>-40.276587612633719</v>
      </c>
      <c r="N284" s="34">
        <v>-49.736983035787731</v>
      </c>
    </row>
    <row r="285" spans="1:16" x14ac:dyDescent="0.2">
      <c r="B285" s="24" t="s">
        <v>173</v>
      </c>
      <c r="C285" s="24"/>
      <c r="D285" s="24"/>
      <c r="E285" s="24"/>
      <c r="F285" s="24"/>
      <c r="G285" s="24"/>
      <c r="H285" s="24"/>
      <c r="I285" s="24"/>
      <c r="J285" s="81">
        <v>15.746043037524453</v>
      </c>
      <c r="K285" s="81">
        <v>15.746043037524453</v>
      </c>
      <c r="L285" s="81">
        <v>15.746043037524453</v>
      </c>
      <c r="M285" s="81">
        <v>15.746043037524453</v>
      </c>
      <c r="N285" s="81">
        <v>15.746043037524453</v>
      </c>
    </row>
    <row r="286" spans="1:16" x14ac:dyDescent="0.2">
      <c r="B286" s="27" t="s">
        <v>174</v>
      </c>
      <c r="C286" s="27"/>
      <c r="D286" s="27"/>
      <c r="E286" s="70">
        <v>599</v>
      </c>
      <c r="F286" s="70">
        <v>608</v>
      </c>
      <c r="G286" s="70">
        <v>2439</v>
      </c>
      <c r="H286" s="70">
        <v>2467</v>
      </c>
      <c r="I286" s="70">
        <v>2496</v>
      </c>
      <c r="J286" s="83">
        <v>2512.2423593142298</v>
      </c>
      <c r="K286" s="83">
        <v>2523.323369276327</v>
      </c>
      <c r="L286" s="83">
        <v>2528.1550591517307</v>
      </c>
      <c r="M286" s="83">
        <v>2525.2962200719089</v>
      </c>
      <c r="N286" s="83">
        <v>2512.9769855689328</v>
      </c>
    </row>
    <row r="287" spans="1:16" x14ac:dyDescent="0.2">
      <c r="B287" s="24" t="s">
        <v>175</v>
      </c>
      <c r="C287" s="24"/>
      <c r="D287" s="24"/>
      <c r="E287" s="76">
        <v>33</v>
      </c>
      <c r="F287" s="76">
        <v>17</v>
      </c>
      <c r="G287" s="76">
        <v>33</v>
      </c>
      <c r="H287" s="76">
        <v>43</v>
      </c>
      <c r="I287" s="76">
        <v>39</v>
      </c>
      <c r="J287" s="76">
        <v>39</v>
      </c>
      <c r="K287" s="76">
        <v>39</v>
      </c>
      <c r="L287" s="76">
        <v>39</v>
      </c>
      <c r="M287" s="76">
        <v>39</v>
      </c>
      <c r="N287" s="76">
        <v>39</v>
      </c>
    </row>
    <row r="288" spans="1:16" x14ac:dyDescent="0.2">
      <c r="B288" s="27" t="s">
        <v>176</v>
      </c>
      <c r="C288" s="27"/>
      <c r="D288" s="27"/>
      <c r="E288" s="70">
        <v>632</v>
      </c>
      <c r="F288" s="70">
        <v>625</v>
      </c>
      <c r="G288" s="70">
        <v>2472</v>
      </c>
      <c r="H288" s="70">
        <v>2510</v>
      </c>
      <c r="I288" s="70">
        <v>2535</v>
      </c>
      <c r="J288" s="70">
        <v>2551.2423593142298</v>
      </c>
      <c r="K288" s="70">
        <v>2562.323369276327</v>
      </c>
      <c r="L288" s="70">
        <v>2567.1550591517307</v>
      </c>
      <c r="M288" s="70">
        <v>2564.2962200719089</v>
      </c>
      <c r="N288" s="70">
        <v>2551.9769855689328</v>
      </c>
    </row>
  </sheetData>
  <mergeCells count="8">
    <mergeCell ref="J61:L61"/>
    <mergeCell ref="B2:B3"/>
    <mergeCell ref="C2:C3"/>
    <mergeCell ref="D2:D3"/>
    <mergeCell ref="E2:F3"/>
    <mergeCell ref="G2:G3"/>
    <mergeCell ref="D61:F61"/>
    <mergeCell ref="G61:I61"/>
  </mergeCells>
  <conditionalFormatting sqref="E2:G4 E5:F18">
    <cfRule type="containsText" dxfId="5" priority="4" operator="containsText" text="BUY">
      <formula>NOT(ISERROR(SEARCH("BUY",E2)))</formula>
    </cfRule>
    <cfRule type="containsText" dxfId="4" priority="5" operator="containsText" text="HOLD">
      <formula>NOT(ISERROR(SEARCH("HOLD",E2)))</formula>
    </cfRule>
    <cfRule type="containsText" dxfId="3" priority="6" operator="containsText" text="SELL">
      <formula>NOT(ISERROR(SEARCH("SELL",E2)))</formula>
    </cfRule>
  </conditionalFormatting>
  <conditionalFormatting sqref="K5">
    <cfRule type="containsText" dxfId="2" priority="1" operator="containsText" text="BUY">
      <formula>NOT(ISERROR(SEARCH("BUY",K5)))</formula>
    </cfRule>
    <cfRule type="containsText" dxfId="1" priority="2" operator="containsText" text="HOLD">
      <formula>NOT(ISERROR(SEARCH("HOLD",K5)))</formula>
    </cfRule>
    <cfRule type="containsText" dxfId="0" priority="3" operator="containsText" text="SELL">
      <formula>NOT(ISERROR(SEARCH("SELL",K5)))</formula>
    </cfRule>
  </conditionalFormatting>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1F66-33D5-4059-85B7-7FFC5348ADBD}">
  <dimension ref="A1:AA86"/>
  <sheetViews>
    <sheetView topLeftCell="I1" workbookViewId="0">
      <selection activeCell="AC13" sqref="AC13:AC14"/>
    </sheetView>
  </sheetViews>
  <sheetFormatPr baseColWidth="10" defaultColWidth="8.83203125" defaultRowHeight="15" x14ac:dyDescent="0.2"/>
  <cols>
    <col min="1" max="1" width="11.5" customWidth="1"/>
    <col min="2" max="2" width="20" style="61" bestFit="1" customWidth="1"/>
    <col min="3" max="3" width="15.33203125" style="61" bestFit="1" customWidth="1"/>
    <col min="4" max="4" width="17.6640625" style="61" bestFit="1" customWidth="1"/>
    <col min="5" max="5" width="17.6640625" style="61" customWidth="1"/>
    <col min="6" max="6" width="18.33203125" style="61" bestFit="1" customWidth="1"/>
    <col min="7" max="7" width="3.6640625" style="61" customWidth="1"/>
    <col min="8" max="8" width="16.33203125" bestFit="1" customWidth="1"/>
    <col min="9" max="9" width="11.5" bestFit="1" customWidth="1"/>
    <col min="10" max="10" width="14" bestFit="1" customWidth="1"/>
    <col min="11" max="11" width="14" customWidth="1"/>
    <col min="12" max="12" width="11" bestFit="1" customWidth="1"/>
    <col min="13" max="13" width="13.5" bestFit="1" customWidth="1"/>
    <col min="14" max="14" width="3.6640625" customWidth="1"/>
    <col min="15" max="15" width="22.6640625" bestFit="1" customWidth="1"/>
    <col min="16" max="16" width="18" bestFit="1" customWidth="1"/>
    <col min="17" max="17" width="20.33203125" bestFit="1" customWidth="1"/>
    <col min="18" max="18" width="20" bestFit="1" customWidth="1"/>
    <col min="19" max="19" width="17.5" bestFit="1" customWidth="1"/>
    <col min="25" max="25" width="9.5" bestFit="1" customWidth="1"/>
  </cols>
  <sheetData>
    <row r="1" spans="1:27" x14ac:dyDescent="0.2">
      <c r="A1" s="1" t="s">
        <v>318</v>
      </c>
      <c r="B1" s="110"/>
      <c r="C1" s="110"/>
      <c r="D1" s="110"/>
      <c r="E1" s="110"/>
      <c r="F1" s="110"/>
      <c r="G1" s="110"/>
      <c r="H1" s="2"/>
      <c r="I1" s="2"/>
      <c r="J1" s="2"/>
      <c r="K1" s="2"/>
      <c r="L1" s="2"/>
      <c r="M1" s="2"/>
      <c r="N1" s="2"/>
      <c r="O1" s="2"/>
      <c r="P1" s="2"/>
      <c r="Q1" s="2"/>
      <c r="R1" s="2"/>
      <c r="S1" s="2"/>
      <c r="T1" s="2"/>
      <c r="U1" s="2"/>
      <c r="V1" s="2"/>
      <c r="W1" s="2"/>
      <c r="X1" s="2"/>
    </row>
    <row r="2" spans="1:27" x14ac:dyDescent="0.2">
      <c r="A2" s="44" t="s">
        <v>319</v>
      </c>
      <c r="B2" s="111" t="s">
        <v>320</v>
      </c>
      <c r="C2" s="111" t="s">
        <v>321</v>
      </c>
      <c r="D2" s="111" t="s">
        <v>322</v>
      </c>
      <c r="E2" s="111" t="s">
        <v>343</v>
      </c>
      <c r="F2" s="111" t="s">
        <v>323</v>
      </c>
      <c r="G2" s="111"/>
      <c r="H2" s="45" t="s">
        <v>324</v>
      </c>
      <c r="I2" s="45" t="s">
        <v>325</v>
      </c>
      <c r="J2" s="45" t="s">
        <v>326</v>
      </c>
      <c r="K2" s="45" t="s">
        <v>344</v>
      </c>
      <c r="L2" s="45" t="s">
        <v>327</v>
      </c>
      <c r="M2" s="45" t="s">
        <v>328</v>
      </c>
      <c r="N2" s="45"/>
      <c r="O2" s="45" t="s">
        <v>329</v>
      </c>
      <c r="P2" s="45" t="s">
        <v>330</v>
      </c>
      <c r="Q2" s="45" t="s">
        <v>331</v>
      </c>
      <c r="R2" s="45" t="s">
        <v>345</v>
      </c>
      <c r="S2" s="45" t="s">
        <v>332</v>
      </c>
      <c r="T2" s="45"/>
      <c r="U2" s="45"/>
      <c r="V2" s="45"/>
      <c r="W2" s="45"/>
      <c r="X2" s="45"/>
    </row>
    <row r="3" spans="1:27" x14ac:dyDescent="0.2">
      <c r="A3" s="112">
        <v>42736</v>
      </c>
      <c r="B3" s="113">
        <v>30.937142999999999</v>
      </c>
      <c r="C3" s="113">
        <v>31.912925999999999</v>
      </c>
      <c r="D3" s="34">
        <v>26.935328999999999</v>
      </c>
      <c r="E3" s="34">
        <v>24.017880999999999</v>
      </c>
      <c r="F3" s="34">
        <v>207.59848</v>
      </c>
      <c r="G3" s="34"/>
      <c r="M3" s="6"/>
      <c r="N3" s="6"/>
      <c r="U3" s="67" t="s">
        <v>333</v>
      </c>
      <c r="V3" s="24"/>
      <c r="W3" s="24"/>
      <c r="X3" s="24"/>
      <c r="AA3" t="s">
        <v>375</v>
      </c>
    </row>
    <row r="4" spans="1:27" x14ac:dyDescent="0.2">
      <c r="A4" s="112">
        <v>42767</v>
      </c>
      <c r="B4" s="113">
        <v>33.311976999999999</v>
      </c>
      <c r="C4" s="113">
        <v>31.375541999999999</v>
      </c>
      <c r="D4" s="34">
        <v>25.035693999999999</v>
      </c>
      <c r="E4" s="34">
        <v>23.350442999999999</v>
      </c>
      <c r="F4" s="34">
        <v>215.755325</v>
      </c>
      <c r="G4" s="34"/>
      <c r="H4" s="6">
        <f>B4/B3-1</f>
        <v>7.6763196911880272E-2</v>
      </c>
      <c r="I4" s="6">
        <f t="shared" ref="I4:L4" si="0">C4/C3-1</f>
        <v>-1.6839070162353642E-2</v>
      </c>
      <c r="J4" s="6">
        <f>D4/D3-1</f>
        <v>-7.0525776759585934E-2</v>
      </c>
      <c r="K4" s="6">
        <f t="shared" si="0"/>
        <v>-2.7789212545436537E-2</v>
      </c>
      <c r="L4" s="6">
        <f t="shared" si="0"/>
        <v>3.9291448569372944E-2</v>
      </c>
      <c r="M4" s="6">
        <v>5.9999999999999995E-4</v>
      </c>
      <c r="N4" s="6"/>
      <c r="O4" s="5">
        <f>H4-$M4</f>
        <v>7.6163196911880268E-2</v>
      </c>
      <c r="P4" s="5">
        <f t="shared" ref="P4:S4" si="1">I4-$M4</f>
        <v>-1.7439070162353642E-2</v>
      </c>
      <c r="Q4" s="5">
        <f>J4-$M4</f>
        <v>-7.1125776759585937E-2</v>
      </c>
      <c r="R4" s="5">
        <f t="shared" si="1"/>
        <v>-2.8389212545436537E-2</v>
      </c>
      <c r="S4" s="5">
        <f t="shared" si="1"/>
        <v>3.8691448569372941E-2</v>
      </c>
      <c r="U4" t="s">
        <v>318</v>
      </c>
      <c r="X4" s="88">
        <f>SLOPE(O4:O62,S4:S62)</f>
        <v>1.4855448892824443</v>
      </c>
    </row>
    <row r="5" spans="1:27" x14ac:dyDescent="0.2">
      <c r="A5" s="112">
        <v>42795</v>
      </c>
      <c r="B5" s="113">
        <v>34.061774999999997</v>
      </c>
      <c r="C5" s="113">
        <v>31.486056999999999</v>
      </c>
      <c r="D5" s="34">
        <v>26.907568000000001</v>
      </c>
      <c r="E5" s="34">
        <v>28.789580999999998</v>
      </c>
      <c r="F5" s="34">
        <v>215.08931000000001</v>
      </c>
      <c r="G5" s="34"/>
      <c r="H5" s="6">
        <f t="shared" ref="H5:H62" si="2">B5/B4-1</f>
        <v>2.2508360881733358E-2</v>
      </c>
      <c r="I5" s="6">
        <f t="shared" ref="I5:I62" si="3">C5/C4-1</f>
        <v>3.5223295903541452E-3</v>
      </c>
      <c r="J5" s="6">
        <f t="shared" ref="J5:J62" si="4">D5/D4-1</f>
        <v>7.476820894200098E-2</v>
      </c>
      <c r="K5" s="6">
        <f t="shared" ref="K5:K62" si="5">E5/E4-1</f>
        <v>0.2329351096251151</v>
      </c>
      <c r="L5" s="6">
        <f t="shared" ref="L5:L62" si="6">F5/F4-1</f>
        <v>-3.0868994774519987E-3</v>
      </c>
      <c r="M5" s="6">
        <v>5.9999999999999995E-4</v>
      </c>
      <c r="N5" s="6"/>
      <c r="O5" s="5">
        <f t="shared" ref="O5:O62" si="7">H5-$M5</f>
        <v>2.1908360881733358E-2</v>
      </c>
      <c r="P5" s="5">
        <f t="shared" ref="P5:P62" si="8">I5-$M5</f>
        <v>2.9223295903541453E-3</v>
      </c>
      <c r="Q5" s="5">
        <f t="shared" ref="Q5:Q62" si="9">J5-$M5</f>
        <v>7.4168208942000977E-2</v>
      </c>
      <c r="R5" s="5">
        <f t="shared" ref="R5:R62" si="10">K5-$M5</f>
        <v>0.23233510962511511</v>
      </c>
      <c r="S5" s="5">
        <f>L5-$M5</f>
        <v>-3.6868994774519985E-3</v>
      </c>
      <c r="U5" t="s">
        <v>334</v>
      </c>
      <c r="X5" s="5">
        <v>3.0499999999999999E-2</v>
      </c>
      <c r="Y5" s="147">
        <v>44747</v>
      </c>
    </row>
    <row r="6" spans="1:27" ht="16" thickBot="1" x14ac:dyDescent="0.25">
      <c r="A6" s="112">
        <v>42826</v>
      </c>
      <c r="B6" s="113">
        <v>34.892780000000002</v>
      </c>
      <c r="C6" s="113">
        <v>31.555890999999999</v>
      </c>
      <c r="D6" s="34">
        <v>25.763881999999999</v>
      </c>
      <c r="E6" s="34">
        <v>27.56428</v>
      </c>
      <c r="F6" s="34">
        <v>218.16928100000001</v>
      </c>
      <c r="G6" s="34"/>
      <c r="H6" s="6">
        <f t="shared" si="2"/>
        <v>2.4396996339738797E-2</v>
      </c>
      <c r="I6" s="6">
        <f t="shared" si="3"/>
        <v>2.2179341160437627E-3</v>
      </c>
      <c r="J6" s="6">
        <f t="shared" si="4"/>
        <v>-4.2504250105397934E-2</v>
      </c>
      <c r="K6" s="6">
        <f t="shared" si="5"/>
        <v>-4.2560570784270779E-2</v>
      </c>
      <c r="L6" s="6">
        <f t="shared" si="6"/>
        <v>1.431949825865364E-2</v>
      </c>
      <c r="M6" s="6">
        <v>7.000000000000001E-4</v>
      </c>
      <c r="N6" s="6"/>
      <c r="O6" s="5">
        <f t="shared" si="7"/>
        <v>2.3696996339738798E-2</v>
      </c>
      <c r="P6" s="5">
        <f t="shared" si="8"/>
        <v>1.5179341160437626E-3</v>
      </c>
      <c r="Q6" s="5">
        <f t="shared" si="9"/>
        <v>-4.3204250105397933E-2</v>
      </c>
      <c r="R6" s="5">
        <f t="shared" si="10"/>
        <v>-4.3260570784270778E-2</v>
      </c>
      <c r="S6" s="5">
        <f t="shared" ref="S6:S62" si="11">L6-$M6</f>
        <v>1.3619498258653641E-2</v>
      </c>
      <c r="U6" t="s">
        <v>335</v>
      </c>
      <c r="X6" s="5">
        <v>5.6899999999999999E-2</v>
      </c>
      <c r="Y6" t="s">
        <v>376</v>
      </c>
    </row>
    <row r="7" spans="1:27" ht="16" thickBot="1" x14ac:dyDescent="0.25">
      <c r="A7" s="112">
        <v>42856</v>
      </c>
      <c r="B7" s="113">
        <v>38.456843999999997</v>
      </c>
      <c r="C7" s="113">
        <v>31.520979000000001</v>
      </c>
      <c r="D7" s="34">
        <v>35.656905999999999</v>
      </c>
      <c r="E7" s="34">
        <v>30.652435000000001</v>
      </c>
      <c r="F7" s="34">
        <v>221.248322</v>
      </c>
      <c r="G7" s="34"/>
      <c r="H7" s="6">
        <f t="shared" si="2"/>
        <v>0.10214330873034472</v>
      </c>
      <c r="I7" s="6">
        <f t="shared" si="3"/>
        <v>-1.1063544363237865E-3</v>
      </c>
      <c r="J7" s="6">
        <f t="shared" si="4"/>
        <v>0.38398809620382512</v>
      </c>
      <c r="K7" s="6">
        <f t="shared" si="5"/>
        <v>0.11203466950705776</v>
      </c>
      <c r="L7" s="6">
        <f t="shared" si="6"/>
        <v>1.4113082217106498E-2</v>
      </c>
      <c r="M7" s="6">
        <v>8.9999999999999998E-4</v>
      </c>
      <c r="N7" s="6"/>
      <c r="O7" s="5">
        <f t="shared" si="7"/>
        <v>0.10124330873034472</v>
      </c>
      <c r="P7" s="5">
        <f t="shared" si="8"/>
        <v>-2.0063544363237863E-3</v>
      </c>
      <c r="Q7" s="5">
        <f t="shared" si="9"/>
        <v>0.38308809620382511</v>
      </c>
      <c r="R7" s="5">
        <f t="shared" si="10"/>
        <v>0.11113466950705776</v>
      </c>
      <c r="S7" s="5">
        <f t="shared" si="11"/>
        <v>1.3213082217106499E-2</v>
      </c>
      <c r="U7" s="114" t="s">
        <v>336</v>
      </c>
      <c r="V7" s="92"/>
      <c r="W7" s="92"/>
      <c r="X7" s="115">
        <f>X5+X4*X6</f>
        <v>0.11502750420017108</v>
      </c>
    </row>
    <row r="8" spans="1:27" x14ac:dyDescent="0.2">
      <c r="A8" s="112">
        <v>42887</v>
      </c>
      <c r="B8" s="113">
        <v>35.794758000000002</v>
      </c>
      <c r="C8" s="113">
        <v>29.671268000000001</v>
      </c>
      <c r="D8" s="34">
        <v>35.746395</v>
      </c>
      <c r="E8" s="34">
        <v>29.745913000000002</v>
      </c>
      <c r="F8" s="34">
        <v>221.578247</v>
      </c>
      <c r="G8" s="34"/>
      <c r="H8" s="6">
        <f t="shared" si="2"/>
        <v>-6.9222685044045607E-2</v>
      </c>
      <c r="I8" s="6">
        <f t="shared" si="3"/>
        <v>-5.8681901980265239E-2</v>
      </c>
      <c r="J8" s="6">
        <f t="shared" si="4"/>
        <v>2.5097242032161571E-3</v>
      </c>
      <c r="K8" s="6">
        <f t="shared" si="5"/>
        <v>-2.9574224690469109E-2</v>
      </c>
      <c r="L8" s="6">
        <f t="shared" si="6"/>
        <v>1.4911977501912421E-3</v>
      </c>
      <c r="M8" s="6">
        <v>8.9999999999999998E-4</v>
      </c>
      <c r="N8" s="6"/>
      <c r="O8" s="5">
        <f t="shared" si="7"/>
        <v>-7.0122685044045605E-2</v>
      </c>
      <c r="P8" s="5">
        <f t="shared" si="8"/>
        <v>-5.9581901980265237E-2</v>
      </c>
      <c r="Q8" s="5">
        <f t="shared" si="9"/>
        <v>1.6097242032161571E-3</v>
      </c>
      <c r="R8" s="5">
        <f t="shared" si="10"/>
        <v>-3.047422469046911E-2</v>
      </c>
      <c r="S8" s="5">
        <f t="shared" si="11"/>
        <v>5.9119775019124215E-4</v>
      </c>
    </row>
    <row r="9" spans="1:27" x14ac:dyDescent="0.2">
      <c r="A9" s="112">
        <v>42917</v>
      </c>
      <c r="B9" s="113">
        <v>37.121189000000001</v>
      </c>
      <c r="C9" s="113">
        <v>31.192646</v>
      </c>
      <c r="D9" s="34">
        <v>40.185012999999998</v>
      </c>
      <c r="E9" s="34">
        <v>28.012561999999999</v>
      </c>
      <c r="F9" s="34">
        <v>227.23535200000001</v>
      </c>
      <c r="G9" s="34"/>
      <c r="H9" s="6">
        <f t="shared" si="2"/>
        <v>3.7056571244314496E-2</v>
      </c>
      <c r="I9" s="6">
        <f t="shared" si="3"/>
        <v>5.1274451769300899E-2</v>
      </c>
      <c r="J9" s="6">
        <f t="shared" si="4"/>
        <v>0.12416966801827134</v>
      </c>
      <c r="K9" s="6">
        <f t="shared" si="5"/>
        <v>-5.8271904446167144E-2</v>
      </c>
      <c r="L9" s="6">
        <f t="shared" si="6"/>
        <v>2.553095837065622E-2</v>
      </c>
      <c r="M9" s="6">
        <v>8.9999999999999998E-4</v>
      </c>
      <c r="N9" s="6"/>
      <c r="O9" s="5">
        <f t="shared" si="7"/>
        <v>3.6156571244314498E-2</v>
      </c>
      <c r="P9" s="5">
        <f t="shared" si="8"/>
        <v>5.0374451769300901E-2</v>
      </c>
      <c r="Q9" s="5">
        <f t="shared" si="9"/>
        <v>0.12326966801827134</v>
      </c>
      <c r="R9" s="5">
        <f t="shared" si="10"/>
        <v>-5.9171904446167142E-2</v>
      </c>
      <c r="S9" s="5">
        <f t="shared" si="11"/>
        <v>2.4630958370656219E-2</v>
      </c>
    </row>
    <row r="10" spans="1:27" x14ac:dyDescent="0.2">
      <c r="A10" s="112">
        <v>42948</v>
      </c>
      <c r="B10" s="113">
        <v>40.256354999999999</v>
      </c>
      <c r="C10" s="113">
        <v>30.840879000000001</v>
      </c>
      <c r="D10" s="34">
        <v>41.898646999999997</v>
      </c>
      <c r="E10" s="34">
        <v>31.847850999999999</v>
      </c>
      <c r="F10" s="34">
        <v>227.89833100000001</v>
      </c>
      <c r="G10" s="34"/>
      <c r="H10" s="6">
        <f t="shared" si="2"/>
        <v>8.4457585666234847E-2</v>
      </c>
      <c r="I10" s="6">
        <f t="shared" si="3"/>
        <v>-1.1277241436971952E-2</v>
      </c>
      <c r="J10" s="6">
        <f t="shared" si="4"/>
        <v>4.2643609447133857E-2</v>
      </c>
      <c r="K10" s="6">
        <f t="shared" si="5"/>
        <v>0.13691318202169445</v>
      </c>
      <c r="L10" s="6">
        <f t="shared" si="6"/>
        <v>2.9175874007492109E-3</v>
      </c>
      <c r="M10" s="6">
        <v>8.0000000000000004E-4</v>
      </c>
      <c r="N10" s="6"/>
      <c r="O10" s="5">
        <f t="shared" si="7"/>
        <v>8.3657585666234852E-2</v>
      </c>
      <c r="P10" s="5">
        <f t="shared" si="8"/>
        <v>-1.2077241436971952E-2</v>
      </c>
      <c r="Q10" s="5">
        <f t="shared" si="9"/>
        <v>4.1843609447133855E-2</v>
      </c>
      <c r="R10" s="5">
        <f t="shared" si="10"/>
        <v>0.13611318202169445</v>
      </c>
      <c r="S10" s="5">
        <f t="shared" si="11"/>
        <v>2.1175874007492109E-3</v>
      </c>
      <c r="U10" s="67" t="s">
        <v>337</v>
      </c>
      <c r="V10" s="24"/>
      <c r="W10" s="24"/>
      <c r="X10" s="24"/>
    </row>
    <row r="11" spans="1:27" x14ac:dyDescent="0.2">
      <c r="A11" s="112">
        <v>42979</v>
      </c>
      <c r="B11" s="113">
        <v>41.818297999999999</v>
      </c>
      <c r="C11" s="113">
        <v>33.739291999999999</v>
      </c>
      <c r="D11" s="34">
        <v>44.244663000000003</v>
      </c>
      <c r="E11" s="34">
        <v>39.179729000000002</v>
      </c>
      <c r="F11" s="34">
        <v>231.34227000000001</v>
      </c>
      <c r="G11" s="34"/>
      <c r="H11" s="6">
        <f t="shared" si="2"/>
        <v>3.8799911218986294E-2</v>
      </c>
      <c r="I11" s="6">
        <f t="shared" si="3"/>
        <v>9.3979584693419271E-2</v>
      </c>
      <c r="J11" s="6">
        <f t="shared" si="4"/>
        <v>5.5992643390131658E-2</v>
      </c>
      <c r="K11" s="6">
        <f t="shared" si="5"/>
        <v>0.23021578441823287</v>
      </c>
      <c r="L11" s="6">
        <f t="shared" si="6"/>
        <v>1.511173418817191E-2</v>
      </c>
      <c r="M11" s="6">
        <v>8.9999999999999998E-4</v>
      </c>
      <c r="N11" s="6"/>
      <c r="O11" s="5">
        <f t="shared" si="7"/>
        <v>3.7899911218986296E-2</v>
      </c>
      <c r="P11" s="5">
        <f t="shared" si="8"/>
        <v>9.3079584693419273E-2</v>
      </c>
      <c r="Q11" s="5">
        <f t="shared" si="9"/>
        <v>5.509264339013166E-2</v>
      </c>
      <c r="R11" s="5">
        <f t="shared" si="10"/>
        <v>0.22931578441823286</v>
      </c>
      <c r="S11" s="5">
        <f t="shared" si="11"/>
        <v>1.4211734188171911E-2</v>
      </c>
      <c r="U11" t="s">
        <v>318</v>
      </c>
      <c r="X11" s="88">
        <f>SLOPE(P4:P62,S4:S62)</f>
        <v>0.4726040389976649</v>
      </c>
    </row>
    <row r="12" spans="1:27" x14ac:dyDescent="0.2">
      <c r="A12" s="112">
        <v>43009</v>
      </c>
      <c r="B12" s="113">
        <v>44.156548000000001</v>
      </c>
      <c r="C12" s="113">
        <v>40.304642000000001</v>
      </c>
      <c r="D12" s="34">
        <v>51.184421999999998</v>
      </c>
      <c r="E12" s="34">
        <v>44.140704999999997</v>
      </c>
      <c r="F12" s="34">
        <v>237.96878100000001</v>
      </c>
      <c r="G12" s="34"/>
      <c r="H12" s="6">
        <f t="shared" si="2"/>
        <v>5.591451856792462E-2</v>
      </c>
      <c r="I12" s="6">
        <f t="shared" si="3"/>
        <v>0.19459062745003664</v>
      </c>
      <c r="J12" s="6">
        <f t="shared" si="4"/>
        <v>0.1568496295248083</v>
      </c>
      <c r="K12" s="6">
        <f t="shared" si="5"/>
        <v>0.12662098811352163</v>
      </c>
      <c r="L12" s="6">
        <f t="shared" si="6"/>
        <v>2.8643753690149154E-2</v>
      </c>
      <c r="M12" s="6">
        <v>1.1000000000000001E-3</v>
      </c>
      <c r="N12" s="6"/>
      <c r="O12" s="5">
        <f t="shared" si="7"/>
        <v>5.4814518567924624E-2</v>
      </c>
      <c r="P12" s="5">
        <f t="shared" si="8"/>
        <v>0.19349062745003665</v>
      </c>
      <c r="Q12" s="5">
        <f t="shared" si="9"/>
        <v>0.15574962952480831</v>
      </c>
      <c r="R12" s="5">
        <f t="shared" si="10"/>
        <v>0.12552098811352164</v>
      </c>
      <c r="S12" s="5">
        <f t="shared" si="11"/>
        <v>2.7543753690149154E-2</v>
      </c>
      <c r="U12" t="s">
        <v>334</v>
      </c>
      <c r="X12" s="5">
        <v>3.0499999999999999E-2</v>
      </c>
      <c r="Y12" s="147">
        <v>44747</v>
      </c>
    </row>
    <row r="13" spans="1:27" ht="16" thickBot="1" x14ac:dyDescent="0.25">
      <c r="A13" s="112">
        <v>43040</v>
      </c>
      <c r="B13" s="113">
        <v>40.518745000000003</v>
      </c>
      <c r="C13" s="113">
        <v>39.728732999999998</v>
      </c>
      <c r="D13" s="34">
        <v>49.674709</v>
      </c>
      <c r="E13" s="34">
        <v>42.228039000000003</v>
      </c>
      <c r="F13" s="34">
        <v>245.242538</v>
      </c>
      <c r="G13" s="34"/>
      <c r="H13" s="6">
        <f t="shared" si="2"/>
        <v>-8.2384225324860005E-2</v>
      </c>
      <c r="I13" s="6">
        <f t="shared" si="3"/>
        <v>-1.428890002298E-2</v>
      </c>
      <c r="J13" s="6">
        <f t="shared" si="4"/>
        <v>-2.9495556284683588E-2</v>
      </c>
      <c r="K13" s="6">
        <f t="shared" si="5"/>
        <v>-4.3331115803428966E-2</v>
      </c>
      <c r="L13" s="6">
        <f t="shared" si="6"/>
        <v>3.0566013615038079E-2</v>
      </c>
      <c r="M13" s="6">
        <v>1.1000000000000001E-3</v>
      </c>
      <c r="N13" s="6"/>
      <c r="O13" s="5">
        <f t="shared" si="7"/>
        <v>-8.3484225324860009E-2</v>
      </c>
      <c r="P13" s="5">
        <f t="shared" si="8"/>
        <v>-1.538890002298E-2</v>
      </c>
      <c r="Q13" s="5">
        <f t="shared" si="9"/>
        <v>-3.0595556284683589E-2</v>
      </c>
      <c r="R13" s="5">
        <f t="shared" si="10"/>
        <v>-4.4431115803428962E-2</v>
      </c>
      <c r="S13" s="5">
        <f t="shared" si="11"/>
        <v>2.9466013615038079E-2</v>
      </c>
      <c r="U13" t="s">
        <v>335</v>
      </c>
      <c r="X13" s="5">
        <v>5.6899999999999999E-2</v>
      </c>
      <c r="Y13" t="s">
        <v>376</v>
      </c>
    </row>
    <row r="14" spans="1:27" ht="16" thickBot="1" x14ac:dyDescent="0.25">
      <c r="A14" s="112">
        <v>43070</v>
      </c>
      <c r="B14" s="113">
        <v>41.096694999999997</v>
      </c>
      <c r="C14" s="113">
        <v>41.140636000000001</v>
      </c>
      <c r="D14" s="34">
        <v>47.923541999999998</v>
      </c>
      <c r="E14" s="34">
        <v>40.962887000000002</v>
      </c>
      <c r="F14" s="34">
        <v>246.954498</v>
      </c>
      <c r="G14" s="34"/>
      <c r="H14" s="6">
        <f t="shared" si="2"/>
        <v>1.4263768534785504E-2</v>
      </c>
      <c r="I14" s="6">
        <f t="shared" si="3"/>
        <v>3.5538586141169004E-2</v>
      </c>
      <c r="J14" s="6">
        <f t="shared" si="4"/>
        <v>-3.5252687640304092E-2</v>
      </c>
      <c r="K14" s="6">
        <f t="shared" si="5"/>
        <v>-2.9959998852894909E-2</v>
      </c>
      <c r="L14" s="6">
        <f t="shared" si="6"/>
        <v>6.9806813041544125E-3</v>
      </c>
      <c r="M14" s="6">
        <v>1.1999999999999999E-3</v>
      </c>
      <c r="N14" s="6"/>
      <c r="O14" s="5">
        <f t="shared" si="7"/>
        <v>1.3063768534785504E-2</v>
      </c>
      <c r="P14" s="5">
        <f t="shared" si="8"/>
        <v>3.4338586141169004E-2</v>
      </c>
      <c r="Q14" s="5">
        <f t="shared" si="9"/>
        <v>-3.6452687640304092E-2</v>
      </c>
      <c r="R14" s="5">
        <f t="shared" si="10"/>
        <v>-3.1159998852894909E-2</v>
      </c>
      <c r="S14" s="5">
        <f t="shared" si="11"/>
        <v>5.7806813041544128E-3</v>
      </c>
      <c r="U14" s="114" t="s">
        <v>336</v>
      </c>
      <c r="V14" s="92"/>
      <c r="W14" s="92"/>
      <c r="X14" s="115">
        <f>X12+X11*X13</f>
        <v>5.7391169818967136E-2</v>
      </c>
    </row>
    <row r="15" spans="1:27" x14ac:dyDescent="0.2">
      <c r="A15" s="112">
        <v>43101</v>
      </c>
      <c r="B15" s="113">
        <v>44.529221</v>
      </c>
      <c r="C15" s="113">
        <v>42.905330999999997</v>
      </c>
      <c r="D15" s="34">
        <v>60.876511000000001</v>
      </c>
      <c r="E15" s="34">
        <v>43.552956000000002</v>
      </c>
      <c r="F15" s="34">
        <v>262.20614599999999</v>
      </c>
      <c r="G15" s="34"/>
      <c r="H15" s="6">
        <f t="shared" si="2"/>
        <v>8.3523164088985746E-2</v>
      </c>
      <c r="I15" s="6">
        <f t="shared" si="3"/>
        <v>4.2894208052592919E-2</v>
      </c>
      <c r="J15" s="6">
        <f t="shared" si="4"/>
        <v>0.27028404953874241</v>
      </c>
      <c r="K15" s="6">
        <f t="shared" si="5"/>
        <v>6.322964980471224E-2</v>
      </c>
      <c r="L15" s="6">
        <f t="shared" si="6"/>
        <v>6.175893989993253E-2</v>
      </c>
      <c r="M15" s="6">
        <v>1.4000000000000002E-3</v>
      </c>
      <c r="N15" s="6"/>
      <c r="O15" s="5">
        <f t="shared" si="7"/>
        <v>8.2123164088985748E-2</v>
      </c>
      <c r="P15" s="5">
        <f t="shared" si="8"/>
        <v>4.1494208052592921E-2</v>
      </c>
      <c r="Q15" s="5">
        <f t="shared" si="9"/>
        <v>0.2688840495387424</v>
      </c>
      <c r="R15" s="5">
        <f t="shared" si="10"/>
        <v>6.1829649804712242E-2</v>
      </c>
      <c r="S15" s="5">
        <f t="shared" si="11"/>
        <v>6.0358939899932532E-2</v>
      </c>
    </row>
    <row r="16" spans="1:27" x14ac:dyDescent="0.2">
      <c r="A16" s="112">
        <v>43132</v>
      </c>
      <c r="B16" s="113">
        <v>41.587727000000001</v>
      </c>
      <c r="C16" s="113">
        <v>43.930283000000003</v>
      </c>
      <c r="D16" s="34">
        <v>59.935383000000002</v>
      </c>
      <c r="E16" s="34">
        <v>48.623508000000001</v>
      </c>
      <c r="F16" s="34">
        <v>252.67218</v>
      </c>
      <c r="G16" s="34"/>
      <c r="H16" s="6">
        <f t="shared" si="2"/>
        <v>-6.605761192184334E-2</v>
      </c>
      <c r="I16" s="6">
        <f t="shared" si="3"/>
        <v>2.3888686466490672E-2</v>
      </c>
      <c r="J16" s="6">
        <f t="shared" si="4"/>
        <v>-1.5459624484721157E-2</v>
      </c>
      <c r="K16" s="6">
        <f t="shared" si="5"/>
        <v>0.11642268322728766</v>
      </c>
      <c r="L16" s="6">
        <f t="shared" si="6"/>
        <v>-3.6360574095772646E-2</v>
      </c>
      <c r="M16" s="6">
        <v>1.4000000000000002E-3</v>
      </c>
      <c r="N16" s="6"/>
      <c r="O16" s="5">
        <f t="shared" si="7"/>
        <v>-6.7457611921843338E-2</v>
      </c>
      <c r="P16" s="5">
        <f t="shared" si="8"/>
        <v>2.2488686466490673E-2</v>
      </c>
      <c r="Q16" s="5">
        <f t="shared" si="9"/>
        <v>-1.6859624484721156E-2</v>
      </c>
      <c r="R16" s="5">
        <f t="shared" si="10"/>
        <v>0.11502268322728766</v>
      </c>
      <c r="S16" s="5">
        <f t="shared" si="11"/>
        <v>-3.7760574095772645E-2</v>
      </c>
    </row>
    <row r="17" spans="1:25" x14ac:dyDescent="0.2">
      <c r="A17" s="112">
        <v>43160</v>
      </c>
      <c r="B17" s="113">
        <v>42.910857999999998</v>
      </c>
      <c r="C17" s="113">
        <v>46.731808000000001</v>
      </c>
      <c r="D17" s="34">
        <v>57.392817999999998</v>
      </c>
      <c r="E17" s="34">
        <v>51.940787999999998</v>
      </c>
      <c r="F17" s="34">
        <v>244.766006</v>
      </c>
      <c r="G17" s="34"/>
      <c r="H17" s="6">
        <f t="shared" si="2"/>
        <v>3.1815419967530234E-2</v>
      </c>
      <c r="I17" s="6">
        <f t="shared" si="3"/>
        <v>6.3772068119843484E-2</v>
      </c>
      <c r="J17" s="6">
        <f t="shared" si="4"/>
        <v>-4.2421769457951175E-2</v>
      </c>
      <c r="K17" s="6">
        <f t="shared" si="5"/>
        <v>6.8223790023541619E-2</v>
      </c>
      <c r="L17" s="6">
        <f t="shared" si="6"/>
        <v>-3.129024335009889E-2</v>
      </c>
      <c r="M17" s="6">
        <v>1.4000000000000002E-3</v>
      </c>
      <c r="N17" s="6"/>
      <c r="O17" s="5">
        <f t="shared" si="7"/>
        <v>3.0415419967530236E-2</v>
      </c>
      <c r="P17" s="5">
        <f t="shared" si="8"/>
        <v>6.2372068119843485E-2</v>
      </c>
      <c r="Q17" s="5">
        <f t="shared" si="9"/>
        <v>-4.3821769457951174E-2</v>
      </c>
      <c r="R17" s="5">
        <f t="shared" si="10"/>
        <v>6.6823790023541621E-2</v>
      </c>
      <c r="S17" s="5">
        <f t="shared" si="11"/>
        <v>-3.2690243350098888E-2</v>
      </c>
      <c r="U17" s="67" t="s">
        <v>338</v>
      </c>
      <c r="V17" s="24"/>
      <c r="W17" s="24"/>
      <c r="X17" s="24"/>
    </row>
    <row r="18" spans="1:25" x14ac:dyDescent="0.2">
      <c r="A18" s="112">
        <v>43191</v>
      </c>
      <c r="B18" s="113">
        <v>39.294249999999998</v>
      </c>
      <c r="C18" s="113">
        <v>46.319035</v>
      </c>
      <c r="D18" s="34">
        <v>55.734881999999999</v>
      </c>
      <c r="E18" s="34">
        <v>45.804321000000002</v>
      </c>
      <c r="F18" s="34">
        <v>247.016357</v>
      </c>
      <c r="G18" s="34"/>
      <c r="H18" s="6">
        <f t="shared" si="2"/>
        <v>-8.4281885018472447E-2</v>
      </c>
      <c r="I18" s="6">
        <f t="shared" si="3"/>
        <v>-8.8328061263968083E-3</v>
      </c>
      <c r="J18" s="6">
        <f t="shared" si="4"/>
        <v>-2.8887516901505039E-2</v>
      </c>
      <c r="K18" s="6">
        <f t="shared" si="5"/>
        <v>-0.11814350987512923</v>
      </c>
      <c r="L18" s="6">
        <f t="shared" si="6"/>
        <v>9.1938869975269899E-3</v>
      </c>
      <c r="M18" s="6">
        <v>1.6000000000000001E-3</v>
      </c>
      <c r="N18" s="6"/>
      <c r="O18" s="5">
        <f t="shared" si="7"/>
        <v>-8.5881885018472451E-2</v>
      </c>
      <c r="P18" s="5">
        <f t="shared" si="8"/>
        <v>-1.0432806126396809E-2</v>
      </c>
      <c r="Q18" s="5">
        <f t="shared" si="9"/>
        <v>-3.048751690150504E-2</v>
      </c>
      <c r="R18" s="5">
        <f t="shared" si="10"/>
        <v>-0.11974350987512923</v>
      </c>
      <c r="S18" s="5">
        <f t="shared" si="11"/>
        <v>7.59388699752699E-3</v>
      </c>
      <c r="U18" t="s">
        <v>318</v>
      </c>
      <c r="X18" s="144">
        <f>SLOPE(Q4:Q62,S4:S62)</f>
        <v>1.2846060863177828</v>
      </c>
    </row>
    <row r="19" spans="1:25" x14ac:dyDescent="0.2">
      <c r="A19" s="112">
        <v>43221</v>
      </c>
      <c r="B19" s="113">
        <v>45.738388</v>
      </c>
      <c r="C19" s="113">
        <v>49.531410000000001</v>
      </c>
      <c r="D19" s="34">
        <v>62.497925000000002</v>
      </c>
      <c r="E19" s="34">
        <v>57.369965000000001</v>
      </c>
      <c r="F19" s="34">
        <v>253.02113299999999</v>
      </c>
      <c r="G19" s="34"/>
      <c r="H19" s="6">
        <f t="shared" si="2"/>
        <v>0.16399697156708681</v>
      </c>
      <c r="I19" s="6">
        <f t="shared" si="3"/>
        <v>6.9353236741654944E-2</v>
      </c>
      <c r="J19" s="6">
        <f t="shared" si="4"/>
        <v>0.12134309354059458</v>
      </c>
      <c r="K19" s="6">
        <f t="shared" si="5"/>
        <v>0.25250115594989397</v>
      </c>
      <c r="L19" s="6">
        <f t="shared" si="6"/>
        <v>2.4309224186315648E-2</v>
      </c>
      <c r="M19" s="6">
        <v>1.6000000000000001E-3</v>
      </c>
      <c r="N19" s="6"/>
      <c r="O19" s="5">
        <f t="shared" si="7"/>
        <v>0.16239697156708682</v>
      </c>
      <c r="P19" s="5">
        <f t="shared" si="8"/>
        <v>6.775323674165494E-2</v>
      </c>
      <c r="Q19" s="5">
        <f t="shared" si="9"/>
        <v>0.11974309354059458</v>
      </c>
      <c r="R19" s="5">
        <f t="shared" si="10"/>
        <v>0.25090115594989398</v>
      </c>
      <c r="S19" s="5">
        <f t="shared" si="11"/>
        <v>2.2709224186315647E-2</v>
      </c>
      <c r="U19" t="s">
        <v>334</v>
      </c>
      <c r="X19" s="5">
        <v>3.0499999999999999E-2</v>
      </c>
      <c r="Y19" s="147">
        <v>44747</v>
      </c>
    </row>
    <row r="20" spans="1:25" ht="16" thickBot="1" x14ac:dyDescent="0.25">
      <c r="A20" s="112">
        <v>43252</v>
      </c>
      <c r="B20" s="113">
        <v>42.885468000000003</v>
      </c>
      <c r="C20" s="113">
        <v>44.862609999999997</v>
      </c>
      <c r="D20" s="34">
        <v>58.745041000000001</v>
      </c>
      <c r="E20" s="34">
        <v>52.239638999999997</v>
      </c>
      <c r="F20" s="34">
        <v>253.33857699999999</v>
      </c>
      <c r="G20" s="34"/>
      <c r="H20" s="6">
        <f t="shared" si="2"/>
        <v>-6.2374738698705245E-2</v>
      </c>
      <c r="I20" s="6">
        <f t="shared" si="3"/>
        <v>-9.425938005802792E-2</v>
      </c>
      <c r="J20" s="6">
        <f t="shared" si="4"/>
        <v>-6.0048137598168294E-2</v>
      </c>
      <c r="K20" s="6">
        <f t="shared" si="5"/>
        <v>-8.9425294228434704E-2</v>
      </c>
      <c r="L20" s="6">
        <f t="shared" si="6"/>
        <v>1.254614570080248E-3</v>
      </c>
      <c r="M20" s="6">
        <v>1.5E-3</v>
      </c>
      <c r="N20" s="6"/>
      <c r="O20" s="5">
        <f t="shared" si="7"/>
        <v>-6.3874738698705247E-2</v>
      </c>
      <c r="P20" s="5">
        <f t="shared" si="8"/>
        <v>-9.5759380058027921E-2</v>
      </c>
      <c r="Q20" s="5">
        <f t="shared" si="9"/>
        <v>-6.1548137598168295E-2</v>
      </c>
      <c r="R20" s="5">
        <f t="shared" si="10"/>
        <v>-9.0925294228434705E-2</v>
      </c>
      <c r="S20" s="5">
        <f t="shared" si="11"/>
        <v>-2.4538542991975202E-4</v>
      </c>
      <c r="U20" t="s">
        <v>335</v>
      </c>
      <c r="X20" s="5">
        <v>5.6899999999999999E-2</v>
      </c>
      <c r="Y20" t="s">
        <v>376</v>
      </c>
    </row>
    <row r="21" spans="1:25" ht="16" thickBot="1" x14ac:dyDescent="0.25">
      <c r="A21" s="112">
        <v>43282</v>
      </c>
      <c r="B21" s="113">
        <v>44.054851999999997</v>
      </c>
      <c r="C21" s="113">
        <v>43.409618000000002</v>
      </c>
      <c r="D21" s="34">
        <v>60.718921999999999</v>
      </c>
      <c r="E21" s="34">
        <v>52.588303000000003</v>
      </c>
      <c r="F21" s="34">
        <v>263.90365600000001</v>
      </c>
      <c r="G21" s="34"/>
      <c r="H21" s="6">
        <f t="shared" si="2"/>
        <v>2.7267604961195513E-2</v>
      </c>
      <c r="I21" s="6">
        <f t="shared" si="3"/>
        <v>-3.2387594034319345E-2</v>
      </c>
      <c r="J21" s="6">
        <f t="shared" si="4"/>
        <v>3.3600810662469449E-2</v>
      </c>
      <c r="K21" s="6">
        <f t="shared" si="5"/>
        <v>6.6743187103572854E-3</v>
      </c>
      <c r="L21" s="6">
        <f t="shared" si="6"/>
        <v>4.1703396005102089E-2</v>
      </c>
      <c r="M21" s="6">
        <v>1.9E-3</v>
      </c>
      <c r="N21" s="6"/>
      <c r="O21" s="5">
        <f t="shared" si="7"/>
        <v>2.5367604961195514E-2</v>
      </c>
      <c r="P21" s="5">
        <f t="shared" si="8"/>
        <v>-3.4287594034319344E-2</v>
      </c>
      <c r="Q21" s="5">
        <f t="shared" si="9"/>
        <v>3.170081066246945E-2</v>
      </c>
      <c r="R21" s="5">
        <f t="shared" si="10"/>
        <v>4.7743187103572856E-3</v>
      </c>
      <c r="S21" s="5">
        <f t="shared" si="11"/>
        <v>3.980339600510209E-2</v>
      </c>
      <c r="U21" s="114" t="s">
        <v>336</v>
      </c>
      <c r="V21" s="92"/>
      <c r="W21" s="92"/>
      <c r="X21" s="115">
        <f>X19+X18*X20</f>
        <v>0.10359408631148184</v>
      </c>
    </row>
    <row r="22" spans="1:25" x14ac:dyDescent="0.2">
      <c r="A22" s="112">
        <v>43313</v>
      </c>
      <c r="B22" s="113">
        <v>40.565551999999997</v>
      </c>
      <c r="C22" s="113">
        <v>43.707442999999998</v>
      </c>
      <c r="D22" s="34">
        <v>69.601356999999993</v>
      </c>
      <c r="E22" s="34">
        <v>52.319336</v>
      </c>
      <c r="F22" s="34">
        <v>272.32745399999999</v>
      </c>
      <c r="G22" s="34"/>
      <c r="H22" s="6">
        <f t="shared" si="2"/>
        <v>-7.9203534720761248E-2</v>
      </c>
      <c r="I22" s="6">
        <f t="shared" si="3"/>
        <v>6.8608067456386035E-3</v>
      </c>
      <c r="J22" s="6">
        <f t="shared" si="4"/>
        <v>0.14628775853431653</v>
      </c>
      <c r="K22" s="6">
        <f t="shared" si="5"/>
        <v>-5.1145784263090244E-3</v>
      </c>
      <c r="L22" s="6">
        <f t="shared" si="6"/>
        <v>3.1919974613765723E-2</v>
      </c>
      <c r="M22" s="6">
        <v>1.8E-3</v>
      </c>
      <c r="N22" s="6"/>
      <c r="O22" s="5">
        <f t="shared" si="7"/>
        <v>-8.1003534720761244E-2</v>
      </c>
      <c r="P22" s="5">
        <f t="shared" si="8"/>
        <v>5.060806745638604E-3</v>
      </c>
      <c r="Q22" s="5">
        <f t="shared" si="9"/>
        <v>0.14448775853431653</v>
      </c>
      <c r="R22" s="5">
        <f t="shared" si="10"/>
        <v>-6.9145784263090239E-3</v>
      </c>
      <c r="S22" s="5">
        <f t="shared" si="11"/>
        <v>3.0119974613765723E-2</v>
      </c>
    </row>
    <row r="23" spans="1:25" x14ac:dyDescent="0.2">
      <c r="A23" s="112">
        <v>43344</v>
      </c>
      <c r="B23" s="113">
        <v>37.372146999999998</v>
      </c>
      <c r="C23" s="113">
        <v>42.938152000000002</v>
      </c>
      <c r="D23" s="34">
        <v>69.723785000000007</v>
      </c>
      <c r="E23" s="34">
        <v>45.057181999999997</v>
      </c>
      <c r="F23" s="34">
        <v>272.71206699999999</v>
      </c>
      <c r="G23" s="34"/>
      <c r="H23" s="6">
        <f t="shared" si="2"/>
        <v>-7.8722089126261552E-2</v>
      </c>
      <c r="I23" s="6">
        <f t="shared" si="3"/>
        <v>-1.7600915249148641E-2</v>
      </c>
      <c r="J23" s="6">
        <f t="shared" si="4"/>
        <v>1.7589886932809495E-3</v>
      </c>
      <c r="K23" s="6">
        <f t="shared" si="5"/>
        <v>-0.13880439919956178</v>
      </c>
      <c r="L23" s="6">
        <f t="shared" si="6"/>
        <v>1.4123181278666852E-3</v>
      </c>
      <c r="M23" s="6">
        <v>1.9E-3</v>
      </c>
      <c r="N23" s="6"/>
      <c r="O23" s="5">
        <f t="shared" si="7"/>
        <v>-8.0622089126261551E-2</v>
      </c>
      <c r="P23" s="5">
        <f t="shared" si="8"/>
        <v>-1.950091524914864E-2</v>
      </c>
      <c r="Q23" s="5">
        <f t="shared" si="9"/>
        <v>-1.4101130671905046E-4</v>
      </c>
      <c r="R23" s="5">
        <f t="shared" si="10"/>
        <v>-0.14070439919956179</v>
      </c>
      <c r="S23" s="5">
        <f t="shared" si="11"/>
        <v>-4.8768187213331479E-4</v>
      </c>
    </row>
    <row r="24" spans="1:25" x14ac:dyDescent="0.2">
      <c r="A24" s="112">
        <v>43374</v>
      </c>
      <c r="B24" s="113">
        <v>31.153721000000001</v>
      </c>
      <c r="C24" s="113">
        <v>42.565886999999996</v>
      </c>
      <c r="D24" s="34">
        <v>52.308964000000003</v>
      </c>
      <c r="E24" s="34">
        <v>37.575878000000003</v>
      </c>
      <c r="F24" s="34">
        <v>255.015747</v>
      </c>
      <c r="G24" s="34"/>
      <c r="H24" s="6">
        <f t="shared" si="2"/>
        <v>-0.16639199241081859</v>
      </c>
      <c r="I24" s="6">
        <f t="shared" si="3"/>
        <v>-8.6697955701494633E-3</v>
      </c>
      <c r="J24" s="6">
        <f t="shared" si="4"/>
        <v>-0.24976872669778327</v>
      </c>
      <c r="K24" s="6">
        <f t="shared" si="5"/>
        <v>-0.16604021085916987</v>
      </c>
      <c r="L24" s="6">
        <f t="shared" si="6"/>
        <v>-6.4890124572302033E-2</v>
      </c>
      <c r="M24" s="6">
        <v>2.0999999999999999E-3</v>
      </c>
      <c r="N24" s="6"/>
      <c r="O24" s="5">
        <f t="shared" si="7"/>
        <v>-0.16849199241081858</v>
      </c>
      <c r="P24" s="5">
        <f t="shared" si="8"/>
        <v>-1.0769795570149463E-2</v>
      </c>
      <c r="Q24" s="5">
        <f t="shared" si="9"/>
        <v>-0.25186872669778326</v>
      </c>
      <c r="R24" s="5">
        <f t="shared" si="10"/>
        <v>-0.16814021085916986</v>
      </c>
      <c r="S24" s="5">
        <f t="shared" si="11"/>
        <v>-6.6990124572302037E-2</v>
      </c>
      <c r="U24" s="67" t="s">
        <v>346</v>
      </c>
      <c r="V24" s="24"/>
      <c r="W24" s="24"/>
      <c r="X24" s="24"/>
    </row>
    <row r="25" spans="1:25" x14ac:dyDescent="0.2">
      <c r="A25" s="112">
        <v>43405</v>
      </c>
      <c r="B25" s="113">
        <v>35.520350999999998</v>
      </c>
      <c r="C25" s="113">
        <v>44.772266000000002</v>
      </c>
      <c r="D25" s="34">
        <v>40.548549999999999</v>
      </c>
      <c r="E25" s="34">
        <v>38.412674000000003</v>
      </c>
      <c r="F25" s="34">
        <v>259.74603300000001</v>
      </c>
      <c r="G25" s="34"/>
      <c r="H25" s="6">
        <f t="shared" si="2"/>
        <v>0.14016399517733369</v>
      </c>
      <c r="I25" s="6">
        <f t="shared" si="3"/>
        <v>5.1834441979325074E-2</v>
      </c>
      <c r="J25" s="6">
        <f t="shared" si="4"/>
        <v>-0.2248259782013653</v>
      </c>
      <c r="K25" s="6">
        <f t="shared" si="5"/>
        <v>2.2269499597587616E-2</v>
      </c>
      <c r="L25" s="6">
        <f t="shared" si="6"/>
        <v>1.8548995721428874E-2</v>
      </c>
      <c r="M25" s="6">
        <v>1.8E-3</v>
      </c>
      <c r="N25" s="6"/>
      <c r="O25" s="5">
        <f t="shared" si="7"/>
        <v>0.13836399517733369</v>
      </c>
      <c r="P25" s="5">
        <f t="shared" si="8"/>
        <v>5.0034441979325071E-2</v>
      </c>
      <c r="Q25" s="5">
        <f t="shared" si="9"/>
        <v>-0.22662597820136529</v>
      </c>
      <c r="R25" s="5">
        <f t="shared" si="10"/>
        <v>2.0469499597587617E-2</v>
      </c>
      <c r="S25" s="5">
        <f t="shared" si="11"/>
        <v>1.6748995721428874E-2</v>
      </c>
      <c r="U25" t="s">
        <v>318</v>
      </c>
      <c r="X25" s="88">
        <f>SLOPE(R4:R62,S4:S62)</f>
        <v>1.1041722868302957</v>
      </c>
    </row>
    <row r="26" spans="1:25" x14ac:dyDescent="0.2">
      <c r="A26" s="112">
        <v>43435</v>
      </c>
      <c r="B26" s="113">
        <v>34.230761999999999</v>
      </c>
      <c r="C26" s="113">
        <v>42.879452000000001</v>
      </c>
      <c r="D26" s="34">
        <v>33.155780999999998</v>
      </c>
      <c r="E26" s="34">
        <v>31.608768000000001</v>
      </c>
      <c r="F26" s="34">
        <v>235.50056499999999</v>
      </c>
      <c r="G26" s="34"/>
      <c r="H26" s="6">
        <f t="shared" si="2"/>
        <v>-3.630563785813945E-2</v>
      </c>
      <c r="I26" s="6">
        <f t="shared" si="3"/>
        <v>-4.2276484286053351E-2</v>
      </c>
      <c r="J26" s="6">
        <f t="shared" si="4"/>
        <v>-0.18231894851973751</v>
      </c>
      <c r="K26" s="6">
        <f t="shared" si="5"/>
        <v>-0.17712659108293272</v>
      </c>
      <c r="L26" s="6">
        <f t="shared" si="6"/>
        <v>-9.3342977060981824E-2</v>
      </c>
      <c r="M26" s="6">
        <v>1.9E-3</v>
      </c>
      <c r="N26" s="6"/>
      <c r="O26" s="5">
        <f t="shared" si="7"/>
        <v>-3.8205637858139449E-2</v>
      </c>
      <c r="P26" s="5">
        <f t="shared" si="8"/>
        <v>-4.417648428605335E-2</v>
      </c>
      <c r="Q26" s="5">
        <f t="shared" si="9"/>
        <v>-0.18421894851973752</v>
      </c>
      <c r="R26" s="5">
        <f t="shared" si="10"/>
        <v>-0.17902659108293273</v>
      </c>
      <c r="S26" s="5">
        <f t="shared" si="11"/>
        <v>-9.5242977060981823E-2</v>
      </c>
      <c r="U26" t="s">
        <v>334</v>
      </c>
      <c r="X26" s="5">
        <v>3.0499999999999999E-2</v>
      </c>
      <c r="Y26" s="112">
        <v>44747</v>
      </c>
    </row>
    <row r="27" spans="1:25" ht="16" thickBot="1" x14ac:dyDescent="0.25">
      <c r="A27" s="112">
        <v>43466</v>
      </c>
      <c r="B27" s="113">
        <v>38.252594000000002</v>
      </c>
      <c r="C27" s="113">
        <v>43.053046999999999</v>
      </c>
      <c r="D27" s="34">
        <v>35.701450000000001</v>
      </c>
      <c r="E27" s="34">
        <v>38.073971</v>
      </c>
      <c r="F27" s="34">
        <v>255.841385</v>
      </c>
      <c r="G27" s="34"/>
      <c r="H27" s="6">
        <f t="shared" si="2"/>
        <v>0.11749174616679592</v>
      </c>
      <c r="I27" s="6">
        <f t="shared" si="3"/>
        <v>4.0484425967011184E-3</v>
      </c>
      <c r="J27" s="6">
        <f t="shared" si="4"/>
        <v>7.6779038925368859E-2</v>
      </c>
      <c r="K27" s="6">
        <f t="shared" si="5"/>
        <v>0.20453827874594799</v>
      </c>
      <c r="L27" s="6">
        <f t="shared" si="6"/>
        <v>8.6372701483752312E-2</v>
      </c>
      <c r="M27" s="6">
        <v>2.0999999999999999E-3</v>
      </c>
      <c r="N27" s="6"/>
      <c r="O27" s="5">
        <f t="shared" si="7"/>
        <v>0.11539174616679591</v>
      </c>
      <c r="P27" s="5">
        <f t="shared" si="8"/>
        <v>1.9484425967011185E-3</v>
      </c>
      <c r="Q27" s="5">
        <f t="shared" si="9"/>
        <v>7.4679038925368854E-2</v>
      </c>
      <c r="R27" s="5">
        <f t="shared" si="10"/>
        <v>0.202438278745948</v>
      </c>
      <c r="S27" s="5">
        <f t="shared" si="11"/>
        <v>8.4272701483752308E-2</v>
      </c>
      <c r="U27" t="s">
        <v>335</v>
      </c>
      <c r="X27" s="5">
        <v>5.6899999999999999E-2</v>
      </c>
      <c r="Y27" t="s">
        <v>376</v>
      </c>
    </row>
    <row r="28" spans="1:25" ht="16" thickBot="1" x14ac:dyDescent="0.25">
      <c r="A28" s="112">
        <v>43497</v>
      </c>
      <c r="B28" s="113">
        <v>41.346310000000003</v>
      </c>
      <c r="C28" s="113">
        <v>48.388995999999999</v>
      </c>
      <c r="D28" s="34">
        <v>38.311686999999999</v>
      </c>
      <c r="E28" s="34">
        <v>40.723807999999998</v>
      </c>
      <c r="F28" s="34">
        <v>264.134705</v>
      </c>
      <c r="G28" s="34"/>
      <c r="H28" s="6">
        <f t="shared" si="2"/>
        <v>8.0875979286529009E-2</v>
      </c>
      <c r="I28" s="6">
        <f t="shared" si="3"/>
        <v>0.12393893979211268</v>
      </c>
      <c r="J28" s="6">
        <f t="shared" si="4"/>
        <v>7.3112912780853412E-2</v>
      </c>
      <c r="K28" s="6">
        <f t="shared" si="5"/>
        <v>6.9597074599862419E-2</v>
      </c>
      <c r="L28" s="6">
        <f t="shared" si="6"/>
        <v>3.2415865791220577E-2</v>
      </c>
      <c r="M28" s="6">
        <v>2.0999999999999999E-3</v>
      </c>
      <c r="N28" s="6"/>
      <c r="O28" s="5">
        <f t="shared" si="7"/>
        <v>7.8775979286529005E-2</v>
      </c>
      <c r="P28" s="5">
        <f t="shared" si="8"/>
        <v>0.12183893979211267</v>
      </c>
      <c r="Q28" s="5">
        <f t="shared" si="9"/>
        <v>7.1012912780853407E-2</v>
      </c>
      <c r="R28" s="5">
        <f t="shared" si="10"/>
        <v>6.7497074599862414E-2</v>
      </c>
      <c r="S28" s="5">
        <f t="shared" si="11"/>
        <v>3.0315865791220576E-2</v>
      </c>
      <c r="U28" s="114" t="s">
        <v>336</v>
      </c>
      <c r="V28" s="92"/>
      <c r="W28" s="92"/>
      <c r="X28" s="115">
        <f>X26+X25*X27</f>
        <v>9.3327403120643818E-2</v>
      </c>
    </row>
    <row r="29" spans="1:25" x14ac:dyDescent="0.2">
      <c r="A29" s="112">
        <v>43525</v>
      </c>
      <c r="B29" s="113">
        <v>39.644877999999999</v>
      </c>
      <c r="C29" s="113">
        <v>49.376133000000003</v>
      </c>
      <c r="D29" s="34">
        <v>44.641112999999997</v>
      </c>
      <c r="E29" s="34">
        <v>41.172089</v>
      </c>
      <c r="F29" s="34">
        <v>267.73638899999997</v>
      </c>
      <c r="G29" s="34"/>
      <c r="H29" s="6">
        <f t="shared" si="2"/>
        <v>-4.1150758072485916E-2</v>
      </c>
      <c r="I29" s="6">
        <f t="shared" si="3"/>
        <v>2.0400030618531684E-2</v>
      </c>
      <c r="J29" s="6">
        <f t="shared" si="4"/>
        <v>0.16520875209697761</v>
      </c>
      <c r="K29" s="6">
        <f t="shared" si="5"/>
        <v>1.1007836005906046E-2</v>
      </c>
      <c r="L29" s="6">
        <f t="shared" si="6"/>
        <v>1.3635784816690366E-2</v>
      </c>
      <c r="M29" s="6">
        <v>1.8E-3</v>
      </c>
      <c r="N29" s="6"/>
      <c r="O29" s="5">
        <f t="shared" si="7"/>
        <v>-4.2950758072485919E-2</v>
      </c>
      <c r="P29" s="5">
        <f t="shared" si="8"/>
        <v>1.8600030618531684E-2</v>
      </c>
      <c r="Q29" s="5">
        <f t="shared" si="9"/>
        <v>0.16340875209697761</v>
      </c>
      <c r="R29" s="5">
        <f t="shared" si="10"/>
        <v>9.207836005906047E-3</v>
      </c>
      <c r="S29" s="5">
        <f t="shared" si="11"/>
        <v>1.1835784816690367E-2</v>
      </c>
    </row>
    <row r="30" spans="1:25" x14ac:dyDescent="0.2">
      <c r="A30" s="112">
        <v>43556</v>
      </c>
      <c r="B30" s="113">
        <v>47.735382000000001</v>
      </c>
      <c r="C30" s="113">
        <v>46.930317000000002</v>
      </c>
      <c r="D30" s="34">
        <v>44.999110999999999</v>
      </c>
      <c r="E30" s="34">
        <v>41.899299999999997</v>
      </c>
      <c r="F30" s="34">
        <v>279.90152</v>
      </c>
      <c r="G30" s="34"/>
      <c r="H30" s="6">
        <f t="shared" si="2"/>
        <v>0.20407438257219512</v>
      </c>
      <c r="I30" s="6">
        <f t="shared" si="3"/>
        <v>-4.953437726684673E-2</v>
      </c>
      <c r="J30" s="6">
        <f t="shared" si="4"/>
        <v>8.0194685110113184E-3</v>
      </c>
      <c r="K30" s="6">
        <f t="shared" si="5"/>
        <v>1.766271806125741E-2</v>
      </c>
      <c r="L30" s="6">
        <f t="shared" si="6"/>
        <v>4.5436972708255974E-2</v>
      </c>
      <c r="M30" s="6">
        <v>1.9E-3</v>
      </c>
      <c r="N30" s="6"/>
      <c r="O30" s="5">
        <f t="shared" si="7"/>
        <v>0.20217438257219511</v>
      </c>
      <c r="P30" s="5">
        <f t="shared" si="8"/>
        <v>-5.1434377266846729E-2</v>
      </c>
      <c r="Q30" s="5">
        <f t="shared" si="9"/>
        <v>6.1194685110113186E-3</v>
      </c>
      <c r="R30" s="5">
        <f t="shared" si="10"/>
        <v>1.5762718061257411E-2</v>
      </c>
      <c r="S30" s="5">
        <f t="shared" si="11"/>
        <v>4.3536972708255975E-2</v>
      </c>
    </row>
    <row r="31" spans="1:25" x14ac:dyDescent="0.2">
      <c r="A31" s="112">
        <v>43586</v>
      </c>
      <c r="B31" s="113">
        <v>38.244694000000003</v>
      </c>
      <c r="C31" s="113">
        <v>40.493941999999997</v>
      </c>
      <c r="D31" s="34">
        <v>33.677242</v>
      </c>
      <c r="E31" s="34">
        <v>32.485405</v>
      </c>
      <c r="F31" s="34">
        <v>262.051849</v>
      </c>
      <c r="G31" s="34"/>
      <c r="H31" s="6">
        <f t="shared" si="2"/>
        <v>-0.19881872946989299</v>
      </c>
      <c r="I31" s="6">
        <f t="shared" si="3"/>
        <v>-0.13714748613353722</v>
      </c>
      <c r="J31" s="6">
        <f t="shared" si="4"/>
        <v>-0.25160205942735181</v>
      </c>
      <c r="K31" s="6">
        <f t="shared" si="5"/>
        <v>-0.22467905191733506</v>
      </c>
      <c r="L31" s="6">
        <f t="shared" si="6"/>
        <v>-6.3771254261141608E-2</v>
      </c>
      <c r="M31" s="6">
        <v>1.6000000000000001E-3</v>
      </c>
      <c r="N31" s="6"/>
      <c r="O31" s="5">
        <f t="shared" si="7"/>
        <v>-0.20041872946989298</v>
      </c>
      <c r="P31" s="5">
        <f t="shared" si="8"/>
        <v>-0.13874748613353721</v>
      </c>
      <c r="Q31" s="5">
        <f t="shared" si="9"/>
        <v>-0.2532020594273518</v>
      </c>
      <c r="R31" s="5">
        <f t="shared" si="10"/>
        <v>-0.22627905191733505</v>
      </c>
      <c r="S31" s="5">
        <f t="shared" si="11"/>
        <v>-6.5371254261141612E-2</v>
      </c>
    </row>
    <row r="32" spans="1:25" x14ac:dyDescent="0.2">
      <c r="A32" s="112">
        <v>43617</v>
      </c>
      <c r="B32" s="113">
        <v>41.615082000000001</v>
      </c>
      <c r="C32" s="113">
        <v>44.285110000000003</v>
      </c>
      <c r="D32" s="34">
        <v>40.876465000000003</v>
      </c>
      <c r="E32" s="34">
        <v>38.442557999999998</v>
      </c>
      <c r="F32" s="34">
        <v>278.93048099999999</v>
      </c>
      <c r="G32" s="34"/>
      <c r="H32" s="6">
        <f t="shared" si="2"/>
        <v>8.8126943831737803E-2</v>
      </c>
      <c r="I32" s="6">
        <f t="shared" si="3"/>
        <v>9.3623090584759705E-2</v>
      </c>
      <c r="J32" s="6">
        <f t="shared" si="4"/>
        <v>0.21377115738871977</v>
      </c>
      <c r="K32" s="6">
        <f t="shared" si="5"/>
        <v>0.18337936682642564</v>
      </c>
      <c r="L32" s="6">
        <f t="shared" si="6"/>
        <v>6.4409513096013171E-2</v>
      </c>
      <c r="M32" s="6">
        <v>1.8E-3</v>
      </c>
      <c r="N32" s="6"/>
      <c r="O32" s="5">
        <f t="shared" si="7"/>
        <v>8.6326943831737807E-2</v>
      </c>
      <c r="P32" s="5">
        <f t="shared" si="8"/>
        <v>9.1823090584759709E-2</v>
      </c>
      <c r="Q32" s="5">
        <f t="shared" si="9"/>
        <v>0.21197115738871977</v>
      </c>
      <c r="R32" s="5">
        <f t="shared" si="10"/>
        <v>0.18157936682642564</v>
      </c>
      <c r="S32" s="5">
        <f t="shared" si="11"/>
        <v>6.2609513096013175E-2</v>
      </c>
    </row>
    <row r="33" spans="1:19" x14ac:dyDescent="0.2">
      <c r="A33" s="112">
        <v>43647</v>
      </c>
      <c r="B33" s="113">
        <v>45.320599000000001</v>
      </c>
      <c r="C33" s="113">
        <v>46.764420000000001</v>
      </c>
      <c r="D33" s="34">
        <v>41.994014999999997</v>
      </c>
      <c r="E33" s="34">
        <v>44.718487000000003</v>
      </c>
      <c r="F33" s="34">
        <v>284.52499399999999</v>
      </c>
      <c r="G33" s="34"/>
      <c r="H33" s="6">
        <f t="shared" si="2"/>
        <v>8.904264564467268E-2</v>
      </c>
      <c r="I33" s="6">
        <f t="shared" si="3"/>
        <v>5.5985183281694439E-2</v>
      </c>
      <c r="J33" s="6">
        <f t="shared" si="4"/>
        <v>2.733969290152638E-2</v>
      </c>
      <c r="K33" s="6">
        <f t="shared" si="5"/>
        <v>0.16325471889773846</v>
      </c>
      <c r="L33" s="6">
        <f t="shared" si="6"/>
        <v>2.0057015568692993E-2</v>
      </c>
      <c r="M33" s="6">
        <v>1.5E-3</v>
      </c>
      <c r="N33" s="6"/>
      <c r="O33" s="5">
        <f t="shared" si="7"/>
        <v>8.7542645644672679E-2</v>
      </c>
      <c r="P33" s="5">
        <f t="shared" si="8"/>
        <v>5.4485183281694438E-2</v>
      </c>
      <c r="Q33" s="5">
        <f t="shared" si="9"/>
        <v>2.5839692901526379E-2</v>
      </c>
      <c r="R33" s="5">
        <f t="shared" si="10"/>
        <v>0.16175471889773846</v>
      </c>
      <c r="S33" s="5">
        <f t="shared" si="11"/>
        <v>1.8557015568692992E-2</v>
      </c>
    </row>
    <row r="34" spans="1:19" x14ac:dyDescent="0.2">
      <c r="A34" s="112">
        <v>43678</v>
      </c>
      <c r="B34" s="113">
        <v>41.437491999999999</v>
      </c>
      <c r="C34" s="113">
        <v>43.859566000000001</v>
      </c>
      <c r="D34" s="34">
        <v>41.692841000000001</v>
      </c>
      <c r="E34" s="34">
        <v>45.097034000000001</v>
      </c>
      <c r="F34" s="34">
        <v>279.760986</v>
      </c>
      <c r="G34" s="34"/>
      <c r="H34" s="6">
        <f t="shared" si="2"/>
        <v>-8.5680840184835239E-2</v>
      </c>
      <c r="I34" s="6">
        <f t="shared" si="3"/>
        <v>-6.2116754575380129E-2</v>
      </c>
      <c r="J34" s="6">
        <f t="shared" si="4"/>
        <v>-7.1718315097996088E-3</v>
      </c>
      <c r="K34" s="6">
        <f t="shared" si="5"/>
        <v>8.4651119793028862E-3</v>
      </c>
      <c r="L34" s="6">
        <f t="shared" si="6"/>
        <v>-1.6743724103197688E-2</v>
      </c>
      <c r="M34" s="6">
        <v>1.1999999999999999E-3</v>
      </c>
      <c r="N34" s="6"/>
      <c r="O34" s="5">
        <f t="shared" si="7"/>
        <v>-8.6880840184835245E-2</v>
      </c>
      <c r="P34" s="5">
        <f t="shared" si="8"/>
        <v>-6.3316754575380135E-2</v>
      </c>
      <c r="Q34" s="5">
        <f t="shared" si="9"/>
        <v>-8.3718315097996085E-3</v>
      </c>
      <c r="R34" s="5">
        <f t="shared" si="10"/>
        <v>7.2651119793028865E-3</v>
      </c>
      <c r="S34" s="5">
        <f t="shared" si="11"/>
        <v>-1.7943724103197688E-2</v>
      </c>
    </row>
    <row r="35" spans="1:19" x14ac:dyDescent="0.2">
      <c r="A35" s="112">
        <v>43709</v>
      </c>
      <c r="B35" s="113">
        <v>44.777808999999998</v>
      </c>
      <c r="C35" s="113">
        <v>47.992885999999999</v>
      </c>
      <c r="D35" s="34">
        <v>43.368504000000001</v>
      </c>
      <c r="E35" s="34">
        <v>42.686278999999999</v>
      </c>
      <c r="F35" s="34">
        <v>283.89358499999997</v>
      </c>
      <c r="G35" s="34"/>
      <c r="H35" s="6">
        <f t="shared" si="2"/>
        <v>8.0610983888696808E-2</v>
      </c>
      <c r="I35" s="6">
        <f t="shared" si="3"/>
        <v>9.4239874603410323E-2</v>
      </c>
      <c r="J35" s="6">
        <f t="shared" si="4"/>
        <v>4.0190664867380876E-2</v>
      </c>
      <c r="K35" s="6">
        <f t="shared" si="5"/>
        <v>-5.3457063273828598E-2</v>
      </c>
      <c r="L35" s="6">
        <f t="shared" si="6"/>
        <v>1.477189174619209E-2</v>
      </c>
      <c r="M35" s="6">
        <v>1.4000000000000002E-3</v>
      </c>
      <c r="N35" s="6"/>
      <c r="O35" s="5">
        <f t="shared" si="7"/>
        <v>7.9210983888696809E-2</v>
      </c>
      <c r="P35" s="5">
        <f t="shared" si="8"/>
        <v>9.2839874603410324E-2</v>
      </c>
      <c r="Q35" s="5">
        <f t="shared" si="9"/>
        <v>3.8790664867380878E-2</v>
      </c>
      <c r="R35" s="5">
        <f t="shared" si="10"/>
        <v>-5.4857063273828596E-2</v>
      </c>
      <c r="S35" s="5">
        <f t="shared" si="11"/>
        <v>1.3371891746192089E-2</v>
      </c>
    </row>
    <row r="36" spans="1:19" x14ac:dyDescent="0.2">
      <c r="A36" s="112">
        <v>43739</v>
      </c>
      <c r="B36" s="113">
        <v>45.442898</v>
      </c>
      <c r="C36" s="113">
        <v>52.649676999999997</v>
      </c>
      <c r="D36" s="34">
        <v>50.082934999999999</v>
      </c>
      <c r="E36" s="34">
        <v>47.368319999999997</v>
      </c>
      <c r="F36" s="34">
        <v>291.50897200000003</v>
      </c>
      <c r="G36" s="34"/>
      <c r="H36" s="6">
        <f t="shared" si="2"/>
        <v>1.4853093861738609E-2</v>
      </c>
      <c r="I36" s="6">
        <f t="shared" si="3"/>
        <v>9.7030859948701531E-2</v>
      </c>
      <c r="J36" s="6">
        <f t="shared" si="4"/>
        <v>0.15482274878561642</v>
      </c>
      <c r="K36" s="6">
        <f t="shared" si="5"/>
        <v>0.10968491772262468</v>
      </c>
      <c r="L36" s="6">
        <f t="shared" si="6"/>
        <v>2.6824794227034321E-2</v>
      </c>
      <c r="M36" s="6">
        <v>1.2999999999999999E-3</v>
      </c>
      <c r="N36" s="6"/>
      <c r="O36" s="5">
        <f t="shared" si="7"/>
        <v>1.355309386173861E-2</v>
      </c>
      <c r="P36" s="5">
        <f t="shared" si="8"/>
        <v>9.5730859948701535E-2</v>
      </c>
      <c r="Q36" s="5">
        <f t="shared" si="9"/>
        <v>0.15352274878561642</v>
      </c>
      <c r="R36" s="5">
        <f t="shared" si="10"/>
        <v>0.10838491772262468</v>
      </c>
      <c r="S36" s="5">
        <f t="shared" si="11"/>
        <v>2.5524794227034322E-2</v>
      </c>
    </row>
    <row r="37" spans="1:19" x14ac:dyDescent="0.2">
      <c r="A37" s="112">
        <v>43770</v>
      </c>
      <c r="B37" s="113">
        <v>45.563384999999997</v>
      </c>
      <c r="C37" s="113">
        <v>54.065350000000002</v>
      </c>
      <c r="D37" s="34">
        <v>53.999481000000003</v>
      </c>
      <c r="E37" s="34">
        <v>47.328476000000002</v>
      </c>
      <c r="F37" s="34">
        <v>302.061035</v>
      </c>
      <c r="G37" s="34"/>
      <c r="H37" s="6">
        <f t="shared" si="2"/>
        <v>2.6513934036511699E-3</v>
      </c>
      <c r="I37" s="6">
        <f t="shared" si="3"/>
        <v>2.6888541025617441E-2</v>
      </c>
      <c r="J37" s="6">
        <f t="shared" si="4"/>
        <v>7.8201207656859673E-2</v>
      </c>
      <c r="K37" s="6">
        <f t="shared" si="5"/>
        <v>-8.4115290557051914E-4</v>
      </c>
      <c r="L37" s="6">
        <f t="shared" si="6"/>
        <v>3.6198072833243611E-2</v>
      </c>
      <c r="M37" s="6">
        <v>1.1999999999999999E-3</v>
      </c>
      <c r="N37" s="6"/>
      <c r="O37" s="5">
        <f t="shared" si="7"/>
        <v>1.45139340365117E-3</v>
      </c>
      <c r="P37" s="5">
        <f t="shared" si="8"/>
        <v>2.5688541025617441E-2</v>
      </c>
      <c r="Q37" s="5">
        <f t="shared" si="9"/>
        <v>7.7001207656859666E-2</v>
      </c>
      <c r="R37" s="5">
        <f t="shared" si="10"/>
        <v>-2.0411529055705188E-3</v>
      </c>
      <c r="S37" s="5">
        <f t="shared" si="11"/>
        <v>3.4998072833243611E-2</v>
      </c>
    </row>
    <row r="38" spans="1:19" x14ac:dyDescent="0.2">
      <c r="A38" s="112">
        <v>43800</v>
      </c>
      <c r="B38" s="113">
        <v>50.670352999999999</v>
      </c>
      <c r="C38" s="113">
        <v>56.048572999999998</v>
      </c>
      <c r="D38" s="34">
        <v>58.666846999999997</v>
      </c>
      <c r="E38" s="34">
        <v>53.574516000000003</v>
      </c>
      <c r="F38" s="34">
        <v>309.31686400000001</v>
      </c>
      <c r="G38" s="34"/>
      <c r="H38" s="6">
        <f t="shared" si="2"/>
        <v>0.11208491204066595</v>
      </c>
      <c r="I38" s="6">
        <f t="shared" si="3"/>
        <v>3.6681959887432392E-2</v>
      </c>
      <c r="J38" s="6">
        <f t="shared" si="4"/>
        <v>8.6433534426006764E-2</v>
      </c>
      <c r="K38" s="6">
        <f t="shared" si="5"/>
        <v>0.13197213449256218</v>
      </c>
      <c r="L38" s="6">
        <f t="shared" si="6"/>
        <v>2.4021069119358529E-2</v>
      </c>
      <c r="M38" s="6">
        <v>1.1999999999999999E-3</v>
      </c>
      <c r="N38" s="6"/>
      <c r="O38" s="5">
        <f t="shared" si="7"/>
        <v>0.11088491204066594</v>
      </c>
      <c r="P38" s="5">
        <f t="shared" si="8"/>
        <v>3.5481959887432392E-2</v>
      </c>
      <c r="Q38" s="5">
        <f t="shared" si="9"/>
        <v>8.5233534426006757E-2</v>
      </c>
      <c r="R38" s="5">
        <f t="shared" si="10"/>
        <v>0.13077213449256217</v>
      </c>
      <c r="S38" s="5">
        <f t="shared" si="11"/>
        <v>2.2821069119358529E-2</v>
      </c>
    </row>
    <row r="39" spans="1:19" x14ac:dyDescent="0.2">
      <c r="A39" s="112">
        <v>43831</v>
      </c>
      <c r="B39" s="113">
        <v>47.167167999999997</v>
      </c>
      <c r="C39" s="113">
        <v>59.869427000000002</v>
      </c>
      <c r="D39" s="34">
        <v>58.948585999999999</v>
      </c>
      <c r="E39" s="34">
        <v>52.887157000000002</v>
      </c>
      <c r="F39" s="34">
        <v>310.71206699999999</v>
      </c>
      <c r="G39" s="34"/>
      <c r="H39" s="6">
        <f t="shared" si="2"/>
        <v>-6.9136779055002928E-2</v>
      </c>
      <c r="I39" s="6">
        <f t="shared" si="3"/>
        <v>6.8170406408027739E-2</v>
      </c>
      <c r="J39" s="6">
        <f t="shared" si="4"/>
        <v>4.8023545563988801E-3</v>
      </c>
      <c r="K39" s="6">
        <f t="shared" si="5"/>
        <v>-1.2829961916968169E-2</v>
      </c>
      <c r="L39" s="6">
        <f t="shared" si="6"/>
        <v>4.5105946761441196E-3</v>
      </c>
      <c r="M39" s="6">
        <v>0</v>
      </c>
      <c r="N39" s="6"/>
      <c r="O39" s="5">
        <f t="shared" si="7"/>
        <v>-6.9136779055002928E-2</v>
      </c>
      <c r="P39" s="5">
        <f t="shared" si="8"/>
        <v>6.8170406408027739E-2</v>
      </c>
      <c r="Q39" s="5">
        <f t="shared" si="9"/>
        <v>4.8023545563988801E-3</v>
      </c>
      <c r="R39" s="5">
        <f t="shared" si="10"/>
        <v>-1.2829961916968169E-2</v>
      </c>
      <c r="S39" s="5">
        <f t="shared" si="11"/>
        <v>4.5105946761441196E-3</v>
      </c>
    </row>
    <row r="40" spans="1:19" x14ac:dyDescent="0.2">
      <c r="A40" s="112">
        <v>43862</v>
      </c>
      <c r="B40" s="113">
        <v>43.891407000000001</v>
      </c>
      <c r="C40" s="113">
        <v>51.993591000000002</v>
      </c>
      <c r="D40" s="34">
        <v>67.335967999999994</v>
      </c>
      <c r="E40" s="34">
        <v>52.359183999999999</v>
      </c>
      <c r="F40" s="34">
        <v>286.11428799999999</v>
      </c>
      <c r="G40" s="34"/>
      <c r="H40" s="6">
        <f t="shared" si="2"/>
        <v>-6.9450025068284682E-2</v>
      </c>
      <c r="I40" s="6">
        <f t="shared" si="3"/>
        <v>-0.13155021510394616</v>
      </c>
      <c r="J40" s="6">
        <f t="shared" si="4"/>
        <v>0.14228300573655828</v>
      </c>
      <c r="K40" s="6">
        <f t="shared" si="5"/>
        <v>-9.9830096747307584E-3</v>
      </c>
      <c r="L40" s="6">
        <f t="shared" si="6"/>
        <v>-7.9165831045757251E-2</v>
      </c>
      <c r="M40" s="6">
        <v>1E-4</v>
      </c>
      <c r="N40" s="6"/>
      <c r="O40" s="5">
        <f t="shared" si="7"/>
        <v>-6.9550025068284685E-2</v>
      </c>
      <c r="P40" s="5">
        <f t="shared" si="8"/>
        <v>-0.13165021510394614</v>
      </c>
      <c r="Q40" s="5">
        <f t="shared" si="9"/>
        <v>0.14218300573655829</v>
      </c>
      <c r="R40" s="5">
        <f t="shared" si="10"/>
        <v>-1.0083009674730758E-2</v>
      </c>
      <c r="S40" s="5">
        <f t="shared" si="11"/>
        <v>-7.9265831045757254E-2</v>
      </c>
    </row>
    <row r="41" spans="1:19" x14ac:dyDescent="0.2">
      <c r="A41" s="112">
        <v>43891</v>
      </c>
      <c r="B41" s="113">
        <v>32.916058</v>
      </c>
      <c r="C41" s="113">
        <v>50.932105999999997</v>
      </c>
      <c r="D41" s="34">
        <v>65.762146000000001</v>
      </c>
      <c r="E41" s="34">
        <v>41.899299999999997</v>
      </c>
      <c r="F41" s="34">
        <v>248.92308</v>
      </c>
      <c r="G41" s="34"/>
      <c r="H41" s="6">
        <f t="shared" si="2"/>
        <v>-0.25005689610269277</v>
      </c>
      <c r="I41" s="6">
        <f t="shared" si="3"/>
        <v>-2.0415689310630647E-2</v>
      </c>
      <c r="J41" s="6">
        <f t="shared" si="4"/>
        <v>-2.3372679516539985E-2</v>
      </c>
      <c r="K41" s="6">
        <f t="shared" si="5"/>
        <v>-0.19977171531168247</v>
      </c>
      <c r="L41" s="6">
        <f t="shared" si="6"/>
        <v>-0.12998724481735768</v>
      </c>
      <c r="M41" s="6">
        <v>1E-4</v>
      </c>
      <c r="N41" s="6"/>
      <c r="O41" s="5">
        <f t="shared" si="7"/>
        <v>-0.25015689610269276</v>
      </c>
      <c r="P41" s="5">
        <f t="shared" si="8"/>
        <v>-2.0515689310630646E-2</v>
      </c>
      <c r="Q41" s="5">
        <f t="shared" si="9"/>
        <v>-2.3472679516539984E-2</v>
      </c>
      <c r="R41" s="5">
        <f t="shared" si="10"/>
        <v>-0.19987171531168246</v>
      </c>
      <c r="S41" s="5">
        <f t="shared" si="11"/>
        <v>-0.13008724481735767</v>
      </c>
    </row>
    <row r="42" spans="1:19" x14ac:dyDescent="0.2">
      <c r="A42" s="112">
        <v>43922</v>
      </c>
      <c r="B42" s="113">
        <v>42.591819999999998</v>
      </c>
      <c r="C42" s="113">
        <v>56.446930000000002</v>
      </c>
      <c r="D42" s="34">
        <v>72.917136999999997</v>
      </c>
      <c r="E42" s="34">
        <v>47.707023999999997</v>
      </c>
      <c r="F42" s="34">
        <v>282.18182400000001</v>
      </c>
      <c r="G42" s="34"/>
      <c r="H42" s="6">
        <f t="shared" si="2"/>
        <v>0.29395263551911355</v>
      </c>
      <c r="I42" s="6">
        <f t="shared" si="3"/>
        <v>0.10827794947257829</v>
      </c>
      <c r="J42" s="6">
        <f t="shared" si="4"/>
        <v>0.10880105707012655</v>
      </c>
      <c r="K42" s="6">
        <f t="shared" si="5"/>
        <v>0.13861148038272719</v>
      </c>
      <c r="L42" s="6">
        <f t="shared" si="6"/>
        <v>0.13361052739665613</v>
      </c>
      <c r="M42" s="6">
        <v>1E-4</v>
      </c>
      <c r="N42" s="6"/>
      <c r="O42" s="5">
        <f t="shared" si="7"/>
        <v>0.29385263551911356</v>
      </c>
      <c r="P42" s="5">
        <f t="shared" si="8"/>
        <v>0.10817794947257829</v>
      </c>
      <c r="Q42" s="5">
        <f t="shared" si="9"/>
        <v>0.10870105707012655</v>
      </c>
      <c r="R42" s="5">
        <f t="shared" si="10"/>
        <v>0.1385114803827272</v>
      </c>
      <c r="S42" s="5">
        <f t="shared" si="11"/>
        <v>0.13351052739665614</v>
      </c>
    </row>
    <row r="43" spans="1:19" x14ac:dyDescent="0.2">
      <c r="A43" s="112">
        <v>43952</v>
      </c>
      <c r="B43" s="113">
        <v>46.616512</v>
      </c>
      <c r="C43" s="113">
        <v>59.223166999999997</v>
      </c>
      <c r="D43" s="34">
        <v>88.569327999999999</v>
      </c>
      <c r="E43" s="34">
        <v>47.726948</v>
      </c>
      <c r="F43" s="34">
        <v>295.626465</v>
      </c>
      <c r="G43" s="34"/>
      <c r="H43" s="6">
        <f t="shared" si="2"/>
        <v>9.4494482743399999E-2</v>
      </c>
      <c r="I43" s="6">
        <f t="shared" si="3"/>
        <v>4.9183135380435949E-2</v>
      </c>
      <c r="J43" s="6">
        <f t="shared" si="4"/>
        <v>0.21465723482807619</v>
      </c>
      <c r="K43" s="6">
        <f t="shared" si="5"/>
        <v>4.1763242242920384E-4</v>
      </c>
      <c r="L43" s="6">
        <f t="shared" si="6"/>
        <v>4.7645311839787263E-2</v>
      </c>
      <c r="M43" s="6">
        <v>1E-4</v>
      </c>
      <c r="N43" s="6"/>
      <c r="O43" s="5">
        <f t="shared" si="7"/>
        <v>9.4394482743399996E-2</v>
      </c>
      <c r="P43" s="5">
        <f t="shared" si="8"/>
        <v>4.9083135380435947E-2</v>
      </c>
      <c r="Q43" s="5">
        <f t="shared" si="9"/>
        <v>0.2145572348280762</v>
      </c>
      <c r="R43" s="5">
        <f t="shared" si="10"/>
        <v>3.1763242242920385E-4</v>
      </c>
      <c r="S43" s="5">
        <f t="shared" si="11"/>
        <v>4.754531183978726E-2</v>
      </c>
    </row>
    <row r="44" spans="1:19" x14ac:dyDescent="0.2">
      <c r="A44" s="112">
        <v>43983</v>
      </c>
      <c r="B44" s="113">
        <v>51.341048999999998</v>
      </c>
      <c r="C44" s="113">
        <v>56.623824999999997</v>
      </c>
      <c r="D44" s="34">
        <v>94.778801000000001</v>
      </c>
      <c r="E44" s="34">
        <v>51.323157999999999</v>
      </c>
      <c r="F44" s="34">
        <v>299.55102499999998</v>
      </c>
      <c r="G44" s="34"/>
      <c r="H44" s="6">
        <f t="shared" si="2"/>
        <v>0.10134900268814606</v>
      </c>
      <c r="I44" s="6">
        <f t="shared" si="3"/>
        <v>-4.3890628138816057E-2</v>
      </c>
      <c r="J44" s="6">
        <f t="shared" si="4"/>
        <v>7.010861593078821E-2</v>
      </c>
      <c r="K44" s="6">
        <f t="shared" si="5"/>
        <v>7.5349674569595404E-2</v>
      </c>
      <c r="L44" s="6">
        <f t="shared" si="6"/>
        <v>1.3275401442830903E-2</v>
      </c>
      <c r="M44" s="6">
        <v>1E-4</v>
      </c>
      <c r="N44" s="6"/>
      <c r="O44" s="5">
        <f t="shared" si="7"/>
        <v>0.10124900268814606</v>
      </c>
      <c r="P44" s="5">
        <f t="shared" si="8"/>
        <v>-4.399062813881606E-2</v>
      </c>
      <c r="Q44" s="5">
        <f t="shared" si="9"/>
        <v>7.0008615930788207E-2</v>
      </c>
      <c r="R44" s="5">
        <f t="shared" si="10"/>
        <v>7.5249674569595401E-2</v>
      </c>
      <c r="S44" s="5">
        <f t="shared" si="11"/>
        <v>1.3175401442830904E-2</v>
      </c>
    </row>
    <row r="45" spans="1:19" x14ac:dyDescent="0.2">
      <c r="A45" s="112">
        <v>44013</v>
      </c>
      <c r="B45" s="113">
        <v>49.595722000000002</v>
      </c>
      <c r="C45" s="113">
        <v>45.172244999999997</v>
      </c>
      <c r="D45" s="34">
        <v>105.973778</v>
      </c>
      <c r="E45" s="34">
        <v>49.868735999999998</v>
      </c>
      <c r="F45" s="34">
        <v>318.58810399999999</v>
      </c>
      <c r="G45" s="34"/>
      <c r="H45" s="6">
        <f t="shared" si="2"/>
        <v>-3.3994767033295292E-2</v>
      </c>
      <c r="I45" s="6">
        <f t="shared" si="3"/>
        <v>-0.20223960497193538</v>
      </c>
      <c r="J45" s="6">
        <f t="shared" si="4"/>
        <v>0.11811688776269702</v>
      </c>
      <c r="K45" s="6">
        <f t="shared" si="5"/>
        <v>-2.8338513386101494E-2</v>
      </c>
      <c r="L45" s="6">
        <f t="shared" si="6"/>
        <v>6.3552040925248132E-2</v>
      </c>
      <c r="M45" s="6">
        <v>1E-4</v>
      </c>
      <c r="N45" s="6"/>
      <c r="O45" s="5">
        <f t="shared" si="7"/>
        <v>-3.4094767033295295E-2</v>
      </c>
      <c r="P45" s="5">
        <f t="shared" si="8"/>
        <v>-0.20233960497193537</v>
      </c>
      <c r="Q45" s="5">
        <f t="shared" si="9"/>
        <v>0.11801688776269702</v>
      </c>
      <c r="R45" s="5">
        <f t="shared" si="10"/>
        <v>-2.8438513386101493E-2</v>
      </c>
      <c r="S45" s="5">
        <f t="shared" si="11"/>
        <v>6.3452040925248129E-2</v>
      </c>
    </row>
    <row r="46" spans="1:19" x14ac:dyDescent="0.2">
      <c r="A46" s="112">
        <v>44044</v>
      </c>
      <c r="B46" s="113">
        <v>53.481270000000002</v>
      </c>
      <c r="C46" s="113">
        <v>48.219687999999998</v>
      </c>
      <c r="D46" s="34">
        <v>133.526138</v>
      </c>
      <c r="E46" s="34">
        <v>45.336117000000002</v>
      </c>
      <c r="F46" s="34">
        <v>340.82449300000002</v>
      </c>
      <c r="G46" s="34"/>
      <c r="H46" s="6">
        <f t="shared" si="2"/>
        <v>7.8344418496417934E-2</v>
      </c>
      <c r="I46" s="6">
        <f t="shared" si="3"/>
        <v>6.7462730709974661E-2</v>
      </c>
      <c r="J46" s="6">
        <f t="shared" si="4"/>
        <v>0.25999224072203986</v>
      </c>
      <c r="K46" s="6">
        <f t="shared" si="5"/>
        <v>-9.089099430954084E-2</v>
      </c>
      <c r="L46" s="6">
        <f t="shared" si="6"/>
        <v>6.9796670750769785E-2</v>
      </c>
      <c r="M46" s="6">
        <v>1E-4</v>
      </c>
      <c r="N46" s="6"/>
      <c r="O46" s="5">
        <f t="shared" si="7"/>
        <v>7.8244418496417931E-2</v>
      </c>
      <c r="P46" s="5">
        <f t="shared" si="8"/>
        <v>6.7362730709974658E-2</v>
      </c>
      <c r="Q46" s="5">
        <f t="shared" si="9"/>
        <v>0.25989224072203987</v>
      </c>
      <c r="R46" s="5">
        <f t="shared" si="10"/>
        <v>-9.0990994309540843E-2</v>
      </c>
      <c r="S46" s="5">
        <f t="shared" si="11"/>
        <v>6.9696670750769782E-2</v>
      </c>
    </row>
    <row r="47" spans="1:19" x14ac:dyDescent="0.2">
      <c r="A47" s="112">
        <v>44075</v>
      </c>
      <c r="B47" s="113">
        <v>50.268962999999999</v>
      </c>
      <c r="C47" s="113">
        <v>49.338028000000001</v>
      </c>
      <c r="D47" s="34">
        <v>135.08354199999999</v>
      </c>
      <c r="E47" s="34">
        <v>46.780574999999999</v>
      </c>
      <c r="F47" s="34">
        <v>326.75479100000001</v>
      </c>
      <c r="G47" s="34"/>
      <c r="H47" s="6">
        <f t="shared" si="2"/>
        <v>-6.0064149561145475E-2</v>
      </c>
      <c r="I47" s="6">
        <f t="shared" si="3"/>
        <v>2.3192601329150131E-2</v>
      </c>
      <c r="J47" s="6">
        <f t="shared" si="4"/>
        <v>1.1663663933723534E-2</v>
      </c>
      <c r="K47" s="6">
        <f t="shared" si="5"/>
        <v>3.1861087706298141E-2</v>
      </c>
      <c r="L47" s="6">
        <f t="shared" si="6"/>
        <v>-4.1281369998253048E-2</v>
      </c>
      <c r="M47" s="6">
        <v>1E-4</v>
      </c>
      <c r="N47" s="6"/>
      <c r="O47" s="5">
        <f t="shared" si="7"/>
        <v>-6.0164149561145477E-2</v>
      </c>
      <c r="P47" s="5">
        <f t="shared" si="8"/>
        <v>2.3092601329150132E-2</v>
      </c>
      <c r="Q47" s="5">
        <f t="shared" si="9"/>
        <v>1.1563663933723534E-2</v>
      </c>
      <c r="R47" s="5">
        <f t="shared" si="10"/>
        <v>3.1761087706298138E-2</v>
      </c>
      <c r="S47" s="5">
        <f t="shared" si="11"/>
        <v>-4.1381369998253051E-2</v>
      </c>
    </row>
    <row r="48" spans="1:19" x14ac:dyDescent="0.2">
      <c r="A48" s="112">
        <v>44105</v>
      </c>
      <c r="B48" s="113">
        <v>51.403880999999998</v>
      </c>
      <c r="C48" s="113">
        <v>42.19173</v>
      </c>
      <c r="D48" s="34">
        <v>125.17231</v>
      </c>
      <c r="E48" s="34">
        <v>50.147663000000001</v>
      </c>
      <c r="F48" s="34">
        <v>319.88299599999999</v>
      </c>
      <c r="G48" s="34"/>
      <c r="H48" s="6">
        <f t="shared" si="2"/>
        <v>2.2576912915430514E-2</v>
      </c>
      <c r="I48" s="6">
        <f t="shared" si="3"/>
        <v>-0.14484360826095444</v>
      </c>
      <c r="J48" s="6">
        <f t="shared" si="4"/>
        <v>-7.3371129104684019E-2</v>
      </c>
      <c r="K48" s="6">
        <f t="shared" si="5"/>
        <v>7.1976199522985729E-2</v>
      </c>
      <c r="L48" s="6">
        <f t="shared" si="6"/>
        <v>-2.103043379706715E-2</v>
      </c>
      <c r="M48" s="6">
        <v>0</v>
      </c>
      <c r="N48" s="6"/>
      <c r="O48" s="5">
        <f t="shared" si="7"/>
        <v>2.2576912915430514E-2</v>
      </c>
      <c r="P48" s="5">
        <f t="shared" si="8"/>
        <v>-0.14484360826095444</v>
      </c>
      <c r="Q48" s="5">
        <f t="shared" si="9"/>
        <v>-7.3371129104684019E-2</v>
      </c>
      <c r="R48" s="5">
        <f t="shared" si="10"/>
        <v>7.1976199522985729E-2</v>
      </c>
      <c r="S48" s="5">
        <f t="shared" si="11"/>
        <v>-2.103043379706715E-2</v>
      </c>
    </row>
    <row r="49" spans="1:19" x14ac:dyDescent="0.2">
      <c r="A49" s="112">
        <v>44136</v>
      </c>
      <c r="B49" s="113">
        <v>65.741981999999993</v>
      </c>
      <c r="C49" s="113">
        <v>46.069789999999998</v>
      </c>
      <c r="D49" s="34">
        <v>133.83570900000001</v>
      </c>
      <c r="E49" s="34">
        <v>63.845123000000001</v>
      </c>
      <c r="F49" s="34">
        <v>354.67886399999998</v>
      </c>
      <c r="G49" s="34"/>
      <c r="H49" s="6">
        <f t="shared" si="2"/>
        <v>0.27893032045576471</v>
      </c>
      <c r="I49" s="6">
        <f t="shared" si="3"/>
        <v>9.1915169157557708E-2</v>
      </c>
      <c r="J49" s="6">
        <f t="shared" si="4"/>
        <v>6.9211784938697729E-2</v>
      </c>
      <c r="K49" s="6">
        <f t="shared" si="5"/>
        <v>0.27314253906508057</v>
      </c>
      <c r="L49" s="6">
        <f t="shared" si="6"/>
        <v>0.10877686039929424</v>
      </c>
      <c r="M49" s="6">
        <v>0</v>
      </c>
      <c r="N49" s="6"/>
      <c r="O49" s="5">
        <f t="shared" si="7"/>
        <v>0.27893032045576471</v>
      </c>
      <c r="P49" s="5">
        <f t="shared" si="8"/>
        <v>9.1915169157557708E-2</v>
      </c>
      <c r="Q49" s="5">
        <f t="shared" si="9"/>
        <v>6.9211784938697729E-2</v>
      </c>
      <c r="R49" s="5">
        <f t="shared" si="10"/>
        <v>0.27314253906508057</v>
      </c>
      <c r="S49" s="5">
        <f t="shared" si="11"/>
        <v>0.10877686039929424</v>
      </c>
    </row>
    <row r="50" spans="1:19" x14ac:dyDescent="0.2">
      <c r="A50" s="112">
        <v>44166</v>
      </c>
      <c r="B50" s="113">
        <v>67.762032000000005</v>
      </c>
      <c r="C50" s="113">
        <v>47.815739000000001</v>
      </c>
      <c r="D50" s="34">
        <v>130.37536600000001</v>
      </c>
      <c r="E50" s="34">
        <v>74.892753999999996</v>
      </c>
      <c r="F50" s="34">
        <v>366.257904</v>
      </c>
      <c r="G50" s="34"/>
      <c r="H50" s="6">
        <f t="shared" si="2"/>
        <v>3.0726940967493288E-2</v>
      </c>
      <c r="I50" s="6">
        <f t="shared" si="3"/>
        <v>3.7897915315003639E-2</v>
      </c>
      <c r="J50" s="6">
        <f t="shared" si="4"/>
        <v>-2.585515499454627E-2</v>
      </c>
      <c r="K50" s="6">
        <f t="shared" si="5"/>
        <v>0.17303797817101851</v>
      </c>
      <c r="L50" s="6">
        <f t="shared" si="6"/>
        <v>3.2646546426290612E-2</v>
      </c>
      <c r="M50" s="6">
        <v>0</v>
      </c>
      <c r="N50" s="6"/>
      <c r="O50" s="5">
        <f t="shared" si="7"/>
        <v>3.0726940967493288E-2</v>
      </c>
      <c r="P50" s="5">
        <f t="shared" si="8"/>
        <v>3.7897915315003639E-2</v>
      </c>
      <c r="Q50" s="5">
        <f t="shared" si="9"/>
        <v>-2.585515499454627E-2</v>
      </c>
      <c r="R50" s="5">
        <f t="shared" si="10"/>
        <v>0.17303797817101851</v>
      </c>
      <c r="S50" s="5">
        <f t="shared" si="11"/>
        <v>3.2646546426290612E-2</v>
      </c>
    </row>
    <row r="51" spans="1:19" x14ac:dyDescent="0.2">
      <c r="A51" s="112">
        <v>44197</v>
      </c>
      <c r="B51" s="113">
        <v>66.780769000000006</v>
      </c>
      <c r="C51" s="113">
        <v>53.276828999999999</v>
      </c>
      <c r="D51" s="34">
        <v>129.76205400000001</v>
      </c>
      <c r="E51" s="34">
        <v>77.970946999999995</v>
      </c>
      <c r="F51" s="34">
        <v>364.07092299999999</v>
      </c>
      <c r="G51" s="34"/>
      <c r="H51" s="6">
        <f t="shared" si="2"/>
        <v>-1.4481014973104722E-2</v>
      </c>
      <c r="I51" s="6">
        <f t="shared" si="3"/>
        <v>0.11421113872149924</v>
      </c>
      <c r="J51" s="6">
        <f t="shared" si="4"/>
        <v>-4.7042015590583741E-3</v>
      </c>
      <c r="K51" s="6">
        <f t="shared" si="5"/>
        <v>4.1101346066136024E-2</v>
      </c>
      <c r="L51" s="6">
        <f t="shared" si="6"/>
        <v>-5.971150318164864E-3</v>
      </c>
      <c r="M51" s="6">
        <v>0</v>
      </c>
      <c r="N51" s="6"/>
      <c r="O51" s="5">
        <f t="shared" si="7"/>
        <v>-1.4481014973104722E-2</v>
      </c>
      <c r="P51" s="5">
        <f t="shared" si="8"/>
        <v>0.11421113872149924</v>
      </c>
      <c r="Q51" s="5">
        <f t="shared" si="9"/>
        <v>-4.7042015590583741E-3</v>
      </c>
      <c r="R51" s="5">
        <f t="shared" si="10"/>
        <v>4.1101346066136024E-2</v>
      </c>
      <c r="S51" s="5">
        <f t="shared" si="11"/>
        <v>-5.971150318164864E-3</v>
      </c>
    </row>
    <row r="52" spans="1:19" x14ac:dyDescent="0.2">
      <c r="A52" s="112">
        <v>44228</v>
      </c>
      <c r="B52" s="113">
        <v>74.886100999999996</v>
      </c>
      <c r="C52" s="113">
        <v>58.334820000000001</v>
      </c>
      <c r="D52" s="34">
        <v>137.00199900000001</v>
      </c>
      <c r="E52" s="34">
        <v>91.180289999999999</v>
      </c>
      <c r="F52" s="34">
        <v>374.19409200000001</v>
      </c>
      <c r="G52" s="34"/>
      <c r="H52" s="6">
        <f t="shared" si="2"/>
        <v>0.12137224715097239</v>
      </c>
      <c r="I52" s="6">
        <f t="shared" si="3"/>
        <v>9.4937913816154573E-2</v>
      </c>
      <c r="J52" s="6">
        <f t="shared" si="4"/>
        <v>5.5794007391405831E-2</v>
      </c>
      <c r="K52" s="6">
        <f t="shared" si="5"/>
        <v>0.16941365352404913</v>
      </c>
      <c r="L52" s="6">
        <f t="shared" si="6"/>
        <v>2.7805486130514145E-2</v>
      </c>
      <c r="M52" s="6">
        <v>0</v>
      </c>
      <c r="N52" s="6"/>
      <c r="O52" s="5">
        <f t="shared" si="7"/>
        <v>0.12137224715097239</v>
      </c>
      <c r="P52" s="5">
        <f t="shared" si="8"/>
        <v>9.4937913816154573E-2</v>
      </c>
      <c r="Q52" s="5">
        <f t="shared" si="9"/>
        <v>5.5794007391405831E-2</v>
      </c>
      <c r="R52" s="5">
        <f t="shared" si="10"/>
        <v>0.16941365352404913</v>
      </c>
      <c r="S52" s="5">
        <f t="shared" si="11"/>
        <v>2.7805486130514145E-2</v>
      </c>
    </row>
    <row r="53" spans="1:19" x14ac:dyDescent="0.2">
      <c r="A53" s="112">
        <v>44256</v>
      </c>
      <c r="B53" s="113">
        <v>76.347060999999997</v>
      </c>
      <c r="C53" s="113">
        <v>61.79813</v>
      </c>
      <c r="D53" s="34">
        <v>133.34330700000001</v>
      </c>
      <c r="E53" s="34">
        <v>87.872971000000007</v>
      </c>
      <c r="F53" s="34">
        <v>389.90521200000001</v>
      </c>
      <c r="G53" s="34"/>
      <c r="H53" s="6">
        <f t="shared" si="2"/>
        <v>1.9509094217630585E-2</v>
      </c>
      <c r="I53" s="6">
        <f t="shared" si="3"/>
        <v>5.9369515496919378E-2</v>
      </c>
      <c r="J53" s="6">
        <f t="shared" si="4"/>
        <v>-2.6705391357099817E-2</v>
      </c>
      <c r="K53" s="6">
        <f t="shared" si="5"/>
        <v>-3.6272301831898002E-2</v>
      </c>
      <c r="L53" s="6">
        <f t="shared" si="6"/>
        <v>4.1986552796776877E-2</v>
      </c>
      <c r="M53" s="6">
        <v>0</v>
      </c>
      <c r="N53" s="6"/>
      <c r="O53" s="5">
        <f t="shared" si="7"/>
        <v>1.9509094217630585E-2</v>
      </c>
      <c r="P53" s="5">
        <f t="shared" si="8"/>
        <v>5.9369515496919378E-2</v>
      </c>
      <c r="Q53" s="5">
        <f t="shared" si="9"/>
        <v>-2.6705391357099817E-2</v>
      </c>
      <c r="R53" s="5">
        <f t="shared" si="10"/>
        <v>-3.6272301831898002E-2</v>
      </c>
      <c r="S53" s="5">
        <f t="shared" si="11"/>
        <v>4.1986552796776877E-2</v>
      </c>
    </row>
    <row r="54" spans="1:19" x14ac:dyDescent="0.2">
      <c r="A54" s="112">
        <v>44287</v>
      </c>
      <c r="B54" s="113">
        <v>73.922173000000001</v>
      </c>
      <c r="C54" s="113">
        <v>55.550716000000001</v>
      </c>
      <c r="D54" s="34">
        <v>149.990219</v>
      </c>
      <c r="E54" s="34">
        <v>85.741150000000005</v>
      </c>
      <c r="F54" s="34">
        <v>411.87985200000003</v>
      </c>
      <c r="G54" s="34"/>
      <c r="H54" s="6">
        <f t="shared" si="2"/>
        <v>-3.1761379786446442E-2</v>
      </c>
      <c r="I54" s="6">
        <f t="shared" si="3"/>
        <v>-0.10109390041413868</v>
      </c>
      <c r="J54" s="6">
        <f t="shared" si="4"/>
        <v>0.12484250146878373</v>
      </c>
      <c r="K54" s="6">
        <f t="shared" si="5"/>
        <v>-2.4260258595330764E-2</v>
      </c>
      <c r="L54" s="6">
        <f t="shared" si="6"/>
        <v>5.6358928590059421E-2</v>
      </c>
      <c r="M54" s="6">
        <v>0</v>
      </c>
      <c r="N54" s="6"/>
      <c r="O54" s="5">
        <f t="shared" si="7"/>
        <v>-3.1761379786446442E-2</v>
      </c>
      <c r="P54" s="5">
        <f t="shared" si="8"/>
        <v>-0.10109390041413868</v>
      </c>
      <c r="Q54" s="5">
        <f t="shared" si="9"/>
        <v>0.12484250146878373</v>
      </c>
      <c r="R54" s="5">
        <f t="shared" si="10"/>
        <v>-2.4260258595330764E-2</v>
      </c>
      <c r="S54" s="5">
        <f t="shared" si="11"/>
        <v>5.6358928590059421E-2</v>
      </c>
    </row>
    <row r="55" spans="1:19" x14ac:dyDescent="0.2">
      <c r="A55" s="112">
        <v>44317</v>
      </c>
      <c r="B55" s="113">
        <v>77.197990000000004</v>
      </c>
      <c r="C55" s="113">
        <v>55.154826999999997</v>
      </c>
      <c r="D55" s="34">
        <v>162.33161899999999</v>
      </c>
      <c r="E55" s="34">
        <v>83.818520000000007</v>
      </c>
      <c r="F55" s="34">
        <v>414.58429000000001</v>
      </c>
      <c r="G55" s="34"/>
      <c r="H55" s="6">
        <f t="shared" si="2"/>
        <v>4.4314403474043029E-2</v>
      </c>
      <c r="I55" s="6">
        <f t="shared" si="3"/>
        <v>-7.1266228143667121E-3</v>
      </c>
      <c r="J55" s="6">
        <f t="shared" si="4"/>
        <v>8.228136529355945E-2</v>
      </c>
      <c r="K55" s="6">
        <f t="shared" si="5"/>
        <v>-2.2423655386007768E-2</v>
      </c>
      <c r="L55" s="6">
        <f t="shared" si="6"/>
        <v>6.5660847134614286E-3</v>
      </c>
      <c r="M55" s="6">
        <v>0</v>
      </c>
      <c r="N55" s="6"/>
      <c r="O55" s="5">
        <f t="shared" si="7"/>
        <v>4.4314403474043029E-2</v>
      </c>
      <c r="P55" s="5">
        <f t="shared" si="8"/>
        <v>-7.1266228143667121E-3</v>
      </c>
      <c r="Q55" s="5">
        <f t="shared" si="9"/>
        <v>8.228136529355945E-2</v>
      </c>
      <c r="R55" s="5">
        <f t="shared" si="10"/>
        <v>-2.2423655386007768E-2</v>
      </c>
      <c r="S55" s="5">
        <f t="shared" si="11"/>
        <v>6.5660847134614286E-3</v>
      </c>
    </row>
    <row r="56" spans="1:19" x14ac:dyDescent="0.2">
      <c r="A56" s="112">
        <v>44348</v>
      </c>
      <c r="B56" s="113">
        <v>73.859168999999994</v>
      </c>
      <c r="C56" s="113">
        <v>54.542416000000003</v>
      </c>
      <c r="D56" s="34">
        <v>199.88536099999999</v>
      </c>
      <c r="E56" s="34">
        <v>84.655311999999995</v>
      </c>
      <c r="F56" s="34">
        <v>422.500092</v>
      </c>
      <c r="G56" s="34"/>
      <c r="H56" s="6">
        <f t="shared" si="2"/>
        <v>-4.3250102755266195E-2</v>
      </c>
      <c r="I56" s="6">
        <f t="shared" si="3"/>
        <v>-1.1103488730007105E-2</v>
      </c>
      <c r="J56" s="6">
        <f t="shared" si="4"/>
        <v>0.23133966279237317</v>
      </c>
      <c r="K56" s="6">
        <f t="shared" si="5"/>
        <v>9.9833783750893357E-3</v>
      </c>
      <c r="L56" s="6">
        <f t="shared" si="6"/>
        <v>1.9093347700174457E-2</v>
      </c>
      <c r="M56" s="6">
        <v>0</v>
      </c>
      <c r="N56" s="6"/>
      <c r="O56" s="5">
        <f t="shared" si="7"/>
        <v>-4.3250102755266195E-2</v>
      </c>
      <c r="P56" s="5">
        <f t="shared" si="8"/>
        <v>-1.1103488730007105E-2</v>
      </c>
      <c r="Q56" s="5">
        <f t="shared" si="9"/>
        <v>0.23133966279237317</v>
      </c>
      <c r="R56" s="5">
        <f t="shared" si="10"/>
        <v>9.9833783750893357E-3</v>
      </c>
      <c r="S56" s="5">
        <f t="shared" si="11"/>
        <v>1.9093347700174457E-2</v>
      </c>
    </row>
    <row r="57" spans="1:19" x14ac:dyDescent="0.2">
      <c r="A57" s="112">
        <v>44378</v>
      </c>
      <c r="B57" s="113">
        <v>70.593857</v>
      </c>
      <c r="C57" s="113">
        <v>52.191284000000003</v>
      </c>
      <c r="D57" s="34">
        <v>194.89854399999999</v>
      </c>
      <c r="E57" s="34">
        <v>77.283591999999999</v>
      </c>
      <c r="F57" s="34">
        <v>434.23037699999998</v>
      </c>
      <c r="G57" s="34"/>
      <c r="H57" s="6">
        <f t="shared" si="2"/>
        <v>-4.4209974796764806E-2</v>
      </c>
      <c r="I57" s="6">
        <f t="shared" si="3"/>
        <v>-4.3106487985424047E-2</v>
      </c>
      <c r="J57" s="6">
        <f t="shared" si="4"/>
        <v>-2.494838528970611E-2</v>
      </c>
      <c r="K57" s="6">
        <f t="shared" si="5"/>
        <v>-8.7079237272198573E-2</v>
      </c>
      <c r="L57" s="6">
        <f t="shared" si="6"/>
        <v>2.7763982120032171E-2</v>
      </c>
      <c r="M57" s="6">
        <v>0</v>
      </c>
      <c r="N57" s="6"/>
      <c r="O57" s="5">
        <f t="shared" si="7"/>
        <v>-4.4209974796764806E-2</v>
      </c>
      <c r="P57" s="5">
        <f t="shared" si="8"/>
        <v>-4.3106487985424047E-2</v>
      </c>
      <c r="Q57" s="5">
        <f t="shared" si="9"/>
        <v>-2.494838528970611E-2</v>
      </c>
      <c r="R57" s="5">
        <f t="shared" si="10"/>
        <v>-8.7079237272198573E-2</v>
      </c>
      <c r="S57" s="5">
        <f t="shared" si="11"/>
        <v>2.7763982120032171E-2</v>
      </c>
    </row>
    <row r="58" spans="1:19" x14ac:dyDescent="0.2">
      <c r="A58" s="112">
        <v>44409</v>
      </c>
      <c r="B58" s="113">
        <v>77.617728999999997</v>
      </c>
      <c r="C58" s="113">
        <v>52.521610000000003</v>
      </c>
      <c r="D58" s="34">
        <v>223.745026</v>
      </c>
      <c r="E58" s="34">
        <v>73.418411000000006</v>
      </c>
      <c r="F58" s="34">
        <v>447.15301499999998</v>
      </c>
      <c r="G58" s="34"/>
      <c r="H58" s="6">
        <f t="shared" si="2"/>
        <v>9.9496929314968563E-2</v>
      </c>
      <c r="I58" s="6">
        <f t="shared" si="3"/>
        <v>6.3291410880024213E-3</v>
      </c>
      <c r="J58" s="6">
        <f t="shared" si="4"/>
        <v>0.14800768342322779</v>
      </c>
      <c r="K58" s="6">
        <f t="shared" si="5"/>
        <v>-5.0012957472266417E-2</v>
      </c>
      <c r="L58" s="6">
        <f t="shared" si="6"/>
        <v>2.9759866385395739E-2</v>
      </c>
      <c r="M58" s="6">
        <v>0</v>
      </c>
      <c r="N58" s="6"/>
      <c r="O58" s="5">
        <f t="shared" si="7"/>
        <v>9.9496929314968563E-2</v>
      </c>
      <c r="P58" s="5">
        <f t="shared" si="8"/>
        <v>6.3291410880024213E-3</v>
      </c>
      <c r="Q58" s="5">
        <f t="shared" si="9"/>
        <v>0.14800768342322779</v>
      </c>
      <c r="R58" s="5">
        <f t="shared" si="10"/>
        <v>-5.0012957472266417E-2</v>
      </c>
      <c r="S58" s="5">
        <f t="shared" si="11"/>
        <v>2.9759866385395739E-2</v>
      </c>
    </row>
    <row r="59" spans="1:19" x14ac:dyDescent="0.2">
      <c r="A59" s="112">
        <v>44440</v>
      </c>
      <c r="B59" s="113">
        <v>75.939835000000002</v>
      </c>
      <c r="C59" s="113">
        <v>52.100185000000003</v>
      </c>
      <c r="D59" s="34">
        <v>207.09934999999999</v>
      </c>
      <c r="E59" s="34">
        <v>70.708800999999994</v>
      </c>
      <c r="F59" s="34">
        <v>424.95181300000002</v>
      </c>
      <c r="G59" s="34"/>
      <c r="H59" s="6">
        <f t="shared" si="2"/>
        <v>-2.1617406507732251E-2</v>
      </c>
      <c r="I59" s="6">
        <f t="shared" si="3"/>
        <v>-8.0238400917260755E-3</v>
      </c>
      <c r="J59" s="6">
        <f t="shared" si="4"/>
        <v>-7.4395736511255528E-2</v>
      </c>
      <c r="K59" s="6">
        <f t="shared" si="5"/>
        <v>-3.6906410300816983E-2</v>
      </c>
      <c r="L59" s="6">
        <f t="shared" si="6"/>
        <v>-4.9650122564867338E-2</v>
      </c>
      <c r="M59" s="6">
        <v>1E-4</v>
      </c>
      <c r="N59" s="6"/>
      <c r="O59" s="5">
        <f t="shared" si="7"/>
        <v>-2.171740650773225E-2</v>
      </c>
      <c r="P59" s="5">
        <f t="shared" si="8"/>
        <v>-8.1238400917260749E-3</v>
      </c>
      <c r="Q59" s="5">
        <f t="shared" si="9"/>
        <v>-7.4495736511255531E-2</v>
      </c>
      <c r="R59" s="5">
        <f t="shared" si="10"/>
        <v>-3.7006410300816986E-2</v>
      </c>
      <c r="S59" s="5">
        <f t="shared" si="11"/>
        <v>-4.9750122564867341E-2</v>
      </c>
    </row>
    <row r="60" spans="1:19" x14ac:dyDescent="0.2">
      <c r="A60" s="112">
        <v>44470</v>
      </c>
      <c r="B60" s="113">
        <v>73.312691000000001</v>
      </c>
      <c r="C60" s="113">
        <v>47.914954999999999</v>
      </c>
      <c r="D60" s="34">
        <v>255.59515400000001</v>
      </c>
      <c r="E60" s="34">
        <v>68.932204999999996</v>
      </c>
      <c r="F60" s="34">
        <v>456.22485399999999</v>
      </c>
      <c r="G60" s="34"/>
      <c r="H60" s="6">
        <f t="shared" si="2"/>
        <v>-3.4595071216575568E-2</v>
      </c>
      <c r="I60" s="6">
        <f t="shared" si="3"/>
        <v>-8.0330424930353028E-2</v>
      </c>
      <c r="J60" s="6">
        <f t="shared" si="4"/>
        <v>0.2341668575975735</v>
      </c>
      <c r="K60" s="6">
        <f t="shared" si="5"/>
        <v>-2.5125528574582945E-2</v>
      </c>
      <c r="L60" s="6">
        <f t="shared" si="6"/>
        <v>7.3591969826470649E-2</v>
      </c>
      <c r="M60" s="6">
        <v>0</v>
      </c>
      <c r="N60" s="6"/>
      <c r="O60" s="5">
        <f t="shared" si="7"/>
        <v>-3.4595071216575568E-2</v>
      </c>
      <c r="P60" s="5">
        <f t="shared" si="8"/>
        <v>-8.0330424930353028E-2</v>
      </c>
      <c r="Q60" s="5">
        <f t="shared" si="9"/>
        <v>0.2341668575975735</v>
      </c>
      <c r="R60" s="5">
        <f t="shared" si="10"/>
        <v>-2.5125528574582945E-2</v>
      </c>
      <c r="S60" s="5">
        <f t="shared" si="11"/>
        <v>7.3591969826470649E-2</v>
      </c>
    </row>
    <row r="61" spans="1:19" x14ac:dyDescent="0.2">
      <c r="A61" s="112">
        <v>44501</v>
      </c>
      <c r="B61" s="113">
        <v>82.554703000000003</v>
      </c>
      <c r="C61" s="113">
        <v>48.110531000000002</v>
      </c>
      <c r="D61" s="34">
        <v>326.66433699999999</v>
      </c>
      <c r="E61" s="34">
        <v>83.796020999999996</v>
      </c>
      <c r="F61" s="34">
        <v>452.55920400000002</v>
      </c>
      <c r="G61" s="34"/>
      <c r="H61" s="6">
        <f t="shared" si="2"/>
        <v>0.12606292135695862</v>
      </c>
      <c r="I61" s="6">
        <f t="shared" si="3"/>
        <v>4.0817318935184588E-3</v>
      </c>
      <c r="J61" s="6">
        <f t="shared" si="4"/>
        <v>0.27805371849890381</v>
      </c>
      <c r="K61" s="6">
        <f t="shared" si="5"/>
        <v>0.21562948697201834</v>
      </c>
      <c r="L61" s="6">
        <f t="shared" si="6"/>
        <v>-8.0347442009373049E-3</v>
      </c>
      <c r="M61" s="6">
        <v>0</v>
      </c>
      <c r="N61" s="6"/>
      <c r="O61" s="5">
        <f t="shared" si="7"/>
        <v>0.12606292135695862</v>
      </c>
      <c r="P61" s="5">
        <f t="shared" si="8"/>
        <v>4.0817318935184588E-3</v>
      </c>
      <c r="Q61" s="5">
        <f t="shared" si="9"/>
        <v>0.27805371849890381</v>
      </c>
      <c r="R61" s="5">
        <f t="shared" si="10"/>
        <v>0.21562948697201834</v>
      </c>
      <c r="S61" s="5">
        <f t="shared" si="11"/>
        <v>-8.0347442009373049E-3</v>
      </c>
    </row>
    <row r="62" spans="1:19" x14ac:dyDescent="0.2">
      <c r="A62" s="112">
        <v>44531</v>
      </c>
      <c r="B62" s="113">
        <v>86.388503999999998</v>
      </c>
      <c r="C62" s="113">
        <v>50.709808000000002</v>
      </c>
      <c r="D62" s="34">
        <v>294.023865</v>
      </c>
      <c r="E62" s="34">
        <v>92.923805000000002</v>
      </c>
      <c r="F62" s="34">
        <v>471.83139</v>
      </c>
      <c r="G62" s="34"/>
      <c r="H62" s="6">
        <f t="shared" si="2"/>
        <v>4.6439522652028664E-2</v>
      </c>
      <c r="I62" s="6">
        <f t="shared" si="3"/>
        <v>5.402719417085633E-2</v>
      </c>
      <c r="J62" s="6">
        <f t="shared" si="4"/>
        <v>-9.9920524841375591E-2</v>
      </c>
      <c r="K62" s="6">
        <f t="shared" si="5"/>
        <v>0.10892860891330391</v>
      </c>
      <c r="L62" s="6">
        <f t="shared" si="6"/>
        <v>4.2584894594255074E-2</v>
      </c>
      <c r="M62" s="6">
        <v>0</v>
      </c>
      <c r="N62" s="6"/>
      <c r="O62" s="5">
        <f t="shared" si="7"/>
        <v>4.6439522652028664E-2</v>
      </c>
      <c r="P62" s="5">
        <f t="shared" si="8"/>
        <v>5.402719417085633E-2</v>
      </c>
      <c r="Q62" s="5">
        <f t="shared" si="9"/>
        <v>-9.9920524841375591E-2</v>
      </c>
      <c r="R62" s="5">
        <f t="shared" si="10"/>
        <v>0.10892860891330391</v>
      </c>
      <c r="S62" s="5">
        <f t="shared" si="11"/>
        <v>4.2584894594255074E-2</v>
      </c>
    </row>
    <row r="63" spans="1:19" x14ac:dyDescent="0.2">
      <c r="A63" s="112"/>
    </row>
    <row r="64" spans="1:19" x14ac:dyDescent="0.2">
      <c r="A64" s="112"/>
    </row>
    <row r="65" spans="1:1" x14ac:dyDescent="0.2">
      <c r="A65" s="112"/>
    </row>
    <row r="66" spans="1:1" x14ac:dyDescent="0.2">
      <c r="A66" s="112"/>
    </row>
    <row r="67" spans="1:1" x14ac:dyDescent="0.2">
      <c r="A67" s="112"/>
    </row>
    <row r="68" spans="1:1" x14ac:dyDescent="0.2">
      <c r="A68" s="112"/>
    </row>
    <row r="69" spans="1:1" x14ac:dyDescent="0.2">
      <c r="A69" s="112"/>
    </row>
    <row r="70" spans="1:1" x14ac:dyDescent="0.2">
      <c r="A70" s="112"/>
    </row>
    <row r="71" spans="1:1" x14ac:dyDescent="0.2">
      <c r="A71" s="112"/>
    </row>
    <row r="72" spans="1:1" x14ac:dyDescent="0.2">
      <c r="A72" s="112"/>
    </row>
    <row r="73" spans="1:1" x14ac:dyDescent="0.2">
      <c r="A73" s="112"/>
    </row>
    <row r="74" spans="1:1" x14ac:dyDescent="0.2">
      <c r="A74" s="112"/>
    </row>
    <row r="75" spans="1:1" x14ac:dyDescent="0.2">
      <c r="A75" s="112"/>
    </row>
    <row r="76" spans="1:1" x14ac:dyDescent="0.2">
      <c r="A76" s="112"/>
    </row>
    <row r="77" spans="1:1" x14ac:dyDescent="0.2">
      <c r="A77" s="112"/>
    </row>
    <row r="78" spans="1:1" x14ac:dyDescent="0.2">
      <c r="A78" s="112"/>
    </row>
    <row r="79" spans="1:1" x14ac:dyDescent="0.2">
      <c r="A79" s="112"/>
    </row>
    <row r="80" spans="1:1" x14ac:dyDescent="0.2">
      <c r="A80" s="112"/>
    </row>
    <row r="81" spans="1:1" x14ac:dyDescent="0.2">
      <c r="A81" s="112"/>
    </row>
    <row r="82" spans="1:1" x14ac:dyDescent="0.2">
      <c r="A82" s="112"/>
    </row>
    <row r="83" spans="1:1" x14ac:dyDescent="0.2">
      <c r="A83" s="112"/>
    </row>
    <row r="84" spans="1:1" x14ac:dyDescent="0.2">
      <c r="A84" s="112"/>
    </row>
    <row r="85" spans="1:1" x14ac:dyDescent="0.2">
      <c r="A85" s="112"/>
    </row>
    <row r="86" spans="1:1" x14ac:dyDescent="0.2">
      <c r="A86" s="1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0A079-A94D-4556-BA7B-6D6864F61984}">
  <dimension ref="A1:W86"/>
  <sheetViews>
    <sheetView zoomScale="84" workbookViewId="0">
      <pane ySplit="2" topLeftCell="A17" activePane="bottomLeft" state="frozen"/>
      <selection pane="bottomLeft" activeCell="D64" sqref="D64"/>
    </sheetView>
  </sheetViews>
  <sheetFormatPr baseColWidth="10" defaultColWidth="8.83203125" defaultRowHeight="15" x14ac:dyDescent="0.2"/>
  <cols>
    <col min="1" max="4" width="11.5" customWidth="1"/>
    <col min="5" max="5" width="17.6640625" style="61" bestFit="1" customWidth="1"/>
    <col min="7" max="10" width="11.5" customWidth="1"/>
    <col min="11" max="11" width="17.6640625" style="61" bestFit="1" customWidth="1"/>
    <col min="13" max="16" width="11.5" customWidth="1"/>
    <col min="17" max="17" width="17.6640625" style="61" bestFit="1" customWidth="1"/>
    <col min="19" max="22" width="11.5" customWidth="1"/>
    <col min="23" max="23" width="17.6640625" style="61" bestFit="1" customWidth="1"/>
  </cols>
  <sheetData>
    <row r="1" spans="1:23" x14ac:dyDescent="0.2">
      <c r="A1" s="1"/>
      <c r="B1" s="156" t="s">
        <v>239</v>
      </c>
      <c r="C1" s="156"/>
      <c r="D1" s="156"/>
      <c r="E1" s="156"/>
      <c r="G1" s="1"/>
      <c r="H1" s="156" t="s">
        <v>311</v>
      </c>
      <c r="I1" s="156"/>
      <c r="J1" s="156"/>
      <c r="K1" s="156"/>
      <c r="M1" s="1"/>
      <c r="N1" s="156" t="s">
        <v>339</v>
      </c>
      <c r="O1" s="156"/>
      <c r="P1" s="156"/>
      <c r="Q1" s="156"/>
      <c r="S1" s="1"/>
      <c r="T1" s="156" t="s">
        <v>312</v>
      </c>
      <c r="U1" s="156"/>
      <c r="V1" s="156"/>
      <c r="W1" s="156"/>
    </row>
    <row r="2" spans="1:23" x14ac:dyDescent="0.2">
      <c r="A2" s="44" t="s">
        <v>319</v>
      </c>
      <c r="B2" s="87" t="s">
        <v>247</v>
      </c>
      <c r="C2" s="87" t="s">
        <v>248</v>
      </c>
      <c r="D2" s="87" t="s">
        <v>249</v>
      </c>
      <c r="E2" s="87" t="s">
        <v>360</v>
      </c>
      <c r="G2" s="44" t="s">
        <v>319</v>
      </c>
      <c r="H2" s="87" t="s">
        <v>247</v>
      </c>
      <c r="I2" s="87" t="s">
        <v>248</v>
      </c>
      <c r="J2" s="87" t="s">
        <v>249</v>
      </c>
      <c r="K2" s="87" t="s">
        <v>360</v>
      </c>
      <c r="M2" s="44" t="s">
        <v>319</v>
      </c>
      <c r="N2" s="87" t="s">
        <v>247</v>
      </c>
      <c r="O2" s="87" t="s">
        <v>248</v>
      </c>
      <c r="P2" s="87" t="s">
        <v>249</v>
      </c>
      <c r="Q2" s="87" t="s">
        <v>360</v>
      </c>
      <c r="S2" s="44" t="s">
        <v>319</v>
      </c>
      <c r="T2" s="87" t="s">
        <v>247</v>
      </c>
      <c r="U2" s="87" t="s">
        <v>248</v>
      </c>
      <c r="V2" s="87" t="s">
        <v>249</v>
      </c>
      <c r="W2" s="87" t="s">
        <v>360</v>
      </c>
    </row>
    <row r="3" spans="1:23" x14ac:dyDescent="0.2">
      <c r="A3" s="112">
        <v>42736</v>
      </c>
      <c r="B3" s="22">
        <f>'CAPM Models'!$D3</f>
        <v>26.935328999999999</v>
      </c>
      <c r="C3" s="22">
        <f>'CAPM Models'!$D3</f>
        <v>26.935328999999999</v>
      </c>
      <c r="D3" s="22">
        <f>'CAPM Models'!$D3</f>
        <v>26.935328999999999</v>
      </c>
      <c r="E3" s="22">
        <f>'CAPM Models'!$D3</f>
        <v>26.935328999999999</v>
      </c>
      <c r="G3" s="112">
        <v>42736</v>
      </c>
      <c r="H3" s="22">
        <f>'CAPM Models'!$C3</f>
        <v>31.912925999999999</v>
      </c>
      <c r="I3" s="22">
        <f>'CAPM Models'!$C3</f>
        <v>31.912925999999999</v>
      </c>
      <c r="J3" s="22">
        <f>'CAPM Models'!$C3</f>
        <v>31.912925999999999</v>
      </c>
      <c r="K3" s="22">
        <f>'CAPM Models'!$C3</f>
        <v>31.912925999999999</v>
      </c>
      <c r="M3" s="112">
        <v>42736</v>
      </c>
      <c r="N3" s="22">
        <f>'CAPM Models'!$E3</f>
        <v>24.017880999999999</v>
      </c>
      <c r="O3" s="22">
        <f>'CAPM Models'!$E3</f>
        <v>24.017880999999999</v>
      </c>
      <c r="P3" s="22">
        <f>'CAPM Models'!$E3</f>
        <v>24.017880999999999</v>
      </c>
      <c r="Q3" s="22">
        <f>'CAPM Models'!$E3</f>
        <v>24.017880999999999</v>
      </c>
      <c r="S3" s="112">
        <v>42736</v>
      </c>
      <c r="T3" s="22">
        <f>'CAPM Models'!$B3</f>
        <v>30.937142999999999</v>
      </c>
      <c r="U3" s="22">
        <f>'CAPM Models'!$B3</f>
        <v>30.937142999999999</v>
      </c>
      <c r="V3" s="22">
        <f>'CAPM Models'!$B3</f>
        <v>30.937142999999999</v>
      </c>
      <c r="W3" s="22">
        <f>'CAPM Models'!$B3</f>
        <v>30.937142999999999</v>
      </c>
    </row>
    <row r="4" spans="1:23" x14ac:dyDescent="0.2">
      <c r="A4" s="112">
        <v>42767</v>
      </c>
      <c r="B4" s="22">
        <f>'CAPM Models'!$D4</f>
        <v>25.035693999999999</v>
      </c>
      <c r="C4" s="22">
        <f>'CAPM Models'!$D4</f>
        <v>25.035693999999999</v>
      </c>
      <c r="D4" s="22">
        <f>'CAPM Models'!$D4</f>
        <v>25.035693999999999</v>
      </c>
      <c r="E4" s="22">
        <f>'CAPM Models'!$D4</f>
        <v>25.035693999999999</v>
      </c>
      <c r="G4" s="112">
        <v>42767</v>
      </c>
      <c r="H4" s="22">
        <f>'CAPM Models'!$C4</f>
        <v>31.375541999999999</v>
      </c>
      <c r="I4" s="22">
        <f>'CAPM Models'!$C4</f>
        <v>31.375541999999999</v>
      </c>
      <c r="J4" s="22">
        <f>'CAPM Models'!$C4</f>
        <v>31.375541999999999</v>
      </c>
      <c r="K4" s="22">
        <f>'CAPM Models'!$C4</f>
        <v>31.375541999999999</v>
      </c>
      <c r="M4" s="112">
        <v>42767</v>
      </c>
      <c r="N4" s="22">
        <f>'CAPM Models'!$E4</f>
        <v>23.350442999999999</v>
      </c>
      <c r="O4" s="22">
        <f>'CAPM Models'!$E4</f>
        <v>23.350442999999999</v>
      </c>
      <c r="P4" s="22">
        <f>'CAPM Models'!$E4</f>
        <v>23.350442999999999</v>
      </c>
      <c r="Q4" s="22">
        <f>'CAPM Models'!$E4</f>
        <v>23.350442999999999</v>
      </c>
      <c r="S4" s="112">
        <v>42767</v>
      </c>
      <c r="T4" s="22">
        <f>'CAPM Models'!$B4</f>
        <v>33.311976999999999</v>
      </c>
      <c r="U4" s="22">
        <f>'CAPM Models'!$B4</f>
        <v>33.311976999999999</v>
      </c>
      <c r="V4" s="22">
        <f>'CAPM Models'!$B4</f>
        <v>33.311976999999999</v>
      </c>
      <c r="W4" s="22">
        <f>'CAPM Models'!$B4</f>
        <v>33.311976999999999</v>
      </c>
    </row>
    <row r="5" spans="1:23" x14ac:dyDescent="0.2">
      <c r="A5" s="112">
        <v>42795</v>
      </c>
      <c r="B5" s="22">
        <f>'CAPM Models'!$D5</f>
        <v>26.907568000000001</v>
      </c>
      <c r="C5" s="22">
        <f>'CAPM Models'!$D5</f>
        <v>26.907568000000001</v>
      </c>
      <c r="D5" s="22">
        <f>'CAPM Models'!$D5</f>
        <v>26.907568000000001</v>
      </c>
      <c r="E5" s="22">
        <f>'CAPM Models'!$D5</f>
        <v>26.907568000000001</v>
      </c>
      <c r="G5" s="112">
        <v>42795</v>
      </c>
      <c r="H5" s="22">
        <f>'CAPM Models'!$C5</f>
        <v>31.486056999999999</v>
      </c>
      <c r="I5" s="22">
        <f>'CAPM Models'!$C5</f>
        <v>31.486056999999999</v>
      </c>
      <c r="J5" s="22">
        <f>'CAPM Models'!$C5</f>
        <v>31.486056999999999</v>
      </c>
      <c r="K5" s="22">
        <f>'CAPM Models'!$C5</f>
        <v>31.486056999999999</v>
      </c>
      <c r="M5" s="112">
        <v>42795</v>
      </c>
      <c r="N5" s="22">
        <f>'CAPM Models'!$E5</f>
        <v>28.789580999999998</v>
      </c>
      <c r="O5" s="22">
        <f>'CAPM Models'!$E5</f>
        <v>28.789580999999998</v>
      </c>
      <c r="P5" s="22">
        <f>'CAPM Models'!$E5</f>
        <v>28.789580999999998</v>
      </c>
      <c r="Q5" s="22">
        <f>'CAPM Models'!$E5</f>
        <v>28.789580999999998</v>
      </c>
      <c r="S5" s="112">
        <v>42795</v>
      </c>
      <c r="T5" s="22">
        <f>'CAPM Models'!$B5</f>
        <v>34.061774999999997</v>
      </c>
      <c r="U5" s="22">
        <f>'CAPM Models'!$B5</f>
        <v>34.061774999999997</v>
      </c>
      <c r="V5" s="22">
        <f>'CAPM Models'!$B5</f>
        <v>34.061774999999997</v>
      </c>
      <c r="W5" s="22">
        <f>'CAPM Models'!$B5</f>
        <v>34.061774999999997</v>
      </c>
    </row>
    <row r="6" spans="1:23" x14ac:dyDescent="0.2">
      <c r="A6" s="112">
        <v>42826</v>
      </c>
      <c r="B6" s="22">
        <f>'CAPM Models'!$D6</f>
        <v>25.763881999999999</v>
      </c>
      <c r="C6" s="22">
        <f>'CAPM Models'!$D6</f>
        <v>25.763881999999999</v>
      </c>
      <c r="D6" s="22">
        <f>'CAPM Models'!$D6</f>
        <v>25.763881999999999</v>
      </c>
      <c r="E6" s="22">
        <f>'CAPM Models'!$D6</f>
        <v>25.763881999999999</v>
      </c>
      <c r="G6" s="112">
        <v>42826</v>
      </c>
      <c r="H6" s="22">
        <f>'CAPM Models'!$C6</f>
        <v>31.555890999999999</v>
      </c>
      <c r="I6" s="22">
        <f>'CAPM Models'!$C6</f>
        <v>31.555890999999999</v>
      </c>
      <c r="J6" s="22">
        <f>'CAPM Models'!$C6</f>
        <v>31.555890999999999</v>
      </c>
      <c r="K6" s="22">
        <f>'CAPM Models'!$C6</f>
        <v>31.555890999999999</v>
      </c>
      <c r="M6" s="112">
        <v>42826</v>
      </c>
      <c r="N6" s="22">
        <f>'CAPM Models'!$E6</f>
        <v>27.56428</v>
      </c>
      <c r="O6" s="22">
        <f>'CAPM Models'!$E6</f>
        <v>27.56428</v>
      </c>
      <c r="P6" s="22">
        <f>'CAPM Models'!$E6</f>
        <v>27.56428</v>
      </c>
      <c r="Q6" s="22">
        <f>'CAPM Models'!$E6</f>
        <v>27.56428</v>
      </c>
      <c r="S6" s="112">
        <v>42826</v>
      </c>
      <c r="T6" s="22">
        <f>'CAPM Models'!$B6</f>
        <v>34.892780000000002</v>
      </c>
      <c r="U6" s="22">
        <f>'CAPM Models'!$B6</f>
        <v>34.892780000000002</v>
      </c>
      <c r="V6" s="22">
        <f>'CAPM Models'!$B6</f>
        <v>34.892780000000002</v>
      </c>
      <c r="W6" s="22">
        <f>'CAPM Models'!$B6</f>
        <v>34.892780000000002</v>
      </c>
    </row>
    <row r="7" spans="1:23" x14ac:dyDescent="0.2">
      <c r="A7" s="112">
        <v>42856</v>
      </c>
      <c r="B7" s="22">
        <f>'CAPM Models'!$D7</f>
        <v>35.656905999999999</v>
      </c>
      <c r="C7" s="22">
        <f>'CAPM Models'!$D7</f>
        <v>35.656905999999999</v>
      </c>
      <c r="D7" s="22">
        <f>'CAPM Models'!$D7</f>
        <v>35.656905999999999</v>
      </c>
      <c r="E7" s="22">
        <f>'CAPM Models'!$D7</f>
        <v>35.656905999999999</v>
      </c>
      <c r="G7" s="112">
        <v>42856</v>
      </c>
      <c r="H7" s="22">
        <f>'CAPM Models'!$C7</f>
        <v>31.520979000000001</v>
      </c>
      <c r="I7" s="22">
        <f>'CAPM Models'!$C7</f>
        <v>31.520979000000001</v>
      </c>
      <c r="J7" s="22">
        <f>'CAPM Models'!$C7</f>
        <v>31.520979000000001</v>
      </c>
      <c r="K7" s="22">
        <f>'CAPM Models'!$C7</f>
        <v>31.520979000000001</v>
      </c>
      <c r="M7" s="112">
        <v>42856</v>
      </c>
      <c r="N7" s="22">
        <f>'CAPM Models'!$E7</f>
        <v>30.652435000000001</v>
      </c>
      <c r="O7" s="22">
        <f>'CAPM Models'!$E7</f>
        <v>30.652435000000001</v>
      </c>
      <c r="P7" s="22">
        <f>'CAPM Models'!$E7</f>
        <v>30.652435000000001</v>
      </c>
      <c r="Q7" s="22">
        <f>'CAPM Models'!$E7</f>
        <v>30.652435000000001</v>
      </c>
      <c r="S7" s="112">
        <v>42856</v>
      </c>
      <c r="T7" s="22">
        <f>'CAPM Models'!$B7</f>
        <v>38.456843999999997</v>
      </c>
      <c r="U7" s="22">
        <f>'CAPM Models'!$B7</f>
        <v>38.456843999999997</v>
      </c>
      <c r="V7" s="22">
        <f>'CAPM Models'!$B7</f>
        <v>38.456843999999997</v>
      </c>
      <c r="W7" s="22">
        <f>'CAPM Models'!$B7</f>
        <v>38.456843999999997</v>
      </c>
    </row>
    <row r="8" spans="1:23" x14ac:dyDescent="0.2">
      <c r="A8" s="112">
        <v>42887</v>
      </c>
      <c r="B8" s="22">
        <f>'CAPM Models'!$D8</f>
        <v>35.746395</v>
      </c>
      <c r="C8" s="22">
        <f>'CAPM Models'!$D8</f>
        <v>35.746395</v>
      </c>
      <c r="D8" s="22">
        <f>'CAPM Models'!$D8</f>
        <v>35.746395</v>
      </c>
      <c r="E8" s="22">
        <f>'CAPM Models'!$D8</f>
        <v>35.746395</v>
      </c>
      <c r="G8" s="112">
        <v>42887</v>
      </c>
      <c r="H8" s="22">
        <f>'CAPM Models'!$C8</f>
        <v>29.671268000000001</v>
      </c>
      <c r="I8" s="22">
        <f>'CAPM Models'!$C8</f>
        <v>29.671268000000001</v>
      </c>
      <c r="J8" s="22">
        <f>'CAPM Models'!$C8</f>
        <v>29.671268000000001</v>
      </c>
      <c r="K8" s="22">
        <f>'CAPM Models'!$C8</f>
        <v>29.671268000000001</v>
      </c>
      <c r="M8" s="112">
        <v>42887</v>
      </c>
      <c r="N8" s="22">
        <f>'CAPM Models'!$E8</f>
        <v>29.745913000000002</v>
      </c>
      <c r="O8" s="22">
        <f>'CAPM Models'!$E8</f>
        <v>29.745913000000002</v>
      </c>
      <c r="P8" s="22">
        <f>'CAPM Models'!$E8</f>
        <v>29.745913000000002</v>
      </c>
      <c r="Q8" s="22">
        <f>'CAPM Models'!$E8</f>
        <v>29.745913000000002</v>
      </c>
      <c r="S8" s="112">
        <v>42887</v>
      </c>
      <c r="T8" s="22">
        <f>'CAPM Models'!$B8</f>
        <v>35.794758000000002</v>
      </c>
      <c r="U8" s="22">
        <f>'CAPM Models'!$B8</f>
        <v>35.794758000000002</v>
      </c>
      <c r="V8" s="22">
        <f>'CAPM Models'!$B8</f>
        <v>35.794758000000002</v>
      </c>
      <c r="W8" s="22">
        <f>'CAPM Models'!$B8</f>
        <v>35.794758000000002</v>
      </c>
    </row>
    <row r="9" spans="1:23" x14ac:dyDescent="0.2">
      <c r="A9" s="112">
        <v>42917</v>
      </c>
      <c r="B9" s="22">
        <f>'CAPM Models'!$D9</f>
        <v>40.185012999999998</v>
      </c>
      <c r="C9" s="22">
        <f>'CAPM Models'!$D9</f>
        <v>40.185012999999998</v>
      </c>
      <c r="D9" s="22">
        <f>'CAPM Models'!$D9</f>
        <v>40.185012999999998</v>
      </c>
      <c r="E9" s="22">
        <f>'CAPM Models'!$D9</f>
        <v>40.185012999999998</v>
      </c>
      <c r="G9" s="112">
        <v>42917</v>
      </c>
      <c r="H9" s="22">
        <f>'CAPM Models'!$C9</f>
        <v>31.192646</v>
      </c>
      <c r="I9" s="22">
        <f>'CAPM Models'!$C9</f>
        <v>31.192646</v>
      </c>
      <c r="J9" s="22">
        <f>'CAPM Models'!$C9</f>
        <v>31.192646</v>
      </c>
      <c r="K9" s="22">
        <f>'CAPM Models'!$C9</f>
        <v>31.192646</v>
      </c>
      <c r="M9" s="112">
        <v>42917</v>
      </c>
      <c r="N9" s="22">
        <f>'CAPM Models'!$E9</f>
        <v>28.012561999999999</v>
      </c>
      <c r="O9" s="22">
        <f>'CAPM Models'!$E9</f>
        <v>28.012561999999999</v>
      </c>
      <c r="P9" s="22">
        <f>'CAPM Models'!$E9</f>
        <v>28.012561999999999</v>
      </c>
      <c r="Q9" s="22">
        <f>'CAPM Models'!$E9</f>
        <v>28.012561999999999</v>
      </c>
      <c r="S9" s="112">
        <v>42917</v>
      </c>
      <c r="T9" s="22">
        <f>'CAPM Models'!$B9</f>
        <v>37.121189000000001</v>
      </c>
      <c r="U9" s="22">
        <f>'CAPM Models'!$B9</f>
        <v>37.121189000000001</v>
      </c>
      <c r="V9" s="22">
        <f>'CAPM Models'!$B9</f>
        <v>37.121189000000001</v>
      </c>
      <c r="W9" s="22">
        <f>'CAPM Models'!$B9</f>
        <v>37.121189000000001</v>
      </c>
    </row>
    <row r="10" spans="1:23" x14ac:dyDescent="0.2">
      <c r="A10" s="112">
        <v>42948</v>
      </c>
      <c r="B10" s="22">
        <f>'CAPM Models'!$D10</f>
        <v>41.898646999999997</v>
      </c>
      <c r="C10" s="22">
        <f>'CAPM Models'!$D10</f>
        <v>41.898646999999997</v>
      </c>
      <c r="D10" s="22">
        <f>'CAPM Models'!$D10</f>
        <v>41.898646999999997</v>
      </c>
      <c r="E10" s="22">
        <f>'CAPM Models'!$D10</f>
        <v>41.898646999999997</v>
      </c>
      <c r="G10" s="112">
        <v>42948</v>
      </c>
      <c r="H10" s="22">
        <f>'CAPM Models'!$C10</f>
        <v>30.840879000000001</v>
      </c>
      <c r="I10" s="22">
        <f>'CAPM Models'!$C10</f>
        <v>30.840879000000001</v>
      </c>
      <c r="J10" s="22">
        <f>'CAPM Models'!$C10</f>
        <v>30.840879000000001</v>
      </c>
      <c r="K10" s="22">
        <f>'CAPM Models'!$C10</f>
        <v>30.840879000000001</v>
      </c>
      <c r="M10" s="112">
        <v>42948</v>
      </c>
      <c r="N10" s="22">
        <f>'CAPM Models'!$E10</f>
        <v>31.847850999999999</v>
      </c>
      <c r="O10" s="22">
        <f>'CAPM Models'!$E10</f>
        <v>31.847850999999999</v>
      </c>
      <c r="P10" s="22">
        <f>'CAPM Models'!$E10</f>
        <v>31.847850999999999</v>
      </c>
      <c r="Q10" s="22">
        <f>'CAPM Models'!$E10</f>
        <v>31.847850999999999</v>
      </c>
      <c r="S10" s="112">
        <v>42948</v>
      </c>
      <c r="T10" s="22">
        <f>'CAPM Models'!$B10</f>
        <v>40.256354999999999</v>
      </c>
      <c r="U10" s="22">
        <f>'CAPM Models'!$B10</f>
        <v>40.256354999999999</v>
      </c>
      <c r="V10" s="22">
        <f>'CAPM Models'!$B10</f>
        <v>40.256354999999999</v>
      </c>
      <c r="W10" s="22">
        <f>'CAPM Models'!$B10</f>
        <v>40.256354999999999</v>
      </c>
    </row>
    <row r="11" spans="1:23" x14ac:dyDescent="0.2">
      <c r="A11" s="112">
        <v>42979</v>
      </c>
      <c r="B11" s="22">
        <f>'CAPM Models'!$D11</f>
        <v>44.244663000000003</v>
      </c>
      <c r="C11" s="22">
        <f>'CAPM Models'!$D11</f>
        <v>44.244663000000003</v>
      </c>
      <c r="D11" s="22">
        <f>'CAPM Models'!$D11</f>
        <v>44.244663000000003</v>
      </c>
      <c r="E11" s="22">
        <f>'CAPM Models'!$D11</f>
        <v>44.244663000000003</v>
      </c>
      <c r="G11" s="112">
        <v>42979</v>
      </c>
      <c r="H11" s="22">
        <f>'CAPM Models'!$C11</f>
        <v>33.739291999999999</v>
      </c>
      <c r="I11" s="22">
        <f>'CAPM Models'!$C11</f>
        <v>33.739291999999999</v>
      </c>
      <c r="J11" s="22">
        <f>'CAPM Models'!$C11</f>
        <v>33.739291999999999</v>
      </c>
      <c r="K11" s="22">
        <f>'CAPM Models'!$C11</f>
        <v>33.739291999999999</v>
      </c>
      <c r="M11" s="112">
        <v>42979</v>
      </c>
      <c r="N11" s="22">
        <f>'CAPM Models'!$E11</f>
        <v>39.179729000000002</v>
      </c>
      <c r="O11" s="22">
        <f>'CAPM Models'!$E11</f>
        <v>39.179729000000002</v>
      </c>
      <c r="P11" s="22">
        <f>'CAPM Models'!$E11</f>
        <v>39.179729000000002</v>
      </c>
      <c r="Q11" s="22">
        <f>'CAPM Models'!$E11</f>
        <v>39.179729000000002</v>
      </c>
      <c r="S11" s="112">
        <v>42979</v>
      </c>
      <c r="T11" s="22">
        <f>'CAPM Models'!$B11</f>
        <v>41.818297999999999</v>
      </c>
      <c r="U11" s="22">
        <f>'CAPM Models'!$B11</f>
        <v>41.818297999999999</v>
      </c>
      <c r="V11" s="22">
        <f>'CAPM Models'!$B11</f>
        <v>41.818297999999999</v>
      </c>
      <c r="W11" s="22">
        <f>'CAPM Models'!$B11</f>
        <v>41.818297999999999</v>
      </c>
    </row>
    <row r="12" spans="1:23" x14ac:dyDescent="0.2">
      <c r="A12" s="112">
        <v>43009</v>
      </c>
      <c r="B12" s="22">
        <f>'CAPM Models'!$D12</f>
        <v>51.184421999999998</v>
      </c>
      <c r="C12" s="22">
        <f>'CAPM Models'!$D12</f>
        <v>51.184421999999998</v>
      </c>
      <c r="D12" s="22">
        <f>'CAPM Models'!$D12</f>
        <v>51.184421999999998</v>
      </c>
      <c r="E12" s="22">
        <f>'CAPM Models'!$D12</f>
        <v>51.184421999999998</v>
      </c>
      <c r="G12" s="112">
        <v>43009</v>
      </c>
      <c r="H12" s="22">
        <f>'CAPM Models'!$C12</f>
        <v>40.304642000000001</v>
      </c>
      <c r="I12" s="22">
        <f>'CAPM Models'!$C12</f>
        <v>40.304642000000001</v>
      </c>
      <c r="J12" s="22">
        <f>'CAPM Models'!$C12</f>
        <v>40.304642000000001</v>
      </c>
      <c r="K12" s="22">
        <f>'CAPM Models'!$C12</f>
        <v>40.304642000000001</v>
      </c>
      <c r="M12" s="112">
        <v>43009</v>
      </c>
      <c r="N12" s="22">
        <f>'CAPM Models'!$E12</f>
        <v>44.140704999999997</v>
      </c>
      <c r="O12" s="22">
        <f>'CAPM Models'!$E12</f>
        <v>44.140704999999997</v>
      </c>
      <c r="P12" s="22">
        <f>'CAPM Models'!$E12</f>
        <v>44.140704999999997</v>
      </c>
      <c r="Q12" s="22">
        <f>'CAPM Models'!$E12</f>
        <v>44.140704999999997</v>
      </c>
      <c r="S12" s="112">
        <v>43009</v>
      </c>
      <c r="T12" s="22">
        <f>'CAPM Models'!$B12</f>
        <v>44.156548000000001</v>
      </c>
      <c r="U12" s="22">
        <f>'CAPM Models'!$B12</f>
        <v>44.156548000000001</v>
      </c>
      <c r="V12" s="22">
        <f>'CAPM Models'!$B12</f>
        <v>44.156548000000001</v>
      </c>
      <c r="W12" s="22">
        <f>'CAPM Models'!$B12</f>
        <v>44.156548000000001</v>
      </c>
    </row>
    <row r="13" spans="1:23" x14ac:dyDescent="0.2">
      <c r="A13" s="112">
        <v>43040</v>
      </c>
      <c r="B13" s="22">
        <f>'CAPM Models'!$D13</f>
        <v>49.674709</v>
      </c>
      <c r="C13" s="22">
        <f>'CAPM Models'!$D13</f>
        <v>49.674709</v>
      </c>
      <c r="D13" s="22">
        <f>'CAPM Models'!$D13</f>
        <v>49.674709</v>
      </c>
      <c r="E13" s="22">
        <f>'CAPM Models'!$D13</f>
        <v>49.674709</v>
      </c>
      <c r="G13" s="112">
        <v>43040</v>
      </c>
      <c r="H13" s="22">
        <f>'CAPM Models'!$C13</f>
        <v>39.728732999999998</v>
      </c>
      <c r="I13" s="22">
        <f>'CAPM Models'!$C13</f>
        <v>39.728732999999998</v>
      </c>
      <c r="J13" s="22">
        <f>'CAPM Models'!$C13</f>
        <v>39.728732999999998</v>
      </c>
      <c r="K13" s="22">
        <f>'CAPM Models'!$C13</f>
        <v>39.728732999999998</v>
      </c>
      <c r="M13" s="112">
        <v>43040</v>
      </c>
      <c r="N13" s="22">
        <f>'CAPM Models'!$E13</f>
        <v>42.228039000000003</v>
      </c>
      <c r="O13" s="22">
        <f>'CAPM Models'!$E13</f>
        <v>42.228039000000003</v>
      </c>
      <c r="P13" s="22">
        <f>'CAPM Models'!$E13</f>
        <v>42.228039000000003</v>
      </c>
      <c r="Q13" s="22">
        <f>'CAPM Models'!$E13</f>
        <v>42.228039000000003</v>
      </c>
      <c r="S13" s="112">
        <v>43040</v>
      </c>
      <c r="T13" s="22">
        <f>'CAPM Models'!$B13</f>
        <v>40.518745000000003</v>
      </c>
      <c r="U13" s="22">
        <f>'CAPM Models'!$B13</f>
        <v>40.518745000000003</v>
      </c>
      <c r="V13" s="22">
        <f>'CAPM Models'!$B13</f>
        <v>40.518745000000003</v>
      </c>
      <c r="W13" s="22">
        <f>'CAPM Models'!$B13</f>
        <v>40.518745000000003</v>
      </c>
    </row>
    <row r="14" spans="1:23" x14ac:dyDescent="0.2">
      <c r="A14" s="112">
        <v>43070</v>
      </c>
      <c r="B14" s="22">
        <f>'CAPM Models'!$D14</f>
        <v>47.923541999999998</v>
      </c>
      <c r="C14" s="22">
        <f>'CAPM Models'!$D14</f>
        <v>47.923541999999998</v>
      </c>
      <c r="D14" s="22">
        <f>'CAPM Models'!$D14</f>
        <v>47.923541999999998</v>
      </c>
      <c r="E14" s="22">
        <f>'CAPM Models'!$D14</f>
        <v>47.923541999999998</v>
      </c>
      <c r="G14" s="112">
        <v>43070</v>
      </c>
      <c r="H14" s="22">
        <f>'CAPM Models'!$C14</f>
        <v>41.140636000000001</v>
      </c>
      <c r="I14" s="22">
        <f>'CAPM Models'!$C14</f>
        <v>41.140636000000001</v>
      </c>
      <c r="J14" s="22">
        <f>'CAPM Models'!$C14</f>
        <v>41.140636000000001</v>
      </c>
      <c r="K14" s="22">
        <f>'CAPM Models'!$C14</f>
        <v>41.140636000000001</v>
      </c>
      <c r="M14" s="112">
        <v>43070</v>
      </c>
      <c r="N14" s="22">
        <f>'CAPM Models'!$E14</f>
        <v>40.962887000000002</v>
      </c>
      <c r="O14" s="22">
        <f>'CAPM Models'!$E14</f>
        <v>40.962887000000002</v>
      </c>
      <c r="P14" s="22">
        <f>'CAPM Models'!$E14</f>
        <v>40.962887000000002</v>
      </c>
      <c r="Q14" s="22">
        <f>'CAPM Models'!$E14</f>
        <v>40.962887000000002</v>
      </c>
      <c r="S14" s="112">
        <v>43070</v>
      </c>
      <c r="T14" s="22">
        <f>'CAPM Models'!$B14</f>
        <v>41.096694999999997</v>
      </c>
      <c r="U14" s="22">
        <f>'CAPM Models'!$B14</f>
        <v>41.096694999999997</v>
      </c>
      <c r="V14" s="22">
        <f>'CAPM Models'!$B14</f>
        <v>41.096694999999997</v>
      </c>
      <c r="W14" s="22">
        <f>'CAPM Models'!$B14</f>
        <v>41.096694999999997</v>
      </c>
    </row>
    <row r="15" spans="1:23" x14ac:dyDescent="0.2">
      <c r="A15" s="112">
        <v>43101</v>
      </c>
      <c r="B15" s="22">
        <f>'CAPM Models'!$D15</f>
        <v>60.876511000000001</v>
      </c>
      <c r="C15" s="22">
        <f>'CAPM Models'!$D15</f>
        <v>60.876511000000001</v>
      </c>
      <c r="D15" s="22">
        <f>'CAPM Models'!$D15</f>
        <v>60.876511000000001</v>
      </c>
      <c r="E15" s="22">
        <f>'CAPM Models'!$D15</f>
        <v>60.876511000000001</v>
      </c>
      <c r="G15" s="112">
        <v>43101</v>
      </c>
      <c r="H15" s="22">
        <f>'CAPM Models'!$C15</f>
        <v>42.905330999999997</v>
      </c>
      <c r="I15" s="22">
        <f>'CAPM Models'!$C15</f>
        <v>42.905330999999997</v>
      </c>
      <c r="J15" s="22">
        <f>'CAPM Models'!$C15</f>
        <v>42.905330999999997</v>
      </c>
      <c r="K15" s="22">
        <f>'CAPM Models'!$C15</f>
        <v>42.905330999999997</v>
      </c>
      <c r="M15" s="112">
        <v>43101</v>
      </c>
      <c r="N15" s="22">
        <f>'CAPM Models'!$E15</f>
        <v>43.552956000000002</v>
      </c>
      <c r="O15" s="22">
        <f>'CAPM Models'!$E15</f>
        <v>43.552956000000002</v>
      </c>
      <c r="P15" s="22">
        <f>'CAPM Models'!$E15</f>
        <v>43.552956000000002</v>
      </c>
      <c r="Q15" s="22">
        <f>'CAPM Models'!$E15</f>
        <v>43.552956000000002</v>
      </c>
      <c r="S15" s="112">
        <v>43101</v>
      </c>
      <c r="T15" s="22">
        <f>'CAPM Models'!$B15</f>
        <v>44.529221</v>
      </c>
      <c r="U15" s="22">
        <f>'CAPM Models'!$B15</f>
        <v>44.529221</v>
      </c>
      <c r="V15" s="22">
        <f>'CAPM Models'!$B15</f>
        <v>44.529221</v>
      </c>
      <c r="W15" s="22">
        <f>'CAPM Models'!$B15</f>
        <v>44.529221</v>
      </c>
    </row>
    <row r="16" spans="1:23" x14ac:dyDescent="0.2">
      <c r="A16" s="112">
        <v>43132</v>
      </c>
      <c r="B16" s="22">
        <f>'CAPM Models'!$D16</f>
        <v>59.935383000000002</v>
      </c>
      <c r="C16" s="22">
        <f>'CAPM Models'!$D16</f>
        <v>59.935383000000002</v>
      </c>
      <c r="D16" s="22">
        <f>'CAPM Models'!$D16</f>
        <v>59.935383000000002</v>
      </c>
      <c r="E16" s="22">
        <f>'CAPM Models'!$D16</f>
        <v>59.935383000000002</v>
      </c>
      <c r="G16" s="112">
        <v>43132</v>
      </c>
      <c r="H16" s="22">
        <f>'CAPM Models'!$C16</f>
        <v>43.930283000000003</v>
      </c>
      <c r="I16" s="22">
        <f>'CAPM Models'!$C16</f>
        <v>43.930283000000003</v>
      </c>
      <c r="J16" s="22">
        <f>'CAPM Models'!$C16</f>
        <v>43.930283000000003</v>
      </c>
      <c r="K16" s="22">
        <f>'CAPM Models'!$C16</f>
        <v>43.930283000000003</v>
      </c>
      <c r="M16" s="112">
        <v>43132</v>
      </c>
      <c r="N16" s="22">
        <f>'CAPM Models'!$E16</f>
        <v>48.623508000000001</v>
      </c>
      <c r="O16" s="22">
        <f>'CAPM Models'!$E16</f>
        <v>48.623508000000001</v>
      </c>
      <c r="P16" s="22">
        <f>'CAPM Models'!$E16</f>
        <v>48.623508000000001</v>
      </c>
      <c r="Q16" s="22">
        <f>'CAPM Models'!$E16</f>
        <v>48.623508000000001</v>
      </c>
      <c r="S16" s="112">
        <v>43132</v>
      </c>
      <c r="T16" s="22">
        <f>'CAPM Models'!$B16</f>
        <v>41.587727000000001</v>
      </c>
      <c r="U16" s="22">
        <f>'CAPM Models'!$B16</f>
        <v>41.587727000000001</v>
      </c>
      <c r="V16" s="22">
        <f>'CAPM Models'!$B16</f>
        <v>41.587727000000001</v>
      </c>
      <c r="W16" s="22">
        <f>'CAPM Models'!$B16</f>
        <v>41.587727000000001</v>
      </c>
    </row>
    <row r="17" spans="1:23" x14ac:dyDescent="0.2">
      <c r="A17" s="112">
        <v>43160</v>
      </c>
      <c r="B17" s="22">
        <f>'CAPM Models'!$D17</f>
        <v>57.392817999999998</v>
      </c>
      <c r="C17" s="22">
        <f>'CAPM Models'!$D17</f>
        <v>57.392817999999998</v>
      </c>
      <c r="D17" s="22">
        <f>'CAPM Models'!$D17</f>
        <v>57.392817999999998</v>
      </c>
      <c r="E17" s="22">
        <f>'CAPM Models'!$D17</f>
        <v>57.392817999999998</v>
      </c>
      <c r="G17" s="112">
        <v>43160</v>
      </c>
      <c r="H17" s="22">
        <f>'CAPM Models'!$C17</f>
        <v>46.731808000000001</v>
      </c>
      <c r="I17" s="22">
        <f>'CAPM Models'!$C17</f>
        <v>46.731808000000001</v>
      </c>
      <c r="J17" s="22">
        <f>'CAPM Models'!$C17</f>
        <v>46.731808000000001</v>
      </c>
      <c r="K17" s="22">
        <f>'CAPM Models'!$C17</f>
        <v>46.731808000000001</v>
      </c>
      <c r="M17" s="112">
        <v>43160</v>
      </c>
      <c r="N17" s="22">
        <f>'CAPM Models'!$E17</f>
        <v>51.940787999999998</v>
      </c>
      <c r="O17" s="22">
        <f>'CAPM Models'!$E17</f>
        <v>51.940787999999998</v>
      </c>
      <c r="P17" s="22">
        <f>'CAPM Models'!$E17</f>
        <v>51.940787999999998</v>
      </c>
      <c r="Q17" s="22">
        <f>'CAPM Models'!$E17</f>
        <v>51.940787999999998</v>
      </c>
      <c r="S17" s="112">
        <v>43160</v>
      </c>
      <c r="T17" s="22">
        <f>'CAPM Models'!$B17</f>
        <v>42.910857999999998</v>
      </c>
      <c r="U17" s="22">
        <f>'CAPM Models'!$B17</f>
        <v>42.910857999999998</v>
      </c>
      <c r="V17" s="22">
        <f>'CAPM Models'!$B17</f>
        <v>42.910857999999998</v>
      </c>
      <c r="W17" s="22">
        <f>'CAPM Models'!$B17</f>
        <v>42.910857999999998</v>
      </c>
    </row>
    <row r="18" spans="1:23" x14ac:dyDescent="0.2">
      <c r="A18" s="112">
        <v>43191</v>
      </c>
      <c r="B18" s="22">
        <f>'CAPM Models'!$D18</f>
        <v>55.734881999999999</v>
      </c>
      <c r="C18" s="22">
        <f>'CAPM Models'!$D18</f>
        <v>55.734881999999999</v>
      </c>
      <c r="D18" s="22">
        <f>'CAPM Models'!$D18</f>
        <v>55.734881999999999</v>
      </c>
      <c r="E18" s="22">
        <f>'CAPM Models'!$D18</f>
        <v>55.734881999999999</v>
      </c>
      <c r="G18" s="112">
        <v>43191</v>
      </c>
      <c r="H18" s="22">
        <f>'CAPM Models'!$C18</f>
        <v>46.319035</v>
      </c>
      <c r="I18" s="22">
        <f>'CAPM Models'!$C18</f>
        <v>46.319035</v>
      </c>
      <c r="J18" s="22">
        <f>'CAPM Models'!$C18</f>
        <v>46.319035</v>
      </c>
      <c r="K18" s="22">
        <f>'CAPM Models'!$C18</f>
        <v>46.319035</v>
      </c>
      <c r="M18" s="112">
        <v>43191</v>
      </c>
      <c r="N18" s="22">
        <f>'CAPM Models'!$E18</f>
        <v>45.804321000000002</v>
      </c>
      <c r="O18" s="22">
        <f>'CAPM Models'!$E18</f>
        <v>45.804321000000002</v>
      </c>
      <c r="P18" s="22">
        <f>'CAPM Models'!$E18</f>
        <v>45.804321000000002</v>
      </c>
      <c r="Q18" s="22">
        <f>'CAPM Models'!$E18</f>
        <v>45.804321000000002</v>
      </c>
      <c r="S18" s="112">
        <v>43191</v>
      </c>
      <c r="T18" s="22">
        <f>'CAPM Models'!$B18</f>
        <v>39.294249999999998</v>
      </c>
      <c r="U18" s="22">
        <f>'CAPM Models'!$B18</f>
        <v>39.294249999999998</v>
      </c>
      <c r="V18" s="22">
        <f>'CAPM Models'!$B18</f>
        <v>39.294249999999998</v>
      </c>
      <c r="W18" s="22">
        <f>'CAPM Models'!$B18</f>
        <v>39.294249999999998</v>
      </c>
    </row>
    <row r="19" spans="1:23" x14ac:dyDescent="0.2">
      <c r="A19" s="112">
        <v>43221</v>
      </c>
      <c r="B19" s="22">
        <f>'CAPM Models'!$D19</f>
        <v>62.497925000000002</v>
      </c>
      <c r="C19" s="22">
        <f>'CAPM Models'!$D19</f>
        <v>62.497925000000002</v>
      </c>
      <c r="D19" s="22">
        <f>'CAPM Models'!$D19</f>
        <v>62.497925000000002</v>
      </c>
      <c r="E19" s="22">
        <f>'CAPM Models'!$D19</f>
        <v>62.497925000000002</v>
      </c>
      <c r="G19" s="112">
        <v>43221</v>
      </c>
      <c r="H19" s="22">
        <f>'CAPM Models'!$C19</f>
        <v>49.531410000000001</v>
      </c>
      <c r="I19" s="22">
        <f>'CAPM Models'!$C19</f>
        <v>49.531410000000001</v>
      </c>
      <c r="J19" s="22">
        <f>'CAPM Models'!$C19</f>
        <v>49.531410000000001</v>
      </c>
      <c r="K19" s="22">
        <f>'CAPM Models'!$C19</f>
        <v>49.531410000000001</v>
      </c>
      <c r="M19" s="112">
        <v>43221</v>
      </c>
      <c r="N19" s="22">
        <f>'CAPM Models'!$E19</f>
        <v>57.369965000000001</v>
      </c>
      <c r="O19" s="22">
        <f>'CAPM Models'!$E19</f>
        <v>57.369965000000001</v>
      </c>
      <c r="P19" s="22">
        <f>'CAPM Models'!$E19</f>
        <v>57.369965000000001</v>
      </c>
      <c r="Q19" s="22">
        <f>'CAPM Models'!$E19</f>
        <v>57.369965000000001</v>
      </c>
      <c r="S19" s="112">
        <v>43221</v>
      </c>
      <c r="T19" s="22">
        <f>'CAPM Models'!$B19</f>
        <v>45.738388</v>
      </c>
      <c r="U19" s="22">
        <f>'CAPM Models'!$B19</f>
        <v>45.738388</v>
      </c>
      <c r="V19" s="22">
        <f>'CAPM Models'!$B19</f>
        <v>45.738388</v>
      </c>
      <c r="W19" s="22">
        <f>'CAPM Models'!$B19</f>
        <v>45.738388</v>
      </c>
    </row>
    <row r="20" spans="1:23" x14ac:dyDescent="0.2">
      <c r="A20" s="112">
        <v>43252</v>
      </c>
      <c r="B20" s="22">
        <f>'CAPM Models'!$D20</f>
        <v>58.745041000000001</v>
      </c>
      <c r="C20" s="22">
        <f>'CAPM Models'!$D20</f>
        <v>58.745041000000001</v>
      </c>
      <c r="D20" s="22">
        <f>'CAPM Models'!$D20</f>
        <v>58.745041000000001</v>
      </c>
      <c r="E20" s="22">
        <f>'CAPM Models'!$D20</f>
        <v>58.745041000000001</v>
      </c>
      <c r="G20" s="112">
        <v>43252</v>
      </c>
      <c r="H20" s="22">
        <f>'CAPM Models'!$C20</f>
        <v>44.862609999999997</v>
      </c>
      <c r="I20" s="22">
        <f>'CAPM Models'!$C20</f>
        <v>44.862609999999997</v>
      </c>
      <c r="J20" s="22">
        <f>'CAPM Models'!$C20</f>
        <v>44.862609999999997</v>
      </c>
      <c r="K20" s="22">
        <f>'CAPM Models'!$C20</f>
        <v>44.862609999999997</v>
      </c>
      <c r="M20" s="112">
        <v>43252</v>
      </c>
      <c r="N20" s="22">
        <f>'CAPM Models'!$E20</f>
        <v>52.239638999999997</v>
      </c>
      <c r="O20" s="22">
        <f>'CAPM Models'!$E20</f>
        <v>52.239638999999997</v>
      </c>
      <c r="P20" s="22">
        <f>'CAPM Models'!$E20</f>
        <v>52.239638999999997</v>
      </c>
      <c r="Q20" s="22">
        <f>'CAPM Models'!$E20</f>
        <v>52.239638999999997</v>
      </c>
      <c r="S20" s="112">
        <v>43252</v>
      </c>
      <c r="T20" s="22">
        <f>'CAPM Models'!$B20</f>
        <v>42.885468000000003</v>
      </c>
      <c r="U20" s="22">
        <f>'CAPM Models'!$B20</f>
        <v>42.885468000000003</v>
      </c>
      <c r="V20" s="22">
        <f>'CAPM Models'!$B20</f>
        <v>42.885468000000003</v>
      </c>
      <c r="W20" s="22">
        <f>'CAPM Models'!$B20</f>
        <v>42.885468000000003</v>
      </c>
    </row>
    <row r="21" spans="1:23" x14ac:dyDescent="0.2">
      <c r="A21" s="112">
        <v>43282</v>
      </c>
      <c r="B21" s="22">
        <f>'CAPM Models'!$D21</f>
        <v>60.718921999999999</v>
      </c>
      <c r="C21" s="22">
        <f>'CAPM Models'!$D21</f>
        <v>60.718921999999999</v>
      </c>
      <c r="D21" s="22">
        <f>'CAPM Models'!$D21</f>
        <v>60.718921999999999</v>
      </c>
      <c r="E21" s="22">
        <f>'CAPM Models'!$D21</f>
        <v>60.718921999999999</v>
      </c>
      <c r="G21" s="112">
        <v>43282</v>
      </c>
      <c r="H21" s="22">
        <f>'CAPM Models'!$C21</f>
        <v>43.409618000000002</v>
      </c>
      <c r="I21" s="22">
        <f>'CAPM Models'!$C21</f>
        <v>43.409618000000002</v>
      </c>
      <c r="J21" s="22">
        <f>'CAPM Models'!$C21</f>
        <v>43.409618000000002</v>
      </c>
      <c r="K21" s="22">
        <f>'CAPM Models'!$C21</f>
        <v>43.409618000000002</v>
      </c>
      <c r="M21" s="112">
        <v>43282</v>
      </c>
      <c r="N21" s="22">
        <f>'CAPM Models'!$E21</f>
        <v>52.588303000000003</v>
      </c>
      <c r="O21" s="22">
        <f>'CAPM Models'!$E21</f>
        <v>52.588303000000003</v>
      </c>
      <c r="P21" s="22">
        <f>'CAPM Models'!$E21</f>
        <v>52.588303000000003</v>
      </c>
      <c r="Q21" s="22">
        <f>'CAPM Models'!$E21</f>
        <v>52.588303000000003</v>
      </c>
      <c r="S21" s="112">
        <v>43282</v>
      </c>
      <c r="T21" s="22">
        <f>'CAPM Models'!$B21</f>
        <v>44.054851999999997</v>
      </c>
      <c r="U21" s="22">
        <f>'CAPM Models'!$B21</f>
        <v>44.054851999999997</v>
      </c>
      <c r="V21" s="22">
        <f>'CAPM Models'!$B21</f>
        <v>44.054851999999997</v>
      </c>
      <c r="W21" s="22">
        <f>'CAPM Models'!$B21</f>
        <v>44.054851999999997</v>
      </c>
    </row>
    <row r="22" spans="1:23" x14ac:dyDescent="0.2">
      <c r="A22" s="112">
        <v>43313</v>
      </c>
      <c r="B22" s="22">
        <f>'CAPM Models'!$D22</f>
        <v>69.601356999999993</v>
      </c>
      <c r="C22" s="22">
        <f>'CAPM Models'!$D22</f>
        <v>69.601356999999993</v>
      </c>
      <c r="D22" s="22">
        <f>'CAPM Models'!$D22</f>
        <v>69.601356999999993</v>
      </c>
      <c r="E22" s="22">
        <f>'CAPM Models'!$D22</f>
        <v>69.601356999999993</v>
      </c>
      <c r="G22" s="112">
        <v>43313</v>
      </c>
      <c r="H22" s="22">
        <f>'CAPM Models'!$C22</f>
        <v>43.707442999999998</v>
      </c>
      <c r="I22" s="22">
        <f>'CAPM Models'!$C22</f>
        <v>43.707442999999998</v>
      </c>
      <c r="J22" s="22">
        <f>'CAPM Models'!$C22</f>
        <v>43.707442999999998</v>
      </c>
      <c r="K22" s="22">
        <f>'CAPM Models'!$C22</f>
        <v>43.707442999999998</v>
      </c>
      <c r="M22" s="112">
        <v>43313</v>
      </c>
      <c r="N22" s="22">
        <f>'CAPM Models'!$E22</f>
        <v>52.319336</v>
      </c>
      <c r="O22" s="22">
        <f>'CAPM Models'!$E22</f>
        <v>52.319336</v>
      </c>
      <c r="P22" s="22">
        <f>'CAPM Models'!$E22</f>
        <v>52.319336</v>
      </c>
      <c r="Q22" s="22">
        <f>'CAPM Models'!$E22</f>
        <v>52.319336</v>
      </c>
      <c r="S22" s="112">
        <v>43313</v>
      </c>
      <c r="T22" s="22">
        <f>'CAPM Models'!$B22</f>
        <v>40.565551999999997</v>
      </c>
      <c r="U22" s="22">
        <f>'CAPM Models'!$B22</f>
        <v>40.565551999999997</v>
      </c>
      <c r="V22" s="22">
        <f>'CAPM Models'!$B22</f>
        <v>40.565551999999997</v>
      </c>
      <c r="W22" s="22">
        <f>'CAPM Models'!$B22</f>
        <v>40.565551999999997</v>
      </c>
    </row>
    <row r="23" spans="1:23" x14ac:dyDescent="0.2">
      <c r="A23" s="112">
        <v>43344</v>
      </c>
      <c r="B23" s="22">
        <f>'CAPM Models'!$D23</f>
        <v>69.723785000000007</v>
      </c>
      <c r="C23" s="22">
        <f>'CAPM Models'!$D23</f>
        <v>69.723785000000007</v>
      </c>
      <c r="D23" s="22">
        <f>'CAPM Models'!$D23</f>
        <v>69.723785000000007</v>
      </c>
      <c r="E23" s="22">
        <f>'CAPM Models'!$D23</f>
        <v>69.723785000000007</v>
      </c>
      <c r="G23" s="112">
        <v>43344</v>
      </c>
      <c r="H23" s="22">
        <f>'CAPM Models'!$C23</f>
        <v>42.938152000000002</v>
      </c>
      <c r="I23" s="22">
        <f>'CAPM Models'!$C23</f>
        <v>42.938152000000002</v>
      </c>
      <c r="J23" s="22">
        <f>'CAPM Models'!$C23</f>
        <v>42.938152000000002</v>
      </c>
      <c r="K23" s="22">
        <f>'CAPM Models'!$C23</f>
        <v>42.938152000000002</v>
      </c>
      <c r="M23" s="112">
        <v>43344</v>
      </c>
      <c r="N23" s="22">
        <f>'CAPM Models'!$E23</f>
        <v>45.057181999999997</v>
      </c>
      <c r="O23" s="22">
        <f>'CAPM Models'!$E23</f>
        <v>45.057181999999997</v>
      </c>
      <c r="P23" s="22">
        <f>'CAPM Models'!$E23</f>
        <v>45.057181999999997</v>
      </c>
      <c r="Q23" s="22">
        <f>'CAPM Models'!$E23</f>
        <v>45.057181999999997</v>
      </c>
      <c r="S23" s="112">
        <v>43344</v>
      </c>
      <c r="T23" s="22">
        <f>'CAPM Models'!$B23</f>
        <v>37.372146999999998</v>
      </c>
      <c r="U23" s="22">
        <f>'CAPM Models'!$B23</f>
        <v>37.372146999999998</v>
      </c>
      <c r="V23" s="22">
        <f>'CAPM Models'!$B23</f>
        <v>37.372146999999998</v>
      </c>
      <c r="W23" s="22">
        <f>'CAPM Models'!$B23</f>
        <v>37.372146999999998</v>
      </c>
    </row>
    <row r="24" spans="1:23" x14ac:dyDescent="0.2">
      <c r="A24" s="112">
        <v>43374</v>
      </c>
      <c r="B24" s="22">
        <f>'CAPM Models'!$D24</f>
        <v>52.308964000000003</v>
      </c>
      <c r="C24" s="22">
        <f>'CAPM Models'!$D24</f>
        <v>52.308964000000003</v>
      </c>
      <c r="D24" s="22">
        <f>'CAPM Models'!$D24</f>
        <v>52.308964000000003</v>
      </c>
      <c r="E24" s="22">
        <f>'CAPM Models'!$D24</f>
        <v>52.308964000000003</v>
      </c>
      <c r="G24" s="112">
        <v>43374</v>
      </c>
      <c r="H24" s="22">
        <f>'CAPM Models'!$C24</f>
        <v>42.565886999999996</v>
      </c>
      <c r="I24" s="22">
        <f>'CAPM Models'!$C24</f>
        <v>42.565886999999996</v>
      </c>
      <c r="J24" s="22">
        <f>'CAPM Models'!$C24</f>
        <v>42.565886999999996</v>
      </c>
      <c r="K24" s="22">
        <f>'CAPM Models'!$C24</f>
        <v>42.565886999999996</v>
      </c>
      <c r="M24" s="112">
        <v>43374</v>
      </c>
      <c r="N24" s="22">
        <f>'CAPM Models'!$E24</f>
        <v>37.575878000000003</v>
      </c>
      <c r="O24" s="22">
        <f>'CAPM Models'!$E24</f>
        <v>37.575878000000003</v>
      </c>
      <c r="P24" s="22">
        <f>'CAPM Models'!$E24</f>
        <v>37.575878000000003</v>
      </c>
      <c r="Q24" s="22">
        <f>'CAPM Models'!$E24</f>
        <v>37.575878000000003</v>
      </c>
      <c r="S24" s="112">
        <v>43374</v>
      </c>
      <c r="T24" s="22">
        <f>'CAPM Models'!$B24</f>
        <v>31.153721000000001</v>
      </c>
      <c r="U24" s="22">
        <f>'CAPM Models'!$B24</f>
        <v>31.153721000000001</v>
      </c>
      <c r="V24" s="22">
        <f>'CAPM Models'!$B24</f>
        <v>31.153721000000001</v>
      </c>
      <c r="W24" s="22">
        <f>'CAPM Models'!$B24</f>
        <v>31.153721000000001</v>
      </c>
    </row>
    <row r="25" spans="1:23" x14ac:dyDescent="0.2">
      <c r="A25" s="112">
        <v>43405</v>
      </c>
      <c r="B25" s="22">
        <f>'CAPM Models'!$D25</f>
        <v>40.548549999999999</v>
      </c>
      <c r="C25" s="22">
        <f>'CAPM Models'!$D25</f>
        <v>40.548549999999999</v>
      </c>
      <c r="D25" s="22">
        <f>'CAPM Models'!$D25</f>
        <v>40.548549999999999</v>
      </c>
      <c r="E25" s="22">
        <f>'CAPM Models'!$D25</f>
        <v>40.548549999999999</v>
      </c>
      <c r="G25" s="112">
        <v>43405</v>
      </c>
      <c r="H25" s="22">
        <f>'CAPM Models'!$C25</f>
        <v>44.772266000000002</v>
      </c>
      <c r="I25" s="22">
        <f>'CAPM Models'!$C25</f>
        <v>44.772266000000002</v>
      </c>
      <c r="J25" s="22">
        <f>'CAPM Models'!$C25</f>
        <v>44.772266000000002</v>
      </c>
      <c r="K25" s="22">
        <f>'CAPM Models'!$C25</f>
        <v>44.772266000000002</v>
      </c>
      <c r="M25" s="112">
        <v>43405</v>
      </c>
      <c r="N25" s="22">
        <f>'CAPM Models'!$E25</f>
        <v>38.412674000000003</v>
      </c>
      <c r="O25" s="22">
        <f>'CAPM Models'!$E25</f>
        <v>38.412674000000003</v>
      </c>
      <c r="P25" s="22">
        <f>'CAPM Models'!$E25</f>
        <v>38.412674000000003</v>
      </c>
      <c r="Q25" s="22">
        <f>'CAPM Models'!$E25</f>
        <v>38.412674000000003</v>
      </c>
      <c r="S25" s="112">
        <v>43405</v>
      </c>
      <c r="T25" s="22">
        <f>'CAPM Models'!$B25</f>
        <v>35.520350999999998</v>
      </c>
      <c r="U25" s="22">
        <f>'CAPM Models'!$B25</f>
        <v>35.520350999999998</v>
      </c>
      <c r="V25" s="22">
        <f>'CAPM Models'!$B25</f>
        <v>35.520350999999998</v>
      </c>
      <c r="W25" s="22">
        <f>'CAPM Models'!$B25</f>
        <v>35.520350999999998</v>
      </c>
    </row>
    <row r="26" spans="1:23" x14ac:dyDescent="0.2">
      <c r="A26" s="112">
        <v>43435</v>
      </c>
      <c r="B26" s="22">
        <f>'CAPM Models'!$D26</f>
        <v>33.155780999999998</v>
      </c>
      <c r="C26" s="22">
        <f>'CAPM Models'!$D26</f>
        <v>33.155780999999998</v>
      </c>
      <c r="D26" s="22">
        <f>'CAPM Models'!$D26</f>
        <v>33.155780999999998</v>
      </c>
      <c r="E26" s="22">
        <f>'CAPM Models'!$D26</f>
        <v>33.155780999999998</v>
      </c>
      <c r="G26" s="112">
        <v>43435</v>
      </c>
      <c r="H26" s="22">
        <f>'CAPM Models'!$C26</f>
        <v>42.879452000000001</v>
      </c>
      <c r="I26" s="22">
        <f>'CAPM Models'!$C26</f>
        <v>42.879452000000001</v>
      </c>
      <c r="J26" s="22">
        <f>'CAPM Models'!$C26</f>
        <v>42.879452000000001</v>
      </c>
      <c r="K26" s="22">
        <f>'CAPM Models'!$C26</f>
        <v>42.879452000000001</v>
      </c>
      <c r="M26" s="112">
        <v>43435</v>
      </c>
      <c r="N26" s="22">
        <f>'CAPM Models'!$E26</f>
        <v>31.608768000000001</v>
      </c>
      <c r="O26" s="22">
        <f>'CAPM Models'!$E26</f>
        <v>31.608768000000001</v>
      </c>
      <c r="P26" s="22">
        <f>'CAPM Models'!$E26</f>
        <v>31.608768000000001</v>
      </c>
      <c r="Q26" s="22">
        <f>'CAPM Models'!$E26</f>
        <v>31.608768000000001</v>
      </c>
      <c r="S26" s="112">
        <v>43435</v>
      </c>
      <c r="T26" s="22">
        <f>'CAPM Models'!$B26</f>
        <v>34.230761999999999</v>
      </c>
      <c r="U26" s="22">
        <f>'CAPM Models'!$B26</f>
        <v>34.230761999999999</v>
      </c>
      <c r="V26" s="22">
        <f>'CAPM Models'!$B26</f>
        <v>34.230761999999999</v>
      </c>
      <c r="W26" s="22">
        <f>'CAPM Models'!$B26</f>
        <v>34.230761999999999</v>
      </c>
    </row>
    <row r="27" spans="1:23" x14ac:dyDescent="0.2">
      <c r="A27" s="112">
        <v>43466</v>
      </c>
      <c r="B27" s="22">
        <f>'CAPM Models'!$D27</f>
        <v>35.701450000000001</v>
      </c>
      <c r="C27" s="22">
        <f>'CAPM Models'!$D27</f>
        <v>35.701450000000001</v>
      </c>
      <c r="D27" s="22">
        <f>'CAPM Models'!$D27</f>
        <v>35.701450000000001</v>
      </c>
      <c r="E27" s="22">
        <f>'CAPM Models'!$D27</f>
        <v>35.701450000000001</v>
      </c>
      <c r="G27" s="112">
        <v>43466</v>
      </c>
      <c r="H27" s="22">
        <f>'CAPM Models'!$C27</f>
        <v>43.053046999999999</v>
      </c>
      <c r="I27" s="22">
        <f>'CAPM Models'!$C27</f>
        <v>43.053046999999999</v>
      </c>
      <c r="J27" s="22">
        <f>'CAPM Models'!$C27</f>
        <v>43.053046999999999</v>
      </c>
      <c r="K27" s="22">
        <f>'CAPM Models'!$C27</f>
        <v>43.053046999999999</v>
      </c>
      <c r="M27" s="112">
        <v>43466</v>
      </c>
      <c r="N27" s="22">
        <f>'CAPM Models'!$E27</f>
        <v>38.073971</v>
      </c>
      <c r="O27" s="22">
        <f>'CAPM Models'!$E27</f>
        <v>38.073971</v>
      </c>
      <c r="P27" s="22">
        <f>'CAPM Models'!$E27</f>
        <v>38.073971</v>
      </c>
      <c r="Q27" s="22">
        <f>'CAPM Models'!$E27</f>
        <v>38.073971</v>
      </c>
      <c r="S27" s="112">
        <v>43466</v>
      </c>
      <c r="T27" s="22">
        <f>'CAPM Models'!$B27</f>
        <v>38.252594000000002</v>
      </c>
      <c r="U27" s="22">
        <f>'CAPM Models'!$B27</f>
        <v>38.252594000000002</v>
      </c>
      <c r="V27" s="22">
        <f>'CAPM Models'!$B27</f>
        <v>38.252594000000002</v>
      </c>
      <c r="W27" s="22">
        <f>'CAPM Models'!$B27</f>
        <v>38.252594000000002</v>
      </c>
    </row>
    <row r="28" spans="1:23" x14ac:dyDescent="0.2">
      <c r="A28" s="112">
        <v>43497</v>
      </c>
      <c r="B28" s="22">
        <f>'CAPM Models'!$D28</f>
        <v>38.311686999999999</v>
      </c>
      <c r="C28" s="22">
        <f>'CAPM Models'!$D28</f>
        <v>38.311686999999999</v>
      </c>
      <c r="D28" s="22">
        <f>'CAPM Models'!$D28</f>
        <v>38.311686999999999</v>
      </c>
      <c r="E28" s="22">
        <f>'CAPM Models'!$D28</f>
        <v>38.311686999999999</v>
      </c>
      <c r="G28" s="112">
        <v>43497</v>
      </c>
      <c r="H28" s="22">
        <f>'CAPM Models'!$C28</f>
        <v>48.388995999999999</v>
      </c>
      <c r="I28" s="22">
        <f>'CAPM Models'!$C28</f>
        <v>48.388995999999999</v>
      </c>
      <c r="J28" s="22">
        <f>'CAPM Models'!$C28</f>
        <v>48.388995999999999</v>
      </c>
      <c r="K28" s="22">
        <f>'CAPM Models'!$C28</f>
        <v>48.388995999999999</v>
      </c>
      <c r="M28" s="112">
        <v>43497</v>
      </c>
      <c r="N28" s="22">
        <f>'CAPM Models'!$E28</f>
        <v>40.723807999999998</v>
      </c>
      <c r="O28" s="22">
        <f>'CAPM Models'!$E28</f>
        <v>40.723807999999998</v>
      </c>
      <c r="P28" s="22">
        <f>'CAPM Models'!$E28</f>
        <v>40.723807999999998</v>
      </c>
      <c r="Q28" s="22">
        <f>'CAPM Models'!$E28</f>
        <v>40.723807999999998</v>
      </c>
      <c r="S28" s="112">
        <v>43497</v>
      </c>
      <c r="T28" s="22">
        <f>'CAPM Models'!$B28</f>
        <v>41.346310000000003</v>
      </c>
      <c r="U28" s="22">
        <f>'CAPM Models'!$B28</f>
        <v>41.346310000000003</v>
      </c>
      <c r="V28" s="22">
        <f>'CAPM Models'!$B28</f>
        <v>41.346310000000003</v>
      </c>
      <c r="W28" s="22">
        <f>'CAPM Models'!$B28</f>
        <v>41.346310000000003</v>
      </c>
    </row>
    <row r="29" spans="1:23" x14ac:dyDescent="0.2">
      <c r="A29" s="112">
        <v>43525</v>
      </c>
      <c r="B29" s="22">
        <f>'CAPM Models'!$D29</f>
        <v>44.641112999999997</v>
      </c>
      <c r="C29" s="22">
        <f>'CAPM Models'!$D29</f>
        <v>44.641112999999997</v>
      </c>
      <c r="D29" s="22">
        <f>'CAPM Models'!$D29</f>
        <v>44.641112999999997</v>
      </c>
      <c r="E29" s="22">
        <f>'CAPM Models'!$D29</f>
        <v>44.641112999999997</v>
      </c>
      <c r="G29" s="112">
        <v>43525</v>
      </c>
      <c r="H29" s="22">
        <f>'CAPM Models'!$C29</f>
        <v>49.376133000000003</v>
      </c>
      <c r="I29" s="22">
        <f>'CAPM Models'!$C29</f>
        <v>49.376133000000003</v>
      </c>
      <c r="J29" s="22">
        <f>'CAPM Models'!$C29</f>
        <v>49.376133000000003</v>
      </c>
      <c r="K29" s="22">
        <f>'CAPM Models'!$C29</f>
        <v>49.376133000000003</v>
      </c>
      <c r="M29" s="112">
        <v>43525</v>
      </c>
      <c r="N29" s="22">
        <f>'CAPM Models'!$E29</f>
        <v>41.172089</v>
      </c>
      <c r="O29" s="22">
        <f>'CAPM Models'!$E29</f>
        <v>41.172089</v>
      </c>
      <c r="P29" s="22">
        <f>'CAPM Models'!$E29</f>
        <v>41.172089</v>
      </c>
      <c r="Q29" s="22">
        <f>'CAPM Models'!$E29</f>
        <v>41.172089</v>
      </c>
      <c r="S29" s="112">
        <v>43525</v>
      </c>
      <c r="T29" s="22">
        <f>'CAPM Models'!$B29</f>
        <v>39.644877999999999</v>
      </c>
      <c r="U29" s="22">
        <f>'CAPM Models'!$B29</f>
        <v>39.644877999999999</v>
      </c>
      <c r="V29" s="22">
        <f>'CAPM Models'!$B29</f>
        <v>39.644877999999999</v>
      </c>
      <c r="W29" s="22">
        <f>'CAPM Models'!$B29</f>
        <v>39.644877999999999</v>
      </c>
    </row>
    <row r="30" spans="1:23" x14ac:dyDescent="0.2">
      <c r="A30" s="112">
        <v>43556</v>
      </c>
      <c r="B30" s="22">
        <f>'CAPM Models'!$D30</f>
        <v>44.999110999999999</v>
      </c>
      <c r="C30" s="22">
        <f>'CAPM Models'!$D30</f>
        <v>44.999110999999999</v>
      </c>
      <c r="D30" s="22">
        <f>'CAPM Models'!$D30</f>
        <v>44.999110999999999</v>
      </c>
      <c r="E30" s="22">
        <f>'CAPM Models'!$D30</f>
        <v>44.999110999999999</v>
      </c>
      <c r="G30" s="112">
        <v>43556</v>
      </c>
      <c r="H30" s="22">
        <f>'CAPM Models'!$C30</f>
        <v>46.930317000000002</v>
      </c>
      <c r="I30" s="22">
        <f>'CAPM Models'!$C30</f>
        <v>46.930317000000002</v>
      </c>
      <c r="J30" s="22">
        <f>'CAPM Models'!$C30</f>
        <v>46.930317000000002</v>
      </c>
      <c r="K30" s="22">
        <f>'CAPM Models'!$C30</f>
        <v>46.930317000000002</v>
      </c>
      <c r="M30" s="112">
        <v>43556</v>
      </c>
      <c r="N30" s="22">
        <f>'CAPM Models'!$E30</f>
        <v>41.899299999999997</v>
      </c>
      <c r="O30" s="22">
        <f>'CAPM Models'!$E30</f>
        <v>41.899299999999997</v>
      </c>
      <c r="P30" s="22">
        <f>'CAPM Models'!$E30</f>
        <v>41.899299999999997</v>
      </c>
      <c r="Q30" s="22">
        <f>'CAPM Models'!$E30</f>
        <v>41.899299999999997</v>
      </c>
      <c r="S30" s="112">
        <v>43556</v>
      </c>
      <c r="T30" s="22">
        <f>'CAPM Models'!$B30</f>
        <v>47.735382000000001</v>
      </c>
      <c r="U30" s="22">
        <f>'CAPM Models'!$B30</f>
        <v>47.735382000000001</v>
      </c>
      <c r="V30" s="22">
        <f>'CAPM Models'!$B30</f>
        <v>47.735382000000001</v>
      </c>
      <c r="W30" s="22">
        <f>'CAPM Models'!$B30</f>
        <v>47.735382000000001</v>
      </c>
    </row>
    <row r="31" spans="1:23" x14ac:dyDescent="0.2">
      <c r="A31" s="112">
        <v>43586</v>
      </c>
      <c r="B31" s="22">
        <f>'CAPM Models'!$D31</f>
        <v>33.677242</v>
      </c>
      <c r="C31" s="22">
        <f>'CAPM Models'!$D31</f>
        <v>33.677242</v>
      </c>
      <c r="D31" s="22">
        <f>'CAPM Models'!$D31</f>
        <v>33.677242</v>
      </c>
      <c r="E31" s="22">
        <f>'CAPM Models'!$D31</f>
        <v>33.677242</v>
      </c>
      <c r="G31" s="112">
        <v>43586</v>
      </c>
      <c r="H31" s="22">
        <f>'CAPM Models'!$C31</f>
        <v>40.493941999999997</v>
      </c>
      <c r="I31" s="22">
        <f>'CAPM Models'!$C31</f>
        <v>40.493941999999997</v>
      </c>
      <c r="J31" s="22">
        <f>'CAPM Models'!$C31</f>
        <v>40.493941999999997</v>
      </c>
      <c r="K31" s="22">
        <f>'CAPM Models'!$C31</f>
        <v>40.493941999999997</v>
      </c>
      <c r="M31" s="112">
        <v>43586</v>
      </c>
      <c r="N31" s="22">
        <f>'CAPM Models'!$E31</f>
        <v>32.485405</v>
      </c>
      <c r="O31" s="22">
        <f>'CAPM Models'!$E31</f>
        <v>32.485405</v>
      </c>
      <c r="P31" s="22">
        <f>'CAPM Models'!$E31</f>
        <v>32.485405</v>
      </c>
      <c r="Q31" s="22">
        <f>'CAPM Models'!$E31</f>
        <v>32.485405</v>
      </c>
      <c r="S31" s="112">
        <v>43586</v>
      </c>
      <c r="T31" s="22">
        <f>'CAPM Models'!$B31</f>
        <v>38.244694000000003</v>
      </c>
      <c r="U31" s="22">
        <f>'CAPM Models'!$B31</f>
        <v>38.244694000000003</v>
      </c>
      <c r="V31" s="22">
        <f>'CAPM Models'!$B31</f>
        <v>38.244694000000003</v>
      </c>
      <c r="W31" s="22">
        <f>'CAPM Models'!$B31</f>
        <v>38.244694000000003</v>
      </c>
    </row>
    <row r="32" spans="1:23" x14ac:dyDescent="0.2">
      <c r="A32" s="112">
        <v>43617</v>
      </c>
      <c r="B32" s="22">
        <f>'CAPM Models'!$D32</f>
        <v>40.876465000000003</v>
      </c>
      <c r="C32" s="22">
        <f>'CAPM Models'!$D32</f>
        <v>40.876465000000003</v>
      </c>
      <c r="D32" s="22">
        <f>'CAPM Models'!$D32</f>
        <v>40.876465000000003</v>
      </c>
      <c r="E32" s="22">
        <f>'CAPM Models'!$D32</f>
        <v>40.876465000000003</v>
      </c>
      <c r="G32" s="112">
        <v>43617</v>
      </c>
      <c r="H32" s="22">
        <f>'CAPM Models'!$C32</f>
        <v>44.285110000000003</v>
      </c>
      <c r="I32" s="22">
        <f>'CAPM Models'!$C32</f>
        <v>44.285110000000003</v>
      </c>
      <c r="J32" s="22">
        <f>'CAPM Models'!$C32</f>
        <v>44.285110000000003</v>
      </c>
      <c r="K32" s="22">
        <f>'CAPM Models'!$C32</f>
        <v>44.285110000000003</v>
      </c>
      <c r="M32" s="112">
        <v>43617</v>
      </c>
      <c r="N32" s="22">
        <f>'CAPM Models'!$E32</f>
        <v>38.442557999999998</v>
      </c>
      <c r="O32" s="22">
        <f>'CAPM Models'!$E32</f>
        <v>38.442557999999998</v>
      </c>
      <c r="P32" s="22">
        <f>'CAPM Models'!$E32</f>
        <v>38.442557999999998</v>
      </c>
      <c r="Q32" s="22">
        <f>'CAPM Models'!$E32</f>
        <v>38.442557999999998</v>
      </c>
      <c r="S32" s="112">
        <v>43617</v>
      </c>
      <c r="T32" s="22">
        <f>'CAPM Models'!$B32</f>
        <v>41.615082000000001</v>
      </c>
      <c r="U32" s="22">
        <f>'CAPM Models'!$B32</f>
        <v>41.615082000000001</v>
      </c>
      <c r="V32" s="22">
        <f>'CAPM Models'!$B32</f>
        <v>41.615082000000001</v>
      </c>
      <c r="W32" s="22">
        <f>'CAPM Models'!$B32</f>
        <v>41.615082000000001</v>
      </c>
    </row>
    <row r="33" spans="1:23" x14ac:dyDescent="0.2">
      <c r="A33" s="112">
        <v>43647</v>
      </c>
      <c r="B33" s="22">
        <f>'CAPM Models'!$D33</f>
        <v>41.994014999999997</v>
      </c>
      <c r="C33" s="22">
        <f>'CAPM Models'!$D33</f>
        <v>41.994014999999997</v>
      </c>
      <c r="D33" s="22">
        <f>'CAPM Models'!$D33</f>
        <v>41.994014999999997</v>
      </c>
      <c r="E33" s="22">
        <f>'CAPM Models'!$D33</f>
        <v>41.994014999999997</v>
      </c>
      <c r="G33" s="112">
        <v>43647</v>
      </c>
      <c r="H33" s="22">
        <f>'CAPM Models'!$C33</f>
        <v>46.764420000000001</v>
      </c>
      <c r="I33" s="22">
        <f>'CAPM Models'!$C33</f>
        <v>46.764420000000001</v>
      </c>
      <c r="J33" s="22">
        <f>'CAPM Models'!$C33</f>
        <v>46.764420000000001</v>
      </c>
      <c r="K33" s="22">
        <f>'CAPM Models'!$C33</f>
        <v>46.764420000000001</v>
      </c>
      <c r="M33" s="112">
        <v>43647</v>
      </c>
      <c r="N33" s="22">
        <f>'CAPM Models'!$E33</f>
        <v>44.718487000000003</v>
      </c>
      <c r="O33" s="22">
        <f>'CAPM Models'!$E33</f>
        <v>44.718487000000003</v>
      </c>
      <c r="P33" s="22">
        <f>'CAPM Models'!$E33</f>
        <v>44.718487000000003</v>
      </c>
      <c r="Q33" s="22">
        <f>'CAPM Models'!$E33</f>
        <v>44.718487000000003</v>
      </c>
      <c r="S33" s="112">
        <v>43647</v>
      </c>
      <c r="T33" s="22">
        <f>'CAPM Models'!$B33</f>
        <v>45.320599000000001</v>
      </c>
      <c r="U33" s="22">
        <f>'CAPM Models'!$B33</f>
        <v>45.320599000000001</v>
      </c>
      <c r="V33" s="22">
        <f>'CAPM Models'!$B33</f>
        <v>45.320599000000001</v>
      </c>
      <c r="W33" s="22">
        <f>'CAPM Models'!$B33</f>
        <v>45.320599000000001</v>
      </c>
    </row>
    <row r="34" spans="1:23" x14ac:dyDescent="0.2">
      <c r="A34" s="112">
        <v>43678</v>
      </c>
      <c r="B34" s="22">
        <f>'CAPM Models'!$D34</f>
        <v>41.692841000000001</v>
      </c>
      <c r="C34" s="22">
        <f>'CAPM Models'!$D34</f>
        <v>41.692841000000001</v>
      </c>
      <c r="D34" s="22">
        <f>'CAPM Models'!$D34</f>
        <v>41.692841000000001</v>
      </c>
      <c r="E34" s="22">
        <f>'CAPM Models'!$D34</f>
        <v>41.692841000000001</v>
      </c>
      <c r="G34" s="112">
        <v>43678</v>
      </c>
      <c r="H34" s="22">
        <f>'CAPM Models'!$C34</f>
        <v>43.859566000000001</v>
      </c>
      <c r="I34" s="22">
        <f>'CAPM Models'!$C34</f>
        <v>43.859566000000001</v>
      </c>
      <c r="J34" s="22">
        <f>'CAPM Models'!$C34</f>
        <v>43.859566000000001</v>
      </c>
      <c r="K34" s="22">
        <f>'CAPM Models'!$C34</f>
        <v>43.859566000000001</v>
      </c>
      <c r="M34" s="112">
        <v>43678</v>
      </c>
      <c r="N34" s="22">
        <f>'CAPM Models'!$E34</f>
        <v>45.097034000000001</v>
      </c>
      <c r="O34" s="22">
        <f>'CAPM Models'!$E34</f>
        <v>45.097034000000001</v>
      </c>
      <c r="P34" s="22">
        <f>'CAPM Models'!$E34</f>
        <v>45.097034000000001</v>
      </c>
      <c r="Q34" s="22">
        <f>'CAPM Models'!$E34</f>
        <v>45.097034000000001</v>
      </c>
      <c r="S34" s="112">
        <v>43678</v>
      </c>
      <c r="T34" s="22">
        <f>'CAPM Models'!$B34</f>
        <v>41.437491999999999</v>
      </c>
      <c r="U34" s="22">
        <f>'CAPM Models'!$B34</f>
        <v>41.437491999999999</v>
      </c>
      <c r="V34" s="22">
        <f>'CAPM Models'!$B34</f>
        <v>41.437491999999999</v>
      </c>
      <c r="W34" s="22">
        <f>'CAPM Models'!$B34</f>
        <v>41.437491999999999</v>
      </c>
    </row>
    <row r="35" spans="1:23" x14ac:dyDescent="0.2">
      <c r="A35" s="112">
        <v>43709</v>
      </c>
      <c r="B35" s="22">
        <f>'CAPM Models'!$D35</f>
        <v>43.368504000000001</v>
      </c>
      <c r="C35" s="22">
        <f>'CAPM Models'!$D35</f>
        <v>43.368504000000001</v>
      </c>
      <c r="D35" s="22">
        <f>'CAPM Models'!$D35</f>
        <v>43.368504000000001</v>
      </c>
      <c r="E35" s="22">
        <f>'CAPM Models'!$D35</f>
        <v>43.368504000000001</v>
      </c>
      <c r="G35" s="112">
        <v>43709</v>
      </c>
      <c r="H35" s="22">
        <f>'CAPM Models'!$C35</f>
        <v>47.992885999999999</v>
      </c>
      <c r="I35" s="22">
        <f>'CAPM Models'!$C35</f>
        <v>47.992885999999999</v>
      </c>
      <c r="J35" s="22">
        <f>'CAPM Models'!$C35</f>
        <v>47.992885999999999</v>
      </c>
      <c r="K35" s="22">
        <f>'CAPM Models'!$C35</f>
        <v>47.992885999999999</v>
      </c>
      <c r="M35" s="112">
        <v>43709</v>
      </c>
      <c r="N35" s="22">
        <f>'CAPM Models'!$E35</f>
        <v>42.686278999999999</v>
      </c>
      <c r="O35" s="22">
        <f>'CAPM Models'!$E35</f>
        <v>42.686278999999999</v>
      </c>
      <c r="P35" s="22">
        <f>'CAPM Models'!$E35</f>
        <v>42.686278999999999</v>
      </c>
      <c r="Q35" s="22">
        <f>'CAPM Models'!$E35</f>
        <v>42.686278999999999</v>
      </c>
      <c r="S35" s="112">
        <v>43709</v>
      </c>
      <c r="T35" s="22">
        <f>'CAPM Models'!$B35</f>
        <v>44.777808999999998</v>
      </c>
      <c r="U35" s="22">
        <f>'CAPM Models'!$B35</f>
        <v>44.777808999999998</v>
      </c>
      <c r="V35" s="22">
        <f>'CAPM Models'!$B35</f>
        <v>44.777808999999998</v>
      </c>
      <c r="W35" s="22">
        <f>'CAPM Models'!$B35</f>
        <v>44.777808999999998</v>
      </c>
    </row>
    <row r="36" spans="1:23" x14ac:dyDescent="0.2">
      <c r="A36" s="112">
        <v>43739</v>
      </c>
      <c r="B36" s="22">
        <f>'CAPM Models'!$D36</f>
        <v>50.082934999999999</v>
      </c>
      <c r="C36" s="22">
        <f>'CAPM Models'!$D36</f>
        <v>50.082934999999999</v>
      </c>
      <c r="D36" s="22">
        <f>'CAPM Models'!$D36</f>
        <v>50.082934999999999</v>
      </c>
      <c r="E36" s="22">
        <f>'CAPM Models'!$D36</f>
        <v>50.082934999999999</v>
      </c>
      <c r="G36" s="112">
        <v>43739</v>
      </c>
      <c r="H36" s="22">
        <f>'CAPM Models'!$C36</f>
        <v>52.649676999999997</v>
      </c>
      <c r="I36" s="22">
        <f>'CAPM Models'!$C36</f>
        <v>52.649676999999997</v>
      </c>
      <c r="J36" s="22">
        <f>'CAPM Models'!$C36</f>
        <v>52.649676999999997</v>
      </c>
      <c r="K36" s="22">
        <f>'CAPM Models'!$C36</f>
        <v>52.649676999999997</v>
      </c>
      <c r="M36" s="112">
        <v>43739</v>
      </c>
      <c r="N36" s="22">
        <f>'CAPM Models'!$E36</f>
        <v>47.368319999999997</v>
      </c>
      <c r="O36" s="22">
        <f>'CAPM Models'!$E36</f>
        <v>47.368319999999997</v>
      </c>
      <c r="P36" s="22">
        <f>'CAPM Models'!$E36</f>
        <v>47.368319999999997</v>
      </c>
      <c r="Q36" s="22">
        <f>'CAPM Models'!$E36</f>
        <v>47.368319999999997</v>
      </c>
      <c r="S36" s="112">
        <v>43739</v>
      </c>
      <c r="T36" s="22">
        <f>'CAPM Models'!$B36</f>
        <v>45.442898</v>
      </c>
      <c r="U36" s="22">
        <f>'CAPM Models'!$B36</f>
        <v>45.442898</v>
      </c>
      <c r="V36" s="22">
        <f>'CAPM Models'!$B36</f>
        <v>45.442898</v>
      </c>
      <c r="W36" s="22">
        <f>'CAPM Models'!$B36</f>
        <v>45.442898</v>
      </c>
    </row>
    <row r="37" spans="1:23" x14ac:dyDescent="0.2">
      <c r="A37" s="112">
        <v>43770</v>
      </c>
      <c r="B37" s="22">
        <f>'CAPM Models'!$D37</f>
        <v>53.999481000000003</v>
      </c>
      <c r="C37" s="22">
        <f>'CAPM Models'!$D37</f>
        <v>53.999481000000003</v>
      </c>
      <c r="D37" s="22">
        <f>'CAPM Models'!$D37</f>
        <v>53.999481000000003</v>
      </c>
      <c r="E37" s="22">
        <f>'CAPM Models'!$D37</f>
        <v>53.999481000000003</v>
      </c>
      <c r="G37" s="112">
        <v>43770</v>
      </c>
      <c r="H37" s="22">
        <f>'CAPM Models'!$C37</f>
        <v>54.065350000000002</v>
      </c>
      <c r="I37" s="22">
        <f>'CAPM Models'!$C37</f>
        <v>54.065350000000002</v>
      </c>
      <c r="J37" s="22">
        <f>'CAPM Models'!$C37</f>
        <v>54.065350000000002</v>
      </c>
      <c r="K37" s="22">
        <f>'CAPM Models'!$C37</f>
        <v>54.065350000000002</v>
      </c>
      <c r="M37" s="112">
        <v>43770</v>
      </c>
      <c r="N37" s="22">
        <f>'CAPM Models'!$E37</f>
        <v>47.328476000000002</v>
      </c>
      <c r="O37" s="22">
        <f>'CAPM Models'!$E37</f>
        <v>47.328476000000002</v>
      </c>
      <c r="P37" s="22">
        <f>'CAPM Models'!$E37</f>
        <v>47.328476000000002</v>
      </c>
      <c r="Q37" s="22">
        <f>'CAPM Models'!$E37</f>
        <v>47.328476000000002</v>
      </c>
      <c r="S37" s="112">
        <v>43770</v>
      </c>
      <c r="T37" s="22">
        <f>'CAPM Models'!$B37</f>
        <v>45.563384999999997</v>
      </c>
      <c r="U37" s="22">
        <f>'CAPM Models'!$B37</f>
        <v>45.563384999999997</v>
      </c>
      <c r="V37" s="22">
        <f>'CAPM Models'!$B37</f>
        <v>45.563384999999997</v>
      </c>
      <c r="W37" s="22">
        <f>'CAPM Models'!$B37</f>
        <v>45.563384999999997</v>
      </c>
    </row>
    <row r="38" spans="1:23" x14ac:dyDescent="0.2">
      <c r="A38" s="112">
        <v>43800</v>
      </c>
      <c r="B38" s="22">
        <f>'CAPM Models'!$D38</f>
        <v>58.666846999999997</v>
      </c>
      <c r="C38" s="22">
        <f>'CAPM Models'!$D38</f>
        <v>58.666846999999997</v>
      </c>
      <c r="D38" s="22">
        <f>'CAPM Models'!$D38</f>
        <v>58.666846999999997</v>
      </c>
      <c r="E38" s="22">
        <f>'CAPM Models'!$D38</f>
        <v>58.666846999999997</v>
      </c>
      <c r="G38" s="112">
        <v>43800</v>
      </c>
      <c r="H38" s="22">
        <f>'CAPM Models'!$C38</f>
        <v>56.048572999999998</v>
      </c>
      <c r="I38" s="22">
        <f>'CAPM Models'!$C38</f>
        <v>56.048572999999998</v>
      </c>
      <c r="J38" s="22">
        <f>'CAPM Models'!$C38</f>
        <v>56.048572999999998</v>
      </c>
      <c r="K38" s="22">
        <f>'CAPM Models'!$C38</f>
        <v>56.048572999999998</v>
      </c>
      <c r="M38" s="112">
        <v>43800</v>
      </c>
      <c r="N38" s="22">
        <f>'CAPM Models'!$E38</f>
        <v>53.574516000000003</v>
      </c>
      <c r="O38" s="22">
        <f>'CAPM Models'!$E38</f>
        <v>53.574516000000003</v>
      </c>
      <c r="P38" s="22">
        <f>'CAPM Models'!$E38</f>
        <v>53.574516000000003</v>
      </c>
      <c r="Q38" s="22">
        <f>'CAPM Models'!$E38</f>
        <v>53.574516000000003</v>
      </c>
      <c r="S38" s="112">
        <v>43800</v>
      </c>
      <c r="T38" s="22">
        <f>'CAPM Models'!$B38</f>
        <v>50.670352999999999</v>
      </c>
      <c r="U38" s="22">
        <f>'CAPM Models'!$B38</f>
        <v>50.670352999999999</v>
      </c>
      <c r="V38" s="22">
        <f>'CAPM Models'!$B38</f>
        <v>50.670352999999999</v>
      </c>
      <c r="W38" s="22">
        <f>'CAPM Models'!$B38</f>
        <v>50.670352999999999</v>
      </c>
    </row>
    <row r="39" spans="1:23" x14ac:dyDescent="0.2">
      <c r="A39" s="112">
        <v>43831</v>
      </c>
      <c r="B39" s="22">
        <f>'CAPM Models'!$D39</f>
        <v>58.948585999999999</v>
      </c>
      <c r="C39" s="22">
        <f>'CAPM Models'!$D39</f>
        <v>58.948585999999999</v>
      </c>
      <c r="D39" s="22">
        <f>'CAPM Models'!$D39</f>
        <v>58.948585999999999</v>
      </c>
      <c r="E39" s="22">
        <f>'CAPM Models'!$D39</f>
        <v>58.948585999999999</v>
      </c>
      <c r="G39" s="112">
        <v>43831</v>
      </c>
      <c r="H39" s="22">
        <f>'CAPM Models'!$C39</f>
        <v>59.869427000000002</v>
      </c>
      <c r="I39" s="22">
        <f>'CAPM Models'!$C39</f>
        <v>59.869427000000002</v>
      </c>
      <c r="J39" s="22">
        <f>'CAPM Models'!$C39</f>
        <v>59.869427000000002</v>
      </c>
      <c r="K39" s="22">
        <f>'CAPM Models'!$C39</f>
        <v>59.869427000000002</v>
      </c>
      <c r="M39" s="112">
        <v>43831</v>
      </c>
      <c r="N39" s="22">
        <f>'CAPM Models'!$E39</f>
        <v>52.887157000000002</v>
      </c>
      <c r="O39" s="22">
        <f>'CAPM Models'!$E39</f>
        <v>52.887157000000002</v>
      </c>
      <c r="P39" s="22">
        <f>'CAPM Models'!$E39</f>
        <v>52.887157000000002</v>
      </c>
      <c r="Q39" s="22">
        <f>'CAPM Models'!$E39</f>
        <v>52.887157000000002</v>
      </c>
      <c r="S39" s="112">
        <v>43831</v>
      </c>
      <c r="T39" s="22">
        <f>'CAPM Models'!$B39</f>
        <v>47.167167999999997</v>
      </c>
      <c r="U39" s="22">
        <f>'CAPM Models'!$B39</f>
        <v>47.167167999999997</v>
      </c>
      <c r="V39" s="22">
        <f>'CAPM Models'!$B39</f>
        <v>47.167167999999997</v>
      </c>
      <c r="W39" s="22">
        <f>'CAPM Models'!$B39</f>
        <v>47.167167999999997</v>
      </c>
    </row>
    <row r="40" spans="1:23" x14ac:dyDescent="0.2">
      <c r="A40" s="112">
        <v>43862</v>
      </c>
      <c r="B40" s="22">
        <f>'CAPM Models'!$D40</f>
        <v>67.335967999999994</v>
      </c>
      <c r="C40" s="22">
        <f>'CAPM Models'!$D40</f>
        <v>67.335967999999994</v>
      </c>
      <c r="D40" s="22">
        <f>'CAPM Models'!$D40</f>
        <v>67.335967999999994</v>
      </c>
      <c r="E40" s="22">
        <f>'CAPM Models'!$D40</f>
        <v>67.335967999999994</v>
      </c>
      <c r="G40" s="112">
        <v>43862</v>
      </c>
      <c r="H40" s="22">
        <f>'CAPM Models'!$C40</f>
        <v>51.993591000000002</v>
      </c>
      <c r="I40" s="22">
        <f>'CAPM Models'!$C40</f>
        <v>51.993591000000002</v>
      </c>
      <c r="J40" s="22">
        <f>'CAPM Models'!$C40</f>
        <v>51.993591000000002</v>
      </c>
      <c r="K40" s="22">
        <f>'CAPM Models'!$C40</f>
        <v>51.993591000000002</v>
      </c>
      <c r="M40" s="112">
        <v>43862</v>
      </c>
      <c r="N40" s="22">
        <f>'CAPM Models'!$E40</f>
        <v>52.359183999999999</v>
      </c>
      <c r="O40" s="22">
        <f>'CAPM Models'!$E40</f>
        <v>52.359183999999999</v>
      </c>
      <c r="P40" s="22">
        <f>'CAPM Models'!$E40</f>
        <v>52.359183999999999</v>
      </c>
      <c r="Q40" s="22">
        <f>'CAPM Models'!$E40</f>
        <v>52.359183999999999</v>
      </c>
      <c r="S40" s="112">
        <v>43862</v>
      </c>
      <c r="T40" s="22">
        <f>'CAPM Models'!$B40</f>
        <v>43.891407000000001</v>
      </c>
      <c r="U40" s="22">
        <f>'CAPM Models'!$B40</f>
        <v>43.891407000000001</v>
      </c>
      <c r="V40" s="22">
        <f>'CAPM Models'!$B40</f>
        <v>43.891407000000001</v>
      </c>
      <c r="W40" s="22">
        <f>'CAPM Models'!$B40</f>
        <v>43.891407000000001</v>
      </c>
    </row>
    <row r="41" spans="1:23" x14ac:dyDescent="0.2">
      <c r="A41" s="112">
        <v>43891</v>
      </c>
      <c r="B41" s="22">
        <f>'CAPM Models'!$D41</f>
        <v>65.762146000000001</v>
      </c>
      <c r="C41" s="22">
        <f>'CAPM Models'!$D41</f>
        <v>65.762146000000001</v>
      </c>
      <c r="D41" s="22">
        <f>'CAPM Models'!$D41</f>
        <v>65.762146000000001</v>
      </c>
      <c r="E41" s="22">
        <f>'CAPM Models'!$D41</f>
        <v>65.762146000000001</v>
      </c>
      <c r="G41" s="112">
        <v>43891</v>
      </c>
      <c r="H41" s="22">
        <f>'CAPM Models'!$C41</f>
        <v>50.932105999999997</v>
      </c>
      <c r="I41" s="22">
        <f>'CAPM Models'!$C41</f>
        <v>50.932105999999997</v>
      </c>
      <c r="J41" s="22">
        <f>'CAPM Models'!$C41</f>
        <v>50.932105999999997</v>
      </c>
      <c r="K41" s="22">
        <f>'CAPM Models'!$C41</f>
        <v>50.932105999999997</v>
      </c>
      <c r="M41" s="112">
        <v>43891</v>
      </c>
      <c r="N41" s="22">
        <f>'CAPM Models'!$E41</f>
        <v>41.899299999999997</v>
      </c>
      <c r="O41" s="22">
        <f>'CAPM Models'!$E41</f>
        <v>41.899299999999997</v>
      </c>
      <c r="P41" s="22">
        <f>'CAPM Models'!$E41</f>
        <v>41.899299999999997</v>
      </c>
      <c r="Q41" s="22">
        <f>'CAPM Models'!$E41</f>
        <v>41.899299999999997</v>
      </c>
      <c r="S41" s="112">
        <v>43891</v>
      </c>
      <c r="T41" s="22">
        <f>'CAPM Models'!$B41</f>
        <v>32.916058</v>
      </c>
      <c r="U41" s="22">
        <f>'CAPM Models'!$B41</f>
        <v>32.916058</v>
      </c>
      <c r="V41" s="22">
        <f>'CAPM Models'!$B41</f>
        <v>32.916058</v>
      </c>
      <c r="W41" s="22">
        <f>'CAPM Models'!$B41</f>
        <v>32.916058</v>
      </c>
    </row>
    <row r="42" spans="1:23" x14ac:dyDescent="0.2">
      <c r="A42" s="112">
        <v>43922</v>
      </c>
      <c r="B42" s="22">
        <f>'CAPM Models'!$D42</f>
        <v>72.917136999999997</v>
      </c>
      <c r="C42" s="22">
        <f>'CAPM Models'!$D42</f>
        <v>72.917136999999997</v>
      </c>
      <c r="D42" s="22">
        <f>'CAPM Models'!$D42</f>
        <v>72.917136999999997</v>
      </c>
      <c r="E42" s="22">
        <f>'CAPM Models'!$D42</f>
        <v>72.917136999999997</v>
      </c>
      <c r="G42" s="112">
        <v>43922</v>
      </c>
      <c r="H42" s="22">
        <f>'CAPM Models'!$C42</f>
        <v>56.446930000000002</v>
      </c>
      <c r="I42" s="22">
        <f>'CAPM Models'!$C42</f>
        <v>56.446930000000002</v>
      </c>
      <c r="J42" s="22">
        <f>'CAPM Models'!$C42</f>
        <v>56.446930000000002</v>
      </c>
      <c r="K42" s="22">
        <f>'CAPM Models'!$C42</f>
        <v>56.446930000000002</v>
      </c>
      <c r="M42" s="112">
        <v>43922</v>
      </c>
      <c r="N42" s="22">
        <f>'CAPM Models'!$E42</f>
        <v>47.707023999999997</v>
      </c>
      <c r="O42" s="22">
        <f>'CAPM Models'!$E42</f>
        <v>47.707023999999997</v>
      </c>
      <c r="P42" s="22">
        <f>'CAPM Models'!$E42</f>
        <v>47.707023999999997</v>
      </c>
      <c r="Q42" s="22">
        <f>'CAPM Models'!$E42</f>
        <v>47.707023999999997</v>
      </c>
      <c r="S42" s="112">
        <v>43922</v>
      </c>
      <c r="T42" s="22">
        <f>'CAPM Models'!$B42</f>
        <v>42.591819999999998</v>
      </c>
      <c r="U42" s="22">
        <f>'CAPM Models'!$B42</f>
        <v>42.591819999999998</v>
      </c>
      <c r="V42" s="22">
        <f>'CAPM Models'!$B42</f>
        <v>42.591819999999998</v>
      </c>
      <c r="W42" s="22">
        <f>'CAPM Models'!$B42</f>
        <v>42.591819999999998</v>
      </c>
    </row>
    <row r="43" spans="1:23" x14ac:dyDescent="0.2">
      <c r="A43" s="112">
        <v>43952</v>
      </c>
      <c r="B43" s="22">
        <f>'CAPM Models'!$D43</f>
        <v>88.569327999999999</v>
      </c>
      <c r="C43" s="22">
        <f>'CAPM Models'!$D43</f>
        <v>88.569327999999999</v>
      </c>
      <c r="D43" s="22">
        <f>'CAPM Models'!$D43</f>
        <v>88.569327999999999</v>
      </c>
      <c r="E43" s="22">
        <f>'CAPM Models'!$D43</f>
        <v>88.569327999999999</v>
      </c>
      <c r="G43" s="112">
        <v>43952</v>
      </c>
      <c r="H43" s="22">
        <f>'CAPM Models'!$C43</f>
        <v>59.223166999999997</v>
      </c>
      <c r="I43" s="22">
        <f>'CAPM Models'!$C43</f>
        <v>59.223166999999997</v>
      </c>
      <c r="J43" s="22">
        <f>'CAPM Models'!$C43</f>
        <v>59.223166999999997</v>
      </c>
      <c r="K43" s="22">
        <f>'CAPM Models'!$C43</f>
        <v>59.223166999999997</v>
      </c>
      <c r="M43" s="112">
        <v>43952</v>
      </c>
      <c r="N43" s="22">
        <f>'CAPM Models'!$E43</f>
        <v>47.726948</v>
      </c>
      <c r="O43" s="22">
        <f>'CAPM Models'!$E43</f>
        <v>47.726948</v>
      </c>
      <c r="P43" s="22">
        <f>'CAPM Models'!$E43</f>
        <v>47.726948</v>
      </c>
      <c r="Q43" s="22">
        <f>'CAPM Models'!$E43</f>
        <v>47.726948</v>
      </c>
      <c r="S43" s="112">
        <v>43952</v>
      </c>
      <c r="T43" s="22">
        <f>'CAPM Models'!$B43</f>
        <v>46.616512</v>
      </c>
      <c r="U43" s="22">
        <f>'CAPM Models'!$B43</f>
        <v>46.616512</v>
      </c>
      <c r="V43" s="22">
        <f>'CAPM Models'!$B43</f>
        <v>46.616512</v>
      </c>
      <c r="W43" s="22">
        <f>'CAPM Models'!$B43</f>
        <v>46.616512</v>
      </c>
    </row>
    <row r="44" spans="1:23" x14ac:dyDescent="0.2">
      <c r="A44" s="112">
        <v>43983</v>
      </c>
      <c r="B44" s="22">
        <f>'CAPM Models'!$D44</f>
        <v>94.778801000000001</v>
      </c>
      <c r="C44" s="22">
        <f>'CAPM Models'!$D44</f>
        <v>94.778801000000001</v>
      </c>
      <c r="D44" s="22">
        <f>'CAPM Models'!$D44</f>
        <v>94.778801000000001</v>
      </c>
      <c r="E44" s="22">
        <f>'CAPM Models'!$D44</f>
        <v>94.778801000000001</v>
      </c>
      <c r="G44" s="112">
        <v>43983</v>
      </c>
      <c r="H44" s="22">
        <f>'CAPM Models'!$C44</f>
        <v>56.623824999999997</v>
      </c>
      <c r="I44" s="22">
        <f>'CAPM Models'!$C44</f>
        <v>56.623824999999997</v>
      </c>
      <c r="J44" s="22">
        <f>'CAPM Models'!$C44</f>
        <v>56.623824999999997</v>
      </c>
      <c r="K44" s="22">
        <f>'CAPM Models'!$C44</f>
        <v>56.623824999999997</v>
      </c>
      <c r="M44" s="112">
        <v>43983</v>
      </c>
      <c r="N44" s="22">
        <f>'CAPM Models'!$E44</f>
        <v>51.323157999999999</v>
      </c>
      <c r="O44" s="22">
        <f>'CAPM Models'!$E44</f>
        <v>51.323157999999999</v>
      </c>
      <c r="P44" s="22">
        <f>'CAPM Models'!$E44</f>
        <v>51.323157999999999</v>
      </c>
      <c r="Q44" s="22">
        <f>'CAPM Models'!$E44</f>
        <v>51.323157999999999</v>
      </c>
      <c r="S44" s="112">
        <v>43983</v>
      </c>
      <c r="T44" s="22">
        <f>'CAPM Models'!$B44</f>
        <v>51.341048999999998</v>
      </c>
      <c r="U44" s="22">
        <f>'CAPM Models'!$B44</f>
        <v>51.341048999999998</v>
      </c>
      <c r="V44" s="22">
        <f>'CAPM Models'!$B44</f>
        <v>51.341048999999998</v>
      </c>
      <c r="W44" s="22">
        <f>'CAPM Models'!$B44</f>
        <v>51.341048999999998</v>
      </c>
    </row>
    <row r="45" spans="1:23" x14ac:dyDescent="0.2">
      <c r="A45" s="112">
        <v>44013</v>
      </c>
      <c r="B45" s="22">
        <f>'CAPM Models'!$D45</f>
        <v>105.973778</v>
      </c>
      <c r="C45" s="22">
        <f>'CAPM Models'!$D45</f>
        <v>105.973778</v>
      </c>
      <c r="D45" s="22">
        <f>'CAPM Models'!$D45</f>
        <v>105.973778</v>
      </c>
      <c r="E45" s="22">
        <f>'CAPM Models'!$D45</f>
        <v>105.973778</v>
      </c>
      <c r="G45" s="112">
        <v>44013</v>
      </c>
      <c r="H45" s="22">
        <f>'CAPM Models'!$C45</f>
        <v>45.172244999999997</v>
      </c>
      <c r="I45" s="22">
        <f>'CAPM Models'!$C45</f>
        <v>45.172244999999997</v>
      </c>
      <c r="J45" s="22">
        <f>'CAPM Models'!$C45</f>
        <v>45.172244999999997</v>
      </c>
      <c r="K45" s="22">
        <f>'CAPM Models'!$C45</f>
        <v>45.172244999999997</v>
      </c>
      <c r="M45" s="112">
        <v>44013</v>
      </c>
      <c r="N45" s="22">
        <f>'CAPM Models'!$E45</f>
        <v>49.868735999999998</v>
      </c>
      <c r="O45" s="22">
        <f>'CAPM Models'!$E45</f>
        <v>49.868735999999998</v>
      </c>
      <c r="P45" s="22">
        <f>'CAPM Models'!$E45</f>
        <v>49.868735999999998</v>
      </c>
      <c r="Q45" s="22">
        <f>'CAPM Models'!$E45</f>
        <v>49.868735999999998</v>
      </c>
      <c r="S45" s="112">
        <v>44013</v>
      </c>
      <c r="T45" s="22">
        <f>'CAPM Models'!$B45</f>
        <v>49.595722000000002</v>
      </c>
      <c r="U45" s="22">
        <f>'CAPM Models'!$B45</f>
        <v>49.595722000000002</v>
      </c>
      <c r="V45" s="22">
        <f>'CAPM Models'!$B45</f>
        <v>49.595722000000002</v>
      </c>
      <c r="W45" s="22">
        <f>'CAPM Models'!$B45</f>
        <v>49.595722000000002</v>
      </c>
    </row>
    <row r="46" spans="1:23" x14ac:dyDescent="0.2">
      <c r="A46" s="112">
        <v>44044</v>
      </c>
      <c r="B46" s="22">
        <f>'CAPM Models'!$D46</f>
        <v>133.526138</v>
      </c>
      <c r="C46" s="22">
        <f>'CAPM Models'!$D46</f>
        <v>133.526138</v>
      </c>
      <c r="D46" s="22">
        <f>'CAPM Models'!$D46</f>
        <v>133.526138</v>
      </c>
      <c r="E46" s="22">
        <f>'CAPM Models'!$D46</f>
        <v>133.526138</v>
      </c>
      <c r="G46" s="112">
        <v>44044</v>
      </c>
      <c r="H46" s="22">
        <f>'CAPM Models'!$C46</f>
        <v>48.219687999999998</v>
      </c>
      <c r="I46" s="22">
        <f>'CAPM Models'!$C46</f>
        <v>48.219687999999998</v>
      </c>
      <c r="J46" s="22">
        <f>'CAPM Models'!$C46</f>
        <v>48.219687999999998</v>
      </c>
      <c r="K46" s="22">
        <f>'CAPM Models'!$C46</f>
        <v>48.219687999999998</v>
      </c>
      <c r="M46" s="112">
        <v>44044</v>
      </c>
      <c r="N46" s="22">
        <f>'CAPM Models'!$E46</f>
        <v>45.336117000000002</v>
      </c>
      <c r="O46" s="22">
        <f>'CAPM Models'!$E46</f>
        <v>45.336117000000002</v>
      </c>
      <c r="P46" s="22">
        <f>'CAPM Models'!$E46</f>
        <v>45.336117000000002</v>
      </c>
      <c r="Q46" s="22">
        <f>'CAPM Models'!$E46</f>
        <v>45.336117000000002</v>
      </c>
      <c r="S46" s="112">
        <v>44044</v>
      </c>
      <c r="T46" s="22">
        <f>'CAPM Models'!$B46</f>
        <v>53.481270000000002</v>
      </c>
      <c r="U46" s="22">
        <f>'CAPM Models'!$B46</f>
        <v>53.481270000000002</v>
      </c>
      <c r="V46" s="22">
        <f>'CAPM Models'!$B46</f>
        <v>53.481270000000002</v>
      </c>
      <c r="W46" s="22">
        <f>'CAPM Models'!$B46</f>
        <v>53.481270000000002</v>
      </c>
    </row>
    <row r="47" spans="1:23" x14ac:dyDescent="0.2">
      <c r="A47" s="112">
        <v>44075</v>
      </c>
      <c r="B47" s="22">
        <f>'CAPM Models'!$D47</f>
        <v>135.08354199999999</v>
      </c>
      <c r="C47" s="22">
        <f>'CAPM Models'!$D47</f>
        <v>135.08354199999999</v>
      </c>
      <c r="D47" s="22">
        <f>'CAPM Models'!$D47</f>
        <v>135.08354199999999</v>
      </c>
      <c r="E47" s="22">
        <f>'CAPM Models'!$D47</f>
        <v>135.08354199999999</v>
      </c>
      <c r="G47" s="112">
        <v>44075</v>
      </c>
      <c r="H47" s="22">
        <f>'CAPM Models'!$C47</f>
        <v>49.338028000000001</v>
      </c>
      <c r="I47" s="22">
        <f>'CAPM Models'!$C47</f>
        <v>49.338028000000001</v>
      </c>
      <c r="J47" s="22">
        <f>'CAPM Models'!$C47</f>
        <v>49.338028000000001</v>
      </c>
      <c r="K47" s="22">
        <f>'CAPM Models'!$C47</f>
        <v>49.338028000000001</v>
      </c>
      <c r="M47" s="112">
        <v>44075</v>
      </c>
      <c r="N47" s="22">
        <f>'CAPM Models'!$E47</f>
        <v>46.780574999999999</v>
      </c>
      <c r="O47" s="22">
        <f>'CAPM Models'!$E47</f>
        <v>46.780574999999999</v>
      </c>
      <c r="P47" s="22">
        <f>'CAPM Models'!$E47</f>
        <v>46.780574999999999</v>
      </c>
      <c r="Q47" s="22">
        <f>'CAPM Models'!$E47</f>
        <v>46.780574999999999</v>
      </c>
      <c r="S47" s="112">
        <v>44075</v>
      </c>
      <c r="T47" s="22">
        <f>'CAPM Models'!$B47</f>
        <v>50.268962999999999</v>
      </c>
      <c r="U47" s="22">
        <f>'CAPM Models'!$B47</f>
        <v>50.268962999999999</v>
      </c>
      <c r="V47" s="22">
        <f>'CAPM Models'!$B47</f>
        <v>50.268962999999999</v>
      </c>
      <c r="W47" s="22">
        <f>'CAPM Models'!$B47</f>
        <v>50.268962999999999</v>
      </c>
    </row>
    <row r="48" spans="1:23" x14ac:dyDescent="0.2">
      <c r="A48" s="112">
        <v>44105</v>
      </c>
      <c r="B48" s="22">
        <f>'CAPM Models'!$D48</f>
        <v>125.17231</v>
      </c>
      <c r="C48" s="22">
        <f>'CAPM Models'!$D48</f>
        <v>125.17231</v>
      </c>
      <c r="D48" s="22">
        <f>'CAPM Models'!$D48</f>
        <v>125.17231</v>
      </c>
      <c r="E48" s="22">
        <f>'CAPM Models'!$D48</f>
        <v>125.17231</v>
      </c>
      <c r="G48" s="112">
        <v>44105</v>
      </c>
      <c r="H48" s="22">
        <f>'CAPM Models'!$C48</f>
        <v>42.19173</v>
      </c>
      <c r="I48" s="22">
        <f>'CAPM Models'!$C48</f>
        <v>42.19173</v>
      </c>
      <c r="J48" s="22">
        <f>'CAPM Models'!$C48</f>
        <v>42.19173</v>
      </c>
      <c r="K48" s="22">
        <f>'CAPM Models'!$C48</f>
        <v>42.19173</v>
      </c>
      <c r="M48" s="112">
        <v>44105</v>
      </c>
      <c r="N48" s="22">
        <f>'CAPM Models'!$E48</f>
        <v>50.147663000000001</v>
      </c>
      <c r="O48" s="22">
        <f>'CAPM Models'!$E48</f>
        <v>50.147663000000001</v>
      </c>
      <c r="P48" s="22">
        <f>'CAPM Models'!$E48</f>
        <v>50.147663000000001</v>
      </c>
      <c r="Q48" s="22">
        <f>'CAPM Models'!$E48</f>
        <v>50.147663000000001</v>
      </c>
      <c r="S48" s="112">
        <v>44105</v>
      </c>
      <c r="T48" s="22">
        <f>'CAPM Models'!$B48</f>
        <v>51.403880999999998</v>
      </c>
      <c r="U48" s="22">
        <f>'CAPM Models'!$B48</f>
        <v>51.403880999999998</v>
      </c>
      <c r="V48" s="22">
        <f>'CAPM Models'!$B48</f>
        <v>51.403880999999998</v>
      </c>
      <c r="W48" s="22">
        <f>'CAPM Models'!$B48</f>
        <v>51.403880999999998</v>
      </c>
    </row>
    <row r="49" spans="1:23" x14ac:dyDescent="0.2">
      <c r="A49" s="112">
        <v>44136</v>
      </c>
      <c r="B49" s="22">
        <f>'CAPM Models'!$D49</f>
        <v>133.83570900000001</v>
      </c>
      <c r="C49" s="22">
        <f>'CAPM Models'!$D49</f>
        <v>133.83570900000001</v>
      </c>
      <c r="D49" s="22">
        <f>'CAPM Models'!$D49</f>
        <v>133.83570900000001</v>
      </c>
      <c r="E49" s="22">
        <f>'CAPM Models'!$D49</f>
        <v>133.83570900000001</v>
      </c>
      <c r="G49" s="112">
        <v>44136</v>
      </c>
      <c r="H49" s="22">
        <f>'CAPM Models'!$C49</f>
        <v>46.069789999999998</v>
      </c>
      <c r="I49" s="22">
        <f>'CAPM Models'!$C49</f>
        <v>46.069789999999998</v>
      </c>
      <c r="J49" s="22">
        <f>'CAPM Models'!$C49</f>
        <v>46.069789999999998</v>
      </c>
      <c r="K49" s="22">
        <f>'CAPM Models'!$C49</f>
        <v>46.069789999999998</v>
      </c>
      <c r="M49" s="112">
        <v>44136</v>
      </c>
      <c r="N49" s="22">
        <f>'CAPM Models'!$E49</f>
        <v>63.845123000000001</v>
      </c>
      <c r="O49" s="22">
        <f>'CAPM Models'!$E49</f>
        <v>63.845123000000001</v>
      </c>
      <c r="P49" s="22">
        <f>'CAPM Models'!$E49</f>
        <v>63.845123000000001</v>
      </c>
      <c r="Q49" s="22">
        <f>'CAPM Models'!$E49</f>
        <v>63.845123000000001</v>
      </c>
      <c r="S49" s="112">
        <v>44136</v>
      </c>
      <c r="T49" s="22">
        <f>'CAPM Models'!$B49</f>
        <v>65.741981999999993</v>
      </c>
      <c r="U49" s="22">
        <f>'CAPM Models'!$B49</f>
        <v>65.741981999999993</v>
      </c>
      <c r="V49" s="22">
        <f>'CAPM Models'!$B49</f>
        <v>65.741981999999993</v>
      </c>
      <c r="W49" s="22">
        <f>'CAPM Models'!$B49</f>
        <v>65.741981999999993</v>
      </c>
    </row>
    <row r="50" spans="1:23" x14ac:dyDescent="0.2">
      <c r="A50" s="112">
        <v>44166</v>
      </c>
      <c r="B50" s="22">
        <f>'CAPM Models'!$D50</f>
        <v>130.37536600000001</v>
      </c>
      <c r="C50" s="22">
        <f>'CAPM Models'!$D50</f>
        <v>130.37536600000001</v>
      </c>
      <c r="D50" s="22">
        <f>'CAPM Models'!$D50</f>
        <v>130.37536600000001</v>
      </c>
      <c r="E50" s="22">
        <f>'CAPM Models'!$D50</f>
        <v>130.37536600000001</v>
      </c>
      <c r="G50" s="112">
        <v>44166</v>
      </c>
      <c r="H50" s="22">
        <f>'CAPM Models'!$C50</f>
        <v>47.815739000000001</v>
      </c>
      <c r="I50" s="22">
        <f>'CAPM Models'!$C50</f>
        <v>47.815739000000001</v>
      </c>
      <c r="J50" s="22">
        <f>'CAPM Models'!$C50</f>
        <v>47.815739000000001</v>
      </c>
      <c r="K50" s="22">
        <f>'CAPM Models'!$C50</f>
        <v>47.815739000000001</v>
      </c>
      <c r="M50" s="112">
        <v>44166</v>
      </c>
      <c r="N50" s="22">
        <f>'CAPM Models'!$E50</f>
        <v>74.892753999999996</v>
      </c>
      <c r="O50" s="22">
        <f>'CAPM Models'!$E50</f>
        <v>74.892753999999996</v>
      </c>
      <c r="P50" s="22">
        <f>'CAPM Models'!$E50</f>
        <v>74.892753999999996</v>
      </c>
      <c r="Q50" s="22">
        <f>'CAPM Models'!$E50</f>
        <v>74.892753999999996</v>
      </c>
      <c r="S50" s="112">
        <v>44166</v>
      </c>
      <c r="T50" s="22">
        <f>'CAPM Models'!$B50</f>
        <v>67.762032000000005</v>
      </c>
      <c r="U50" s="22">
        <f>'CAPM Models'!$B50</f>
        <v>67.762032000000005</v>
      </c>
      <c r="V50" s="22">
        <f>'CAPM Models'!$B50</f>
        <v>67.762032000000005</v>
      </c>
      <c r="W50" s="22">
        <f>'CAPM Models'!$B50</f>
        <v>67.762032000000005</v>
      </c>
    </row>
    <row r="51" spans="1:23" x14ac:dyDescent="0.2">
      <c r="A51" s="112">
        <v>44197</v>
      </c>
      <c r="B51" s="22">
        <f>'CAPM Models'!$D51</f>
        <v>129.76205400000001</v>
      </c>
      <c r="C51" s="22">
        <f>'CAPM Models'!$D51</f>
        <v>129.76205400000001</v>
      </c>
      <c r="D51" s="22">
        <f>'CAPM Models'!$D51</f>
        <v>129.76205400000001</v>
      </c>
      <c r="E51" s="22">
        <f>'CAPM Models'!$D51</f>
        <v>129.76205400000001</v>
      </c>
      <c r="G51" s="112">
        <v>44197</v>
      </c>
      <c r="H51" s="22">
        <f>'CAPM Models'!$C51</f>
        <v>53.276828999999999</v>
      </c>
      <c r="I51" s="22">
        <f>'CAPM Models'!$C51</f>
        <v>53.276828999999999</v>
      </c>
      <c r="J51" s="22">
        <f>'CAPM Models'!$C51</f>
        <v>53.276828999999999</v>
      </c>
      <c r="K51" s="22">
        <f>'CAPM Models'!$C51</f>
        <v>53.276828999999999</v>
      </c>
      <c r="M51" s="112">
        <v>44197</v>
      </c>
      <c r="N51" s="22">
        <f>'CAPM Models'!$E51</f>
        <v>77.970946999999995</v>
      </c>
      <c r="O51" s="22">
        <f>'CAPM Models'!$E51</f>
        <v>77.970946999999995</v>
      </c>
      <c r="P51" s="22">
        <f>'CAPM Models'!$E51</f>
        <v>77.970946999999995</v>
      </c>
      <c r="Q51" s="22">
        <f>'CAPM Models'!$E51</f>
        <v>77.970946999999995</v>
      </c>
      <c r="S51" s="112">
        <v>44197</v>
      </c>
      <c r="T51" s="22">
        <f>'CAPM Models'!$B51</f>
        <v>66.780769000000006</v>
      </c>
      <c r="U51" s="22">
        <f>'CAPM Models'!$B51</f>
        <v>66.780769000000006</v>
      </c>
      <c r="V51" s="22">
        <f>'CAPM Models'!$B51</f>
        <v>66.780769000000006</v>
      </c>
      <c r="W51" s="22">
        <f>'CAPM Models'!$B51</f>
        <v>66.780769000000006</v>
      </c>
    </row>
    <row r="52" spans="1:23" x14ac:dyDescent="0.2">
      <c r="A52" s="112">
        <v>44228</v>
      </c>
      <c r="B52" s="22">
        <f>'CAPM Models'!$D52</f>
        <v>137.00199900000001</v>
      </c>
      <c r="C52" s="22">
        <f>'CAPM Models'!$D52</f>
        <v>137.00199900000001</v>
      </c>
      <c r="D52" s="22">
        <f>'CAPM Models'!$D52</f>
        <v>137.00199900000001</v>
      </c>
      <c r="E52" s="22">
        <f>'CAPM Models'!$D52</f>
        <v>137.00199900000001</v>
      </c>
      <c r="G52" s="112">
        <v>44228</v>
      </c>
      <c r="H52" s="22">
        <f>'CAPM Models'!$C52</f>
        <v>58.334820000000001</v>
      </c>
      <c r="I52" s="22">
        <f>'CAPM Models'!$C52</f>
        <v>58.334820000000001</v>
      </c>
      <c r="J52" s="22">
        <f>'CAPM Models'!$C52</f>
        <v>58.334820000000001</v>
      </c>
      <c r="K52" s="22">
        <f>'CAPM Models'!$C52</f>
        <v>58.334820000000001</v>
      </c>
      <c r="M52" s="112">
        <v>44228</v>
      </c>
      <c r="N52" s="22">
        <f>'CAPM Models'!$E52</f>
        <v>91.180289999999999</v>
      </c>
      <c r="O52" s="22">
        <f>'CAPM Models'!$E52</f>
        <v>91.180289999999999</v>
      </c>
      <c r="P52" s="22">
        <f>'CAPM Models'!$E52</f>
        <v>91.180289999999999</v>
      </c>
      <c r="Q52" s="22">
        <f>'CAPM Models'!$E52</f>
        <v>91.180289999999999</v>
      </c>
      <c r="S52" s="112">
        <v>44228</v>
      </c>
      <c r="T52" s="22">
        <f>'CAPM Models'!$B52</f>
        <v>74.886100999999996</v>
      </c>
      <c r="U52" s="22">
        <f>'CAPM Models'!$B52</f>
        <v>74.886100999999996</v>
      </c>
      <c r="V52" s="22">
        <f>'CAPM Models'!$B52</f>
        <v>74.886100999999996</v>
      </c>
      <c r="W52" s="22">
        <f>'CAPM Models'!$B52</f>
        <v>74.886100999999996</v>
      </c>
    </row>
    <row r="53" spans="1:23" x14ac:dyDescent="0.2">
      <c r="A53" s="112">
        <v>44256</v>
      </c>
      <c r="B53" s="22">
        <f>'CAPM Models'!$D53</f>
        <v>133.34330700000001</v>
      </c>
      <c r="C53" s="22">
        <f>'CAPM Models'!$D53</f>
        <v>133.34330700000001</v>
      </c>
      <c r="D53" s="22">
        <f>'CAPM Models'!$D53</f>
        <v>133.34330700000001</v>
      </c>
      <c r="E53" s="22">
        <f>'CAPM Models'!$D53</f>
        <v>133.34330700000001</v>
      </c>
      <c r="G53" s="112">
        <v>44256</v>
      </c>
      <c r="H53" s="22">
        <f>'CAPM Models'!$C53</f>
        <v>61.79813</v>
      </c>
      <c r="I53" s="22">
        <f>'CAPM Models'!$C53</f>
        <v>61.79813</v>
      </c>
      <c r="J53" s="22">
        <f>'CAPM Models'!$C53</f>
        <v>61.79813</v>
      </c>
      <c r="K53" s="22">
        <f>'CAPM Models'!$C53</f>
        <v>61.79813</v>
      </c>
      <c r="M53" s="112">
        <v>44256</v>
      </c>
      <c r="N53" s="22">
        <f>'CAPM Models'!$E53</f>
        <v>87.872971000000007</v>
      </c>
      <c r="O53" s="22">
        <f>'CAPM Models'!$E53</f>
        <v>87.872971000000007</v>
      </c>
      <c r="P53" s="22">
        <f>'CAPM Models'!$E53</f>
        <v>87.872971000000007</v>
      </c>
      <c r="Q53" s="22">
        <f>'CAPM Models'!$E53</f>
        <v>87.872971000000007</v>
      </c>
      <c r="S53" s="112">
        <v>44256</v>
      </c>
      <c r="T53" s="22">
        <f>'CAPM Models'!$B53</f>
        <v>76.347060999999997</v>
      </c>
      <c r="U53" s="22">
        <f>'CAPM Models'!$B53</f>
        <v>76.347060999999997</v>
      </c>
      <c r="V53" s="22">
        <f>'CAPM Models'!$B53</f>
        <v>76.347060999999997</v>
      </c>
      <c r="W53" s="22">
        <f>'CAPM Models'!$B53</f>
        <v>76.347060999999997</v>
      </c>
    </row>
    <row r="54" spans="1:23" x14ac:dyDescent="0.2">
      <c r="A54" s="112">
        <v>44287</v>
      </c>
      <c r="B54" s="22">
        <f>'CAPM Models'!$D54</f>
        <v>149.990219</v>
      </c>
      <c r="C54" s="22">
        <f>'CAPM Models'!$D54</f>
        <v>149.990219</v>
      </c>
      <c r="D54" s="22">
        <f>'CAPM Models'!$D54</f>
        <v>149.990219</v>
      </c>
      <c r="E54" s="22">
        <f>'CAPM Models'!$D54</f>
        <v>149.990219</v>
      </c>
      <c r="G54" s="112">
        <v>44287</v>
      </c>
      <c r="H54" s="22">
        <f>'CAPM Models'!$C54</f>
        <v>55.550716000000001</v>
      </c>
      <c r="I54" s="22">
        <f>'CAPM Models'!$C54</f>
        <v>55.550716000000001</v>
      </c>
      <c r="J54" s="22">
        <f>'CAPM Models'!$C54</f>
        <v>55.550716000000001</v>
      </c>
      <c r="K54" s="22">
        <f>'CAPM Models'!$C54</f>
        <v>55.550716000000001</v>
      </c>
      <c r="M54" s="112">
        <v>44287</v>
      </c>
      <c r="N54" s="22">
        <f>'CAPM Models'!$E54</f>
        <v>85.741150000000005</v>
      </c>
      <c r="O54" s="22">
        <f>'CAPM Models'!$E54</f>
        <v>85.741150000000005</v>
      </c>
      <c r="P54" s="22">
        <f>'CAPM Models'!$E54</f>
        <v>85.741150000000005</v>
      </c>
      <c r="Q54" s="22">
        <f>'CAPM Models'!$E54</f>
        <v>85.741150000000005</v>
      </c>
      <c r="S54" s="112">
        <v>44287</v>
      </c>
      <c r="T54" s="22">
        <f>'CAPM Models'!$B54</f>
        <v>73.922173000000001</v>
      </c>
      <c r="U54" s="22">
        <f>'CAPM Models'!$B54</f>
        <v>73.922173000000001</v>
      </c>
      <c r="V54" s="22">
        <f>'CAPM Models'!$B54</f>
        <v>73.922173000000001</v>
      </c>
      <c r="W54" s="22">
        <f>'CAPM Models'!$B54</f>
        <v>73.922173000000001</v>
      </c>
    </row>
    <row r="55" spans="1:23" x14ac:dyDescent="0.2">
      <c r="A55" s="112">
        <v>44317</v>
      </c>
      <c r="B55" s="22">
        <f>'CAPM Models'!$D55</f>
        <v>162.33161899999999</v>
      </c>
      <c r="C55" s="22">
        <f>'CAPM Models'!$D55</f>
        <v>162.33161899999999</v>
      </c>
      <c r="D55" s="22">
        <f>'CAPM Models'!$D55</f>
        <v>162.33161899999999</v>
      </c>
      <c r="E55" s="22">
        <f>'CAPM Models'!$D55</f>
        <v>162.33161899999999</v>
      </c>
      <c r="G55" s="112">
        <v>44317</v>
      </c>
      <c r="H55" s="22">
        <f>'CAPM Models'!$C55</f>
        <v>55.154826999999997</v>
      </c>
      <c r="I55" s="22">
        <f>'CAPM Models'!$C55</f>
        <v>55.154826999999997</v>
      </c>
      <c r="J55" s="22">
        <f>'CAPM Models'!$C55</f>
        <v>55.154826999999997</v>
      </c>
      <c r="K55" s="22">
        <f>'CAPM Models'!$C55</f>
        <v>55.154826999999997</v>
      </c>
      <c r="M55" s="112">
        <v>44317</v>
      </c>
      <c r="N55" s="22">
        <f>'CAPM Models'!$E55</f>
        <v>83.818520000000007</v>
      </c>
      <c r="O55" s="22">
        <f>'CAPM Models'!$E55</f>
        <v>83.818520000000007</v>
      </c>
      <c r="P55" s="22">
        <f>'CAPM Models'!$E55</f>
        <v>83.818520000000007</v>
      </c>
      <c r="Q55" s="22">
        <f>'CAPM Models'!$E55</f>
        <v>83.818520000000007</v>
      </c>
      <c r="S55" s="112">
        <v>44317</v>
      </c>
      <c r="T55" s="22">
        <f>'CAPM Models'!$B55</f>
        <v>77.197990000000004</v>
      </c>
      <c r="U55" s="22">
        <f>'CAPM Models'!$B55</f>
        <v>77.197990000000004</v>
      </c>
      <c r="V55" s="22">
        <f>'CAPM Models'!$B55</f>
        <v>77.197990000000004</v>
      </c>
      <c r="W55" s="22">
        <f>'CAPM Models'!$B55</f>
        <v>77.197990000000004</v>
      </c>
    </row>
    <row r="56" spans="1:23" x14ac:dyDescent="0.2">
      <c r="A56" s="112">
        <v>44348</v>
      </c>
      <c r="B56" s="22">
        <f>'CAPM Models'!$D56</f>
        <v>199.88536099999999</v>
      </c>
      <c r="C56" s="22">
        <f>'CAPM Models'!$D56</f>
        <v>199.88536099999999</v>
      </c>
      <c r="D56" s="22">
        <f>'CAPM Models'!$D56</f>
        <v>199.88536099999999</v>
      </c>
      <c r="E56" s="22">
        <f>'CAPM Models'!$D56</f>
        <v>199.88536099999999</v>
      </c>
      <c r="G56" s="112">
        <v>44348</v>
      </c>
      <c r="H56" s="22">
        <f>'CAPM Models'!$C56</f>
        <v>54.542416000000003</v>
      </c>
      <c r="I56" s="22">
        <f>'CAPM Models'!$C56</f>
        <v>54.542416000000003</v>
      </c>
      <c r="J56" s="22">
        <f>'CAPM Models'!$C56</f>
        <v>54.542416000000003</v>
      </c>
      <c r="K56" s="22">
        <f>'CAPM Models'!$C56</f>
        <v>54.542416000000003</v>
      </c>
      <c r="M56" s="112">
        <v>44348</v>
      </c>
      <c r="N56" s="22">
        <f>'CAPM Models'!$E56</f>
        <v>84.655311999999995</v>
      </c>
      <c r="O56" s="22">
        <f>'CAPM Models'!$E56</f>
        <v>84.655311999999995</v>
      </c>
      <c r="P56" s="22">
        <f>'CAPM Models'!$E56</f>
        <v>84.655311999999995</v>
      </c>
      <c r="Q56" s="22">
        <f>'CAPM Models'!$E56</f>
        <v>84.655311999999995</v>
      </c>
      <c r="S56" s="112">
        <v>44348</v>
      </c>
      <c r="T56" s="22">
        <f>'CAPM Models'!$B56</f>
        <v>73.859168999999994</v>
      </c>
      <c r="U56" s="22">
        <f>'CAPM Models'!$B56</f>
        <v>73.859168999999994</v>
      </c>
      <c r="V56" s="22">
        <f>'CAPM Models'!$B56</f>
        <v>73.859168999999994</v>
      </c>
      <c r="W56" s="22">
        <f>'CAPM Models'!$B56</f>
        <v>73.859168999999994</v>
      </c>
    </row>
    <row r="57" spans="1:23" x14ac:dyDescent="0.2">
      <c r="A57" s="112">
        <v>44378</v>
      </c>
      <c r="B57" s="22">
        <f>'CAPM Models'!$D57</f>
        <v>194.89854399999999</v>
      </c>
      <c r="C57" s="22">
        <f>'CAPM Models'!$D57</f>
        <v>194.89854399999999</v>
      </c>
      <c r="D57" s="22">
        <f>'CAPM Models'!$D57</f>
        <v>194.89854399999999</v>
      </c>
      <c r="E57" s="22">
        <f>'CAPM Models'!$D57</f>
        <v>194.89854399999999</v>
      </c>
      <c r="G57" s="112">
        <v>44378</v>
      </c>
      <c r="H57" s="22">
        <f>'CAPM Models'!$C57</f>
        <v>52.191284000000003</v>
      </c>
      <c r="I57" s="22">
        <f>'CAPM Models'!$C57</f>
        <v>52.191284000000003</v>
      </c>
      <c r="J57" s="22">
        <f>'CAPM Models'!$C57</f>
        <v>52.191284000000003</v>
      </c>
      <c r="K57" s="22">
        <f>'CAPM Models'!$C57</f>
        <v>52.191284000000003</v>
      </c>
      <c r="M57" s="112">
        <v>44378</v>
      </c>
      <c r="N57" s="22">
        <f>'CAPM Models'!$E57</f>
        <v>77.283591999999999</v>
      </c>
      <c r="O57" s="22">
        <f>'CAPM Models'!$E57</f>
        <v>77.283591999999999</v>
      </c>
      <c r="P57" s="22">
        <f>'CAPM Models'!$E57</f>
        <v>77.283591999999999</v>
      </c>
      <c r="Q57" s="22">
        <f>'CAPM Models'!$E57</f>
        <v>77.283591999999999</v>
      </c>
      <c r="S57" s="112">
        <v>44378</v>
      </c>
      <c r="T57" s="22">
        <f>'CAPM Models'!$B57</f>
        <v>70.593857</v>
      </c>
      <c r="U57" s="22">
        <f>'CAPM Models'!$B57</f>
        <v>70.593857</v>
      </c>
      <c r="V57" s="22">
        <f>'CAPM Models'!$B57</f>
        <v>70.593857</v>
      </c>
      <c r="W57" s="22">
        <f>'CAPM Models'!$B57</f>
        <v>70.593857</v>
      </c>
    </row>
    <row r="58" spans="1:23" x14ac:dyDescent="0.2">
      <c r="A58" s="112">
        <v>44409</v>
      </c>
      <c r="B58" s="22">
        <f>'CAPM Models'!$D58</f>
        <v>223.745026</v>
      </c>
      <c r="C58" s="22">
        <f>'CAPM Models'!$D58</f>
        <v>223.745026</v>
      </c>
      <c r="D58" s="22">
        <f>'CAPM Models'!$D58</f>
        <v>223.745026</v>
      </c>
      <c r="E58" s="22">
        <f>'CAPM Models'!$D58</f>
        <v>223.745026</v>
      </c>
      <c r="G58" s="112">
        <v>44409</v>
      </c>
      <c r="H58" s="22">
        <f>'CAPM Models'!$C58</f>
        <v>52.521610000000003</v>
      </c>
      <c r="I58" s="22">
        <f>'CAPM Models'!$C58</f>
        <v>52.521610000000003</v>
      </c>
      <c r="J58" s="22">
        <f>'CAPM Models'!$C58</f>
        <v>52.521610000000003</v>
      </c>
      <c r="K58" s="22">
        <f>'CAPM Models'!$C58</f>
        <v>52.521610000000003</v>
      </c>
      <c r="M58" s="112">
        <v>44409</v>
      </c>
      <c r="N58" s="22">
        <f>'CAPM Models'!$E58</f>
        <v>73.418411000000006</v>
      </c>
      <c r="O58" s="22">
        <f>'CAPM Models'!$E58</f>
        <v>73.418411000000006</v>
      </c>
      <c r="P58" s="22">
        <f>'CAPM Models'!$E58</f>
        <v>73.418411000000006</v>
      </c>
      <c r="Q58" s="22">
        <f>'CAPM Models'!$E58</f>
        <v>73.418411000000006</v>
      </c>
      <c r="S58" s="112">
        <v>44409</v>
      </c>
      <c r="T58" s="22">
        <f>'CAPM Models'!$B58</f>
        <v>77.617728999999997</v>
      </c>
      <c r="U58" s="22">
        <f>'CAPM Models'!$B58</f>
        <v>77.617728999999997</v>
      </c>
      <c r="V58" s="22">
        <f>'CAPM Models'!$B58</f>
        <v>77.617728999999997</v>
      </c>
      <c r="W58" s="22">
        <f>'CAPM Models'!$B58</f>
        <v>77.617728999999997</v>
      </c>
    </row>
    <row r="59" spans="1:23" x14ac:dyDescent="0.2">
      <c r="A59" s="112">
        <v>44440</v>
      </c>
      <c r="B59" s="22">
        <f>'CAPM Models'!$D59</f>
        <v>207.09934999999999</v>
      </c>
      <c r="C59" s="22">
        <f>'CAPM Models'!$D59</f>
        <v>207.09934999999999</v>
      </c>
      <c r="D59" s="22">
        <f>'CAPM Models'!$D59</f>
        <v>207.09934999999999</v>
      </c>
      <c r="E59" s="22">
        <f>'CAPM Models'!$D59</f>
        <v>207.09934999999999</v>
      </c>
      <c r="G59" s="112">
        <v>44440</v>
      </c>
      <c r="H59" s="22">
        <f>'CAPM Models'!$C59</f>
        <v>52.100185000000003</v>
      </c>
      <c r="I59" s="22">
        <f>'CAPM Models'!$C59</f>
        <v>52.100185000000003</v>
      </c>
      <c r="J59" s="22">
        <f>'CAPM Models'!$C59</f>
        <v>52.100185000000003</v>
      </c>
      <c r="K59" s="22">
        <f>'CAPM Models'!$C59</f>
        <v>52.100185000000003</v>
      </c>
      <c r="M59" s="112">
        <v>44440</v>
      </c>
      <c r="N59" s="22">
        <f>'CAPM Models'!$E59</f>
        <v>70.708800999999994</v>
      </c>
      <c r="O59" s="22">
        <f>'CAPM Models'!$E59</f>
        <v>70.708800999999994</v>
      </c>
      <c r="P59" s="22">
        <f>'CAPM Models'!$E59</f>
        <v>70.708800999999994</v>
      </c>
      <c r="Q59" s="22">
        <f>'CAPM Models'!$E59</f>
        <v>70.708800999999994</v>
      </c>
      <c r="S59" s="112">
        <v>44440</v>
      </c>
      <c r="T59" s="22">
        <f>'CAPM Models'!$B59</f>
        <v>75.939835000000002</v>
      </c>
      <c r="U59" s="22">
        <f>'CAPM Models'!$B59</f>
        <v>75.939835000000002</v>
      </c>
      <c r="V59" s="22">
        <f>'CAPM Models'!$B59</f>
        <v>75.939835000000002</v>
      </c>
      <c r="W59" s="22">
        <f>'CAPM Models'!$B59</f>
        <v>75.939835000000002</v>
      </c>
    </row>
    <row r="60" spans="1:23" x14ac:dyDescent="0.2">
      <c r="A60" s="112">
        <v>44470</v>
      </c>
      <c r="B60" s="22">
        <f>'CAPM Models'!$D60</f>
        <v>255.59515400000001</v>
      </c>
      <c r="C60" s="22">
        <f>'CAPM Models'!$D60</f>
        <v>255.59515400000001</v>
      </c>
      <c r="D60" s="22">
        <f>'CAPM Models'!$D60</f>
        <v>255.59515400000001</v>
      </c>
      <c r="E60" s="22">
        <f>'CAPM Models'!$D60</f>
        <v>255.59515400000001</v>
      </c>
      <c r="G60" s="112">
        <v>44470</v>
      </c>
      <c r="H60" s="22">
        <f>'CAPM Models'!$C60</f>
        <v>47.914954999999999</v>
      </c>
      <c r="I60" s="22">
        <f>'CAPM Models'!$C60</f>
        <v>47.914954999999999</v>
      </c>
      <c r="J60" s="22">
        <f>'CAPM Models'!$C60</f>
        <v>47.914954999999999</v>
      </c>
      <c r="K60" s="22">
        <f>'CAPM Models'!$C60</f>
        <v>47.914954999999999</v>
      </c>
      <c r="M60" s="112">
        <v>44470</v>
      </c>
      <c r="N60" s="22">
        <f>'CAPM Models'!$E60</f>
        <v>68.932204999999996</v>
      </c>
      <c r="O60" s="22">
        <f>'CAPM Models'!$E60</f>
        <v>68.932204999999996</v>
      </c>
      <c r="P60" s="22">
        <f>'CAPM Models'!$E60</f>
        <v>68.932204999999996</v>
      </c>
      <c r="Q60" s="22">
        <f>'CAPM Models'!$E60</f>
        <v>68.932204999999996</v>
      </c>
      <c r="S60" s="112">
        <v>44470</v>
      </c>
      <c r="T60" s="22">
        <f>'CAPM Models'!$B60</f>
        <v>73.312691000000001</v>
      </c>
      <c r="U60" s="22">
        <f>'CAPM Models'!$B60</f>
        <v>73.312691000000001</v>
      </c>
      <c r="V60" s="22">
        <f>'CAPM Models'!$B60</f>
        <v>73.312691000000001</v>
      </c>
      <c r="W60" s="22">
        <f>'CAPM Models'!$B60</f>
        <v>73.312691000000001</v>
      </c>
    </row>
    <row r="61" spans="1:23" x14ac:dyDescent="0.2">
      <c r="A61" s="112">
        <v>44501</v>
      </c>
      <c r="B61" s="22">
        <f>'CAPM Models'!$D61</f>
        <v>326.66433699999999</v>
      </c>
      <c r="C61" s="22">
        <f>'CAPM Models'!$D61</f>
        <v>326.66433699999999</v>
      </c>
      <c r="D61" s="22">
        <f>'CAPM Models'!$D61</f>
        <v>326.66433699999999</v>
      </c>
      <c r="E61" s="22">
        <f>'CAPM Models'!$D61</f>
        <v>326.66433699999999</v>
      </c>
      <c r="G61" s="112">
        <v>44501</v>
      </c>
      <c r="H61" s="22">
        <f>'CAPM Models'!$C61</f>
        <v>48.110531000000002</v>
      </c>
      <c r="I61" s="22">
        <f>'CAPM Models'!$C61</f>
        <v>48.110531000000002</v>
      </c>
      <c r="J61" s="22">
        <f>'CAPM Models'!$C61</f>
        <v>48.110531000000002</v>
      </c>
      <c r="K61" s="22">
        <f>'CAPM Models'!$C61</f>
        <v>48.110531000000002</v>
      </c>
      <c r="M61" s="112">
        <v>44501</v>
      </c>
      <c r="N61" s="22">
        <f>'CAPM Models'!$E61</f>
        <v>83.796020999999996</v>
      </c>
      <c r="O61" s="22">
        <f>'CAPM Models'!$E61</f>
        <v>83.796020999999996</v>
      </c>
      <c r="P61" s="22">
        <f>'CAPM Models'!$E61</f>
        <v>83.796020999999996</v>
      </c>
      <c r="Q61" s="22">
        <f>'CAPM Models'!$E61</f>
        <v>83.796020999999996</v>
      </c>
      <c r="S61" s="112">
        <v>44501</v>
      </c>
      <c r="T61" s="22">
        <f>'CAPM Models'!$B61</f>
        <v>82.554703000000003</v>
      </c>
      <c r="U61" s="22">
        <f>'CAPM Models'!$B61</f>
        <v>82.554703000000003</v>
      </c>
      <c r="V61" s="22">
        <f>'CAPM Models'!$B61</f>
        <v>82.554703000000003</v>
      </c>
      <c r="W61" s="22">
        <f>'CAPM Models'!$B61</f>
        <v>82.554703000000003</v>
      </c>
    </row>
    <row r="62" spans="1:23" x14ac:dyDescent="0.2">
      <c r="A62" s="112">
        <v>44531</v>
      </c>
      <c r="B62" s="22">
        <f>'CAPM Models'!$D62</f>
        <v>294.023865</v>
      </c>
      <c r="C62" s="22">
        <f>'CAPM Models'!$D62</f>
        <v>294.023865</v>
      </c>
      <c r="D62" s="22">
        <f>'CAPM Models'!$D62</f>
        <v>294.023865</v>
      </c>
      <c r="E62" s="22">
        <f>'CAPM Models'!$D62</f>
        <v>294.023865</v>
      </c>
      <c r="G62" s="112">
        <v>44531</v>
      </c>
      <c r="H62" s="22">
        <f>'CAPM Models'!$C62</f>
        <v>50.709808000000002</v>
      </c>
      <c r="I62" s="22">
        <f>'CAPM Models'!$C62</f>
        <v>50.709808000000002</v>
      </c>
      <c r="J62" s="22">
        <f>'CAPM Models'!$C62</f>
        <v>50.709808000000002</v>
      </c>
      <c r="K62" s="22">
        <f>'CAPM Models'!$C62</f>
        <v>50.709808000000002</v>
      </c>
      <c r="M62" s="112">
        <v>44531</v>
      </c>
      <c r="N62" s="22">
        <f>'CAPM Models'!$E62</f>
        <v>92.923805000000002</v>
      </c>
      <c r="O62" s="22">
        <f>'CAPM Models'!$E62</f>
        <v>92.923805000000002</v>
      </c>
      <c r="P62" s="22">
        <f>'CAPM Models'!$E62</f>
        <v>92.923805000000002</v>
      </c>
      <c r="Q62" s="22">
        <f>'CAPM Models'!$E62</f>
        <v>92.923805000000002</v>
      </c>
      <c r="S62" s="112">
        <v>44531</v>
      </c>
      <c r="T62" s="22">
        <f>'CAPM Models'!$B62</f>
        <v>86.388503999999998</v>
      </c>
      <c r="U62" s="22">
        <f>'CAPM Models'!$B62</f>
        <v>86.388503999999998</v>
      </c>
      <c r="V62" s="22">
        <f>'CAPM Models'!$B62</f>
        <v>86.388503999999998</v>
      </c>
      <c r="W62" s="22">
        <f>'CAPM Models'!$B62</f>
        <v>86.388503999999998</v>
      </c>
    </row>
    <row r="63" spans="1:23" x14ac:dyDescent="0.2">
      <c r="A63" s="112">
        <v>45261</v>
      </c>
      <c r="B63" s="22">
        <f>'NVIDIA (NVDA)'!C16</f>
        <v>148.7870063744823</v>
      </c>
      <c r="C63" s="22">
        <f>'NVIDIA (NVDA)'!C17</f>
        <v>94.046540915384043</v>
      </c>
      <c r="D63" s="22">
        <f>'NVIDIA (NVDA)'!C18</f>
        <v>39.84874481486434</v>
      </c>
      <c r="E63" s="116"/>
      <c r="G63" s="112">
        <v>45261</v>
      </c>
      <c r="H63" s="22">
        <f ca="1">'Intel (INTC)'!C16</f>
        <v>217.28535374946165</v>
      </c>
      <c r="I63" s="22">
        <f ca="1">'Intel (INTC)'!C17</f>
        <v>159.33492483131818</v>
      </c>
      <c r="J63" s="22">
        <f ca="1">'Intel (INTC)'!C18</f>
        <v>66.453325829260038</v>
      </c>
      <c r="K63" s="116"/>
      <c r="M63" s="112">
        <v>45261</v>
      </c>
      <c r="N63" s="22">
        <f ca="1">'Micron (MU)'!C16</f>
        <v>222.52294035012258</v>
      </c>
      <c r="O63" s="22">
        <f ca="1">'Micron (MU)'!C17</f>
        <v>130.49414485971494</v>
      </c>
      <c r="P63" s="22">
        <f ca="1">'Micron (MU)'!C18</f>
        <v>13.579805693250169</v>
      </c>
      <c r="Q63" s="116"/>
      <c r="S63" s="112">
        <v>45261</v>
      </c>
      <c r="T63" s="22">
        <f>'Microchip (MCHP)'!C16</f>
        <v>119.71017299104997</v>
      </c>
      <c r="U63" s="22">
        <f>'Microchip (MCHP)'!C17</f>
        <v>84.574816248121465</v>
      </c>
      <c r="V63" s="22">
        <f>'Microchip (MCHP)'!C18</f>
        <v>61.897448432259623</v>
      </c>
      <c r="W63" s="116"/>
    </row>
    <row r="64" spans="1:23" x14ac:dyDescent="0.2">
      <c r="A64" s="112"/>
      <c r="B64" s="112"/>
      <c r="C64" s="112"/>
      <c r="D64" s="112"/>
      <c r="G64" s="112"/>
      <c r="H64" s="112"/>
      <c r="I64" s="112"/>
      <c r="J64" s="112"/>
      <c r="M64" s="112"/>
      <c r="N64" s="112"/>
      <c r="O64" s="112"/>
      <c r="P64" s="112"/>
      <c r="S64" s="112"/>
      <c r="T64" s="112"/>
      <c r="U64" s="112"/>
      <c r="V64" s="112"/>
    </row>
    <row r="65" spans="1:22" x14ac:dyDescent="0.2">
      <c r="A65" s="112"/>
      <c r="B65" s="112"/>
      <c r="C65" s="112"/>
      <c r="D65" s="112"/>
      <c r="G65" s="112"/>
      <c r="H65" s="112"/>
      <c r="I65" s="112"/>
      <c r="J65" s="112"/>
      <c r="M65" s="112"/>
      <c r="N65" s="112"/>
      <c r="O65" s="112"/>
      <c r="P65" s="112"/>
      <c r="S65" s="112"/>
      <c r="T65" s="112"/>
      <c r="U65" s="112"/>
      <c r="V65" s="112"/>
    </row>
    <row r="66" spans="1:22" x14ac:dyDescent="0.2">
      <c r="A66" s="112"/>
      <c r="B66" s="112"/>
      <c r="C66" s="112"/>
      <c r="D66" s="112"/>
      <c r="G66" s="112"/>
      <c r="H66" s="112"/>
      <c r="I66" s="112"/>
      <c r="J66" s="112"/>
      <c r="M66" s="112"/>
      <c r="N66" s="112"/>
      <c r="O66" s="112"/>
      <c r="P66" s="112"/>
      <c r="S66" s="112"/>
      <c r="T66" s="112"/>
      <c r="U66" s="112"/>
      <c r="V66" s="112"/>
    </row>
    <row r="67" spans="1:22" x14ac:dyDescent="0.2">
      <c r="A67" s="112"/>
      <c r="B67" s="112"/>
      <c r="C67" s="112"/>
      <c r="D67" s="112"/>
      <c r="G67" s="112"/>
      <c r="H67" s="112"/>
      <c r="I67" s="112"/>
      <c r="J67" s="112"/>
      <c r="M67" s="112"/>
      <c r="N67" s="112"/>
      <c r="O67" s="112"/>
      <c r="P67" s="112"/>
      <c r="S67" s="112"/>
      <c r="T67" s="112"/>
      <c r="U67" s="112"/>
      <c r="V67" s="112"/>
    </row>
    <row r="68" spans="1:22" x14ac:dyDescent="0.2">
      <c r="A68" s="112"/>
      <c r="B68" s="112"/>
      <c r="C68" s="112"/>
      <c r="D68" s="112"/>
      <c r="G68" s="112"/>
      <c r="H68" s="112"/>
      <c r="I68" s="112"/>
      <c r="J68" s="112"/>
      <c r="M68" s="112"/>
      <c r="N68" s="112"/>
      <c r="O68" s="112"/>
      <c r="P68" s="112"/>
      <c r="S68" s="112"/>
      <c r="T68" s="112"/>
      <c r="U68" s="112"/>
      <c r="V68" s="112"/>
    </row>
    <row r="69" spans="1:22" x14ac:dyDescent="0.2">
      <c r="A69" s="112"/>
      <c r="B69" s="112"/>
      <c r="C69" s="112"/>
      <c r="D69" s="112"/>
      <c r="G69" s="112"/>
      <c r="H69" s="112"/>
      <c r="I69" s="112"/>
      <c r="J69" s="112"/>
      <c r="M69" s="112"/>
      <c r="N69" s="112"/>
      <c r="O69" s="112"/>
      <c r="P69" s="112"/>
      <c r="S69" s="112"/>
      <c r="T69" s="112"/>
      <c r="U69" s="112"/>
      <c r="V69" s="112"/>
    </row>
    <row r="70" spans="1:22" x14ac:dyDescent="0.2">
      <c r="A70" s="112"/>
      <c r="B70" s="112"/>
      <c r="C70" s="112"/>
      <c r="D70" s="112"/>
      <c r="G70" s="112"/>
      <c r="H70" s="112"/>
      <c r="I70" s="112"/>
      <c r="J70" s="112"/>
      <c r="M70" s="112"/>
      <c r="N70" s="112"/>
      <c r="O70" s="112"/>
      <c r="P70" s="112"/>
      <c r="S70" s="112"/>
      <c r="T70" s="112"/>
      <c r="U70" s="112"/>
      <c r="V70" s="112"/>
    </row>
    <row r="71" spans="1:22" x14ac:dyDescent="0.2">
      <c r="A71" s="112"/>
      <c r="B71" s="112"/>
      <c r="C71" s="112"/>
      <c r="D71" s="112"/>
      <c r="G71" s="112"/>
      <c r="H71" s="112"/>
      <c r="I71" s="112"/>
      <c r="J71" s="112"/>
      <c r="M71" s="112"/>
      <c r="N71" s="112"/>
      <c r="O71" s="112"/>
      <c r="P71" s="112"/>
      <c r="S71" s="112"/>
      <c r="T71" s="112"/>
      <c r="U71" s="112"/>
      <c r="V71" s="112"/>
    </row>
    <row r="72" spans="1:22" x14ac:dyDescent="0.2">
      <c r="A72" s="112"/>
      <c r="B72" s="112"/>
      <c r="C72" s="112"/>
      <c r="D72" s="112"/>
      <c r="G72" s="112"/>
      <c r="H72" s="112"/>
      <c r="I72" s="112"/>
      <c r="J72" s="112"/>
      <c r="M72" s="112"/>
      <c r="N72" s="112"/>
      <c r="O72" s="112"/>
      <c r="P72" s="112"/>
      <c r="S72" s="112"/>
      <c r="T72" s="112"/>
      <c r="U72" s="112"/>
      <c r="V72" s="112"/>
    </row>
    <row r="73" spans="1:22" x14ac:dyDescent="0.2">
      <c r="A73" s="112"/>
      <c r="B73" s="112"/>
      <c r="C73" s="112"/>
      <c r="D73" s="112"/>
      <c r="G73" s="112"/>
      <c r="H73" s="112"/>
      <c r="I73" s="112"/>
      <c r="J73" s="112"/>
      <c r="M73" s="112"/>
      <c r="N73" s="112"/>
      <c r="O73" s="112"/>
      <c r="P73" s="112"/>
      <c r="S73" s="112"/>
      <c r="T73" s="112"/>
      <c r="U73" s="112"/>
      <c r="V73" s="112"/>
    </row>
    <row r="74" spans="1:22" x14ac:dyDescent="0.2">
      <c r="A74" s="112"/>
      <c r="B74" s="112"/>
      <c r="C74" s="112"/>
      <c r="D74" s="112"/>
      <c r="G74" s="112"/>
      <c r="H74" s="112"/>
      <c r="I74" s="112"/>
      <c r="J74" s="112"/>
      <c r="M74" s="112"/>
      <c r="N74" s="112"/>
      <c r="O74" s="112"/>
      <c r="P74" s="112"/>
      <c r="S74" s="112"/>
      <c r="T74" s="112"/>
      <c r="U74" s="112"/>
      <c r="V74" s="112"/>
    </row>
    <row r="75" spans="1:22" x14ac:dyDescent="0.2">
      <c r="A75" s="112"/>
      <c r="B75" s="112"/>
      <c r="C75" s="112"/>
      <c r="D75" s="112"/>
      <c r="G75" s="112"/>
      <c r="H75" s="112"/>
      <c r="I75" s="112"/>
      <c r="J75" s="112"/>
      <c r="M75" s="112"/>
      <c r="N75" s="112"/>
      <c r="O75" s="112"/>
      <c r="P75" s="112"/>
      <c r="S75" s="112"/>
      <c r="T75" s="112"/>
      <c r="U75" s="112"/>
      <c r="V75" s="112"/>
    </row>
    <row r="76" spans="1:22" x14ac:dyDescent="0.2">
      <c r="A76" s="112"/>
      <c r="B76" s="112"/>
      <c r="C76" s="112"/>
      <c r="D76" s="112"/>
      <c r="G76" s="112"/>
      <c r="H76" s="112"/>
      <c r="I76" s="112"/>
      <c r="J76" s="112"/>
      <c r="M76" s="112"/>
      <c r="N76" s="112"/>
      <c r="O76" s="112"/>
      <c r="P76" s="112"/>
      <c r="S76" s="112"/>
      <c r="T76" s="112"/>
      <c r="U76" s="112"/>
      <c r="V76" s="112"/>
    </row>
    <row r="77" spans="1:22" x14ac:dyDescent="0.2">
      <c r="A77" s="112"/>
      <c r="B77" s="112"/>
      <c r="C77" s="112"/>
      <c r="D77" s="112"/>
      <c r="G77" s="112"/>
      <c r="H77" s="112"/>
      <c r="I77" s="112"/>
      <c r="J77" s="112"/>
      <c r="M77" s="112"/>
      <c r="N77" s="112"/>
      <c r="O77" s="112"/>
      <c r="P77" s="112"/>
      <c r="S77" s="112"/>
      <c r="T77" s="112"/>
      <c r="U77" s="112"/>
      <c r="V77" s="112"/>
    </row>
    <row r="78" spans="1:22" x14ac:dyDescent="0.2">
      <c r="A78" s="112"/>
      <c r="B78" s="112"/>
      <c r="C78" s="112"/>
      <c r="D78" s="112"/>
      <c r="G78" s="112"/>
      <c r="H78" s="112"/>
      <c r="I78" s="112"/>
      <c r="J78" s="112"/>
      <c r="M78" s="112"/>
      <c r="N78" s="112"/>
      <c r="O78" s="112"/>
      <c r="P78" s="112"/>
      <c r="S78" s="112"/>
      <c r="T78" s="112"/>
      <c r="U78" s="112"/>
      <c r="V78" s="112"/>
    </row>
    <row r="79" spans="1:22" x14ac:dyDescent="0.2">
      <c r="A79" s="112"/>
      <c r="B79" s="112"/>
      <c r="C79" s="112"/>
      <c r="D79" s="112"/>
      <c r="G79" s="112"/>
      <c r="H79" s="112"/>
      <c r="I79" s="112"/>
      <c r="J79" s="112"/>
      <c r="M79" s="112"/>
      <c r="N79" s="112"/>
      <c r="O79" s="112"/>
      <c r="P79" s="112"/>
      <c r="S79" s="112"/>
      <c r="T79" s="112"/>
      <c r="U79" s="112"/>
      <c r="V79" s="112"/>
    </row>
    <row r="80" spans="1:22" x14ac:dyDescent="0.2">
      <c r="A80" s="112"/>
      <c r="B80" s="112"/>
      <c r="C80" s="112"/>
      <c r="D80" s="112"/>
      <c r="G80" s="112"/>
      <c r="H80" s="112"/>
      <c r="I80" s="112"/>
      <c r="J80" s="112"/>
      <c r="M80" s="112"/>
      <c r="N80" s="112"/>
      <c r="O80" s="112"/>
      <c r="P80" s="112"/>
      <c r="S80" s="112"/>
      <c r="T80" s="112"/>
      <c r="U80" s="112"/>
      <c r="V80" s="112"/>
    </row>
    <row r="81" spans="1:22" x14ac:dyDescent="0.2">
      <c r="A81" s="112"/>
      <c r="B81" s="112"/>
      <c r="C81" s="112"/>
      <c r="D81" s="112"/>
      <c r="G81" s="112"/>
      <c r="H81" s="112"/>
      <c r="I81" s="112"/>
      <c r="J81" s="112"/>
      <c r="M81" s="112"/>
      <c r="N81" s="112"/>
      <c r="O81" s="112"/>
      <c r="P81" s="112"/>
      <c r="S81" s="112"/>
      <c r="T81" s="112"/>
      <c r="U81" s="112"/>
      <c r="V81" s="112"/>
    </row>
    <row r="82" spans="1:22" x14ac:dyDescent="0.2">
      <c r="A82" s="112"/>
      <c r="B82" s="112"/>
      <c r="C82" s="112"/>
      <c r="D82" s="112"/>
      <c r="G82" s="112"/>
      <c r="H82" s="112"/>
      <c r="I82" s="112"/>
      <c r="J82" s="112"/>
      <c r="M82" s="112"/>
      <c r="N82" s="112"/>
      <c r="O82" s="112"/>
      <c r="P82" s="112"/>
      <c r="S82" s="112"/>
      <c r="T82" s="112"/>
      <c r="U82" s="112"/>
      <c r="V82" s="112"/>
    </row>
    <row r="83" spans="1:22" x14ac:dyDescent="0.2">
      <c r="A83" s="112"/>
      <c r="B83" s="112"/>
      <c r="C83" s="112"/>
      <c r="D83" s="112"/>
      <c r="G83" s="112"/>
      <c r="H83" s="112"/>
      <c r="I83" s="112"/>
      <c r="J83" s="112"/>
      <c r="M83" s="112"/>
      <c r="N83" s="112"/>
      <c r="O83" s="112"/>
      <c r="P83" s="112"/>
      <c r="S83" s="112"/>
      <c r="T83" s="112"/>
      <c r="U83" s="112"/>
      <c r="V83" s="112"/>
    </row>
    <row r="84" spans="1:22" x14ac:dyDescent="0.2">
      <c r="A84" s="112"/>
      <c r="B84" s="112"/>
      <c r="C84" s="112"/>
      <c r="D84" s="112"/>
      <c r="G84" s="112"/>
      <c r="H84" s="112"/>
      <c r="I84" s="112"/>
      <c r="J84" s="112"/>
      <c r="M84" s="112"/>
      <c r="N84" s="112"/>
      <c r="O84" s="112"/>
      <c r="P84" s="112"/>
      <c r="S84" s="112"/>
      <c r="T84" s="112"/>
      <c r="U84" s="112"/>
      <c r="V84" s="112"/>
    </row>
    <row r="85" spans="1:22" x14ac:dyDescent="0.2">
      <c r="A85" s="112"/>
      <c r="B85" s="112"/>
      <c r="C85" s="112"/>
      <c r="D85" s="112"/>
      <c r="G85" s="112"/>
      <c r="H85" s="112"/>
      <c r="I85" s="112"/>
      <c r="J85" s="112"/>
      <c r="M85" s="112"/>
      <c r="N85" s="112"/>
      <c r="O85" s="112"/>
      <c r="P85" s="112"/>
      <c r="S85" s="112"/>
      <c r="T85" s="112"/>
      <c r="U85" s="112"/>
      <c r="V85" s="112"/>
    </row>
    <row r="86" spans="1:22" x14ac:dyDescent="0.2">
      <c r="A86" s="112"/>
      <c r="B86" s="112"/>
      <c r="C86" s="112"/>
      <c r="D86" s="112"/>
      <c r="G86" s="112"/>
      <c r="H86" s="112"/>
      <c r="I86" s="112"/>
      <c r="J86" s="112"/>
      <c r="M86" s="112"/>
      <c r="N86" s="112"/>
      <c r="O86" s="112"/>
      <c r="P86" s="112"/>
      <c r="S86" s="112"/>
      <c r="T86" s="112"/>
      <c r="U86" s="112"/>
      <c r="V86" s="112"/>
    </row>
  </sheetData>
  <mergeCells count="4">
    <mergeCell ref="B1:E1"/>
    <mergeCell ref="H1:K1"/>
    <mergeCell ref="N1:Q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Intel (INTC)</vt:lpstr>
      <vt:lpstr>Micron (MU)</vt:lpstr>
      <vt:lpstr>Microchip (MCHP)</vt:lpstr>
      <vt:lpstr>NVIDIA (NVDA)</vt:lpstr>
      <vt:lpstr>CAPM Models</vt:lpstr>
      <vt:lpstr>Stock Price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poduser</dc:creator>
  <cp:lastModifiedBy>Grant Cates</cp:lastModifiedBy>
  <dcterms:created xsi:type="dcterms:W3CDTF">2022-06-22T14:18:16Z</dcterms:created>
  <dcterms:modified xsi:type="dcterms:W3CDTF">2024-02-20T00:51:12Z</dcterms:modified>
</cp:coreProperties>
</file>