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ntcotherman/Desktop/"/>
    </mc:Choice>
  </mc:AlternateContent>
  <xr:revisionPtr revIDLastSave="0" documentId="13_ncr:1_{E4A41F9E-B79F-4745-B9B8-349918A13F3A}" xr6:coauthVersionLast="47" xr6:coauthVersionMax="47" xr10:uidLastSave="{00000000-0000-0000-0000-000000000000}"/>
  <bookViews>
    <workbookView xWindow="880" yWindow="680" windowWidth="29920" windowHeight="16600" xr2:uid="{573F0820-6B23-D94B-B804-0A944A2DAF83}"/>
  </bookViews>
  <sheets>
    <sheet name="Income Allocation" sheetId="5" r:id="rId1"/>
    <sheet name="Discounting Cash Flows" sheetId="1" r:id="rId2"/>
    <sheet name="Loan Schedule" sheetId="2" r:id="rId3"/>
    <sheet name="Depreciation Schedule" sheetId="3" r:id="rId4"/>
    <sheet name="Future Value Calculator" sheetId="4" r:id="rId5"/>
    <sheet name="Goal Seeking (Pool)" sheetId="7" r:id="rId6"/>
    <sheet name="Solver (Pool)" sheetId="8" r:id="rId7"/>
    <sheet name="Savings Chart" sheetId="10" r:id="rId8"/>
  </sheets>
  <definedNames>
    <definedName name="solver_adj" localSheetId="5" hidden="1">'Goal Seeking (Pool)'!$C$11</definedName>
    <definedName name="solver_adj" localSheetId="6" hidden="1">'Solver (Pool)'!$C$5:$E$5</definedName>
    <definedName name="solver_cvg" localSheetId="5" hidden="1">0.0001</definedName>
    <definedName name="solver_cvg" localSheetId="6" hidden="1">0.0001</definedName>
    <definedName name="solver_drv" localSheetId="5" hidden="1">1</definedName>
    <definedName name="solver_drv" localSheetId="6" hidden="1">1</definedName>
    <definedName name="solver_eng" localSheetId="5" hidden="1">1</definedName>
    <definedName name="solver_eng" localSheetId="6" hidden="1">1</definedName>
    <definedName name="solver_itr" localSheetId="5" hidden="1">2147483647</definedName>
    <definedName name="solver_itr" localSheetId="6" hidden="1">2147483647</definedName>
    <definedName name="solver_lhs1" localSheetId="6" hidden="1">'Solver (Pool)'!$D$5</definedName>
    <definedName name="solver_lhs2" localSheetId="6" hidden="1">'Solver (Pool)'!$E$5</definedName>
    <definedName name="solver_lin" localSheetId="5" hidden="1">2</definedName>
    <definedName name="solver_lin" localSheetId="6" hidden="1">2</definedName>
    <definedName name="solver_mip" localSheetId="5" hidden="1">2147483647</definedName>
    <definedName name="solver_mip" localSheetId="6" hidden="1">2147483647</definedName>
    <definedName name="solver_mni" localSheetId="5" hidden="1">30</definedName>
    <definedName name="solver_mni" localSheetId="6" hidden="1">30</definedName>
    <definedName name="solver_mrt" localSheetId="5" hidden="1">0.075</definedName>
    <definedName name="solver_mrt" localSheetId="6" hidden="1">0.075</definedName>
    <definedName name="solver_msl" localSheetId="5" hidden="1">2</definedName>
    <definedName name="solver_msl" localSheetId="6" hidden="1">2</definedName>
    <definedName name="solver_neg" localSheetId="5" hidden="1">1</definedName>
    <definedName name="solver_neg" localSheetId="6" hidden="1">1</definedName>
    <definedName name="solver_nod" localSheetId="5" hidden="1">2147483647</definedName>
    <definedName name="solver_nod" localSheetId="6" hidden="1">2147483647</definedName>
    <definedName name="solver_num" localSheetId="5" hidden="1">0</definedName>
    <definedName name="solver_num" localSheetId="6" hidden="1">2</definedName>
    <definedName name="solver_opt" localSheetId="5" hidden="1">'Goal Seeking (Pool)'!$C$15</definedName>
    <definedName name="solver_opt" localSheetId="6" hidden="1">'Solver (Pool)'!$C$13</definedName>
    <definedName name="solver_pre" localSheetId="5" hidden="1">0.000001</definedName>
    <definedName name="solver_pre" localSheetId="6" hidden="1">0.000001</definedName>
    <definedName name="solver_rbv" localSheetId="5" hidden="1">1</definedName>
    <definedName name="solver_rbv" localSheetId="6" hidden="1">1</definedName>
    <definedName name="solver_rel1" localSheetId="6" hidden="1">2</definedName>
    <definedName name="solver_rel2" localSheetId="6" hidden="1">2</definedName>
    <definedName name="solver_rhs1" localSheetId="6" hidden="1">6</definedName>
    <definedName name="solver_rhs2" localSheetId="6" hidden="1">6</definedName>
    <definedName name="solver_rlx" localSheetId="5" hidden="1">2</definedName>
    <definedName name="solver_rlx" localSheetId="6" hidden="1">2</definedName>
    <definedName name="solver_rsd" localSheetId="5" hidden="1">0</definedName>
    <definedName name="solver_rsd" localSheetId="6" hidden="1">0</definedName>
    <definedName name="solver_scl" localSheetId="5" hidden="1">1</definedName>
    <definedName name="solver_scl" localSheetId="6" hidden="1">1</definedName>
    <definedName name="solver_sho" localSheetId="5" hidden="1">2</definedName>
    <definedName name="solver_sho" localSheetId="6" hidden="1">2</definedName>
    <definedName name="solver_ssz" localSheetId="5" hidden="1">100</definedName>
    <definedName name="solver_ssz" localSheetId="6" hidden="1">100</definedName>
    <definedName name="solver_tim" localSheetId="5" hidden="1">2147483647</definedName>
    <definedName name="solver_tim" localSheetId="6" hidden="1">2147483647</definedName>
    <definedName name="solver_tol" localSheetId="5" hidden="1">0.01</definedName>
    <definedName name="solver_tol" localSheetId="6" hidden="1">0.01</definedName>
    <definedName name="solver_typ" localSheetId="5" hidden="1">3</definedName>
    <definedName name="solver_typ" localSheetId="6" hidden="1">3</definedName>
    <definedName name="solver_val" localSheetId="5" hidden="1">0</definedName>
    <definedName name="solver_val" localSheetId="6" hidden="1">0</definedName>
    <definedName name="solver_ver" localSheetId="5" hidden="1">2</definedName>
    <definedName name="solver_ver" localSheetId="6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9" i="10" l="1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38" i="10"/>
  <c r="F37" i="10"/>
  <c r="F36" i="10"/>
  <c r="F35" i="10"/>
  <c r="F34" i="10"/>
  <c r="F33" i="10"/>
  <c r="F32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8" i="10"/>
  <c r="F7" i="10"/>
  <c r="H7" i="10" s="1"/>
  <c r="D132" i="2"/>
  <c r="E8" i="8"/>
  <c r="E9" i="8" s="1"/>
  <c r="D8" i="8"/>
  <c r="D9" i="8" s="1"/>
  <c r="C8" i="8"/>
  <c r="C9" i="8" s="1"/>
  <c r="H6" i="8"/>
  <c r="H11" i="8" s="1"/>
  <c r="C17" i="7"/>
  <c r="C6" i="7"/>
  <c r="C8" i="7" s="1"/>
  <c r="C14" i="7" s="1"/>
  <c r="C15" i="7" s="1"/>
  <c r="C22" i="5"/>
  <c r="C20" i="5"/>
  <c r="C4" i="5"/>
  <c r="C5" i="5" s="1"/>
  <c r="C21" i="5" s="1"/>
  <c r="C13" i="5" s="1"/>
  <c r="G8" i="10" l="1"/>
  <c r="H8" i="10" s="1"/>
  <c r="H10" i="8"/>
  <c r="C12" i="8" s="1"/>
  <c r="C11" i="8"/>
  <c r="C13" i="8" s="1"/>
  <c r="C15" i="5"/>
  <c r="C14" i="5"/>
  <c r="G9" i="10" l="1"/>
  <c r="H9" i="10" s="1"/>
  <c r="C17" i="5"/>
  <c r="C23" i="5" s="1"/>
  <c r="G10" i="10" l="1"/>
  <c r="H10" i="10" s="1"/>
  <c r="C5" i="2"/>
  <c r="C12" i="4"/>
  <c r="C15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L4" i="3" s="1"/>
  <c r="F4" i="3"/>
  <c r="D12" i="2"/>
  <c r="F12" i="1"/>
  <c r="F11" i="1"/>
  <c r="G8" i="1"/>
  <c r="H8" i="1"/>
  <c r="I8" i="1"/>
  <c r="J8" i="1"/>
  <c r="F8" i="1"/>
  <c r="E8" i="1"/>
  <c r="G11" i="10" l="1"/>
  <c r="H11" i="10" s="1"/>
  <c r="L3" i="3"/>
  <c r="L6" i="3" s="1"/>
  <c r="D22" i="3" s="1"/>
  <c r="C8" i="2"/>
  <c r="F10" i="1"/>
  <c r="G12" i="10" l="1"/>
  <c r="H12" i="10" s="1"/>
  <c r="G13" i="10" s="1"/>
  <c r="D20" i="3"/>
  <c r="D19" i="3"/>
  <c r="D24" i="3"/>
  <c r="D18" i="3"/>
  <c r="D16" i="3"/>
  <c r="D15" i="3"/>
  <c r="E15" i="3" s="1"/>
  <c r="D23" i="3"/>
  <c r="D21" i="3"/>
  <c r="D17" i="3"/>
  <c r="C23" i="2"/>
  <c r="C33" i="2"/>
  <c r="C43" i="2"/>
  <c r="C53" i="2"/>
  <c r="C63" i="2"/>
  <c r="C73" i="2"/>
  <c r="C83" i="2"/>
  <c r="C93" i="2"/>
  <c r="C103" i="2"/>
  <c r="C113" i="2"/>
  <c r="C123" i="2"/>
  <c r="C14" i="2"/>
  <c r="C24" i="2"/>
  <c r="C34" i="2"/>
  <c r="C44" i="2"/>
  <c r="C54" i="2"/>
  <c r="C64" i="2"/>
  <c r="C74" i="2"/>
  <c r="C84" i="2"/>
  <c r="C94" i="2"/>
  <c r="C114" i="2"/>
  <c r="C124" i="2"/>
  <c r="C12" i="2"/>
  <c r="E12" i="2" s="1"/>
  <c r="F12" i="2" s="1"/>
  <c r="D13" i="2" s="1"/>
  <c r="C25" i="2"/>
  <c r="C55" i="2"/>
  <c r="C95" i="2"/>
  <c r="C125" i="2"/>
  <c r="C16" i="2"/>
  <c r="C56" i="2"/>
  <c r="C86" i="2"/>
  <c r="C27" i="2"/>
  <c r="C37" i="2"/>
  <c r="C57" i="2"/>
  <c r="C77" i="2"/>
  <c r="C97" i="2"/>
  <c r="C117" i="2"/>
  <c r="C18" i="2"/>
  <c r="C38" i="2"/>
  <c r="C58" i="2"/>
  <c r="C78" i="2"/>
  <c r="C98" i="2"/>
  <c r="C128" i="2"/>
  <c r="C29" i="2"/>
  <c r="C49" i="2"/>
  <c r="C99" i="2"/>
  <c r="C30" i="2"/>
  <c r="C50" i="2"/>
  <c r="C70" i="2"/>
  <c r="C90" i="2"/>
  <c r="C110" i="2"/>
  <c r="C130" i="2"/>
  <c r="C31" i="2"/>
  <c r="C51" i="2"/>
  <c r="C71" i="2"/>
  <c r="C91" i="2"/>
  <c r="C111" i="2"/>
  <c r="C131" i="2"/>
  <c r="C22" i="2"/>
  <c r="C52" i="2"/>
  <c r="C72" i="2"/>
  <c r="C92" i="2"/>
  <c r="C112" i="2"/>
  <c r="C13" i="2"/>
  <c r="C104" i="2"/>
  <c r="C65" i="2"/>
  <c r="C105" i="2"/>
  <c r="C36" i="2"/>
  <c r="C46" i="2"/>
  <c r="C66" i="2"/>
  <c r="C96" i="2"/>
  <c r="C106" i="2"/>
  <c r="C116" i="2"/>
  <c r="C108" i="2"/>
  <c r="C39" i="2"/>
  <c r="C69" i="2"/>
  <c r="C15" i="2"/>
  <c r="C35" i="2"/>
  <c r="C45" i="2"/>
  <c r="C75" i="2"/>
  <c r="C85" i="2"/>
  <c r="C115" i="2"/>
  <c r="C26" i="2"/>
  <c r="C76" i="2"/>
  <c r="C126" i="2"/>
  <c r="C17" i="2"/>
  <c r="C47" i="2"/>
  <c r="C67" i="2"/>
  <c r="C87" i="2"/>
  <c r="C107" i="2"/>
  <c r="C127" i="2"/>
  <c r="C28" i="2"/>
  <c r="C48" i="2"/>
  <c r="C68" i="2"/>
  <c r="C88" i="2"/>
  <c r="C118" i="2"/>
  <c r="C19" i="2"/>
  <c r="C59" i="2"/>
  <c r="C79" i="2"/>
  <c r="C89" i="2"/>
  <c r="C109" i="2"/>
  <c r="C119" i="2"/>
  <c r="C129" i="2"/>
  <c r="C20" i="2"/>
  <c r="C40" i="2"/>
  <c r="C60" i="2"/>
  <c r="C80" i="2"/>
  <c r="C100" i="2"/>
  <c r="C120" i="2"/>
  <c r="C21" i="2"/>
  <c r="C41" i="2"/>
  <c r="C61" i="2"/>
  <c r="C81" i="2"/>
  <c r="C101" i="2"/>
  <c r="C121" i="2"/>
  <c r="C32" i="2"/>
  <c r="C42" i="2"/>
  <c r="C62" i="2"/>
  <c r="C82" i="2"/>
  <c r="C102" i="2"/>
  <c r="C122" i="2"/>
  <c r="H13" i="10" l="1"/>
  <c r="E16" i="3"/>
  <c r="F15" i="3"/>
  <c r="C16" i="3" s="1"/>
  <c r="F16" i="3" s="1"/>
  <c r="C17" i="3" s="1"/>
  <c r="F17" i="3" s="1"/>
  <c r="C18" i="3" s="1"/>
  <c r="F18" i="3" s="1"/>
  <c r="C19" i="3" s="1"/>
  <c r="F19" i="3" s="1"/>
  <c r="C20" i="3" s="1"/>
  <c r="F20" i="3" s="1"/>
  <c r="C21" i="3" s="1"/>
  <c r="F21" i="3" s="1"/>
  <c r="C22" i="3" s="1"/>
  <c r="F22" i="3" s="1"/>
  <c r="C23" i="3" s="1"/>
  <c r="F23" i="3" s="1"/>
  <c r="C24" i="3" s="1"/>
  <c r="F24" i="3" s="1"/>
  <c r="E17" i="3"/>
  <c r="E18" i="3" s="1"/>
  <c r="E19" i="3" s="1"/>
  <c r="E20" i="3" s="1"/>
  <c r="E21" i="3" s="1"/>
  <c r="E22" i="3" s="1"/>
  <c r="E23" i="3" s="1"/>
  <c r="E24" i="3" s="1"/>
  <c r="E13" i="2"/>
  <c r="F13" i="2" s="1"/>
  <c r="D14" i="2" s="1"/>
  <c r="E14" i="2" s="1"/>
  <c r="F14" i="2" s="1"/>
  <c r="D15" i="2" s="1"/>
  <c r="E15" i="2" s="1"/>
  <c r="F15" i="2" s="1"/>
  <c r="G14" i="10" l="1"/>
  <c r="D16" i="2"/>
  <c r="E16" i="2" s="1"/>
  <c r="F16" i="2"/>
  <c r="D17" i="2" s="1"/>
  <c r="E17" i="2" s="1"/>
  <c r="F17" i="2" s="1"/>
  <c r="D18" i="2" s="1"/>
  <c r="E18" i="2" s="1"/>
  <c r="F18" i="2" s="1"/>
  <c r="H14" i="10" l="1"/>
  <c r="D19" i="2"/>
  <c r="E19" i="2" s="1"/>
  <c r="F19" i="2" s="1"/>
  <c r="G15" i="10" l="1"/>
  <c r="D20" i="2"/>
  <c r="E20" i="2" s="1"/>
  <c r="F20" i="2" s="1"/>
  <c r="H15" i="10" l="1"/>
  <c r="D21" i="2"/>
  <c r="E21" i="2" s="1"/>
  <c r="F21" i="2"/>
  <c r="G16" i="10" l="1"/>
  <c r="D22" i="2"/>
  <c r="E22" i="2" s="1"/>
  <c r="F22" i="2"/>
  <c r="H16" i="10" l="1"/>
  <c r="D23" i="2"/>
  <c r="E23" i="2" s="1"/>
  <c r="F23" i="2" s="1"/>
  <c r="G17" i="10" l="1"/>
  <c r="D24" i="2"/>
  <c r="E24" i="2" s="1"/>
  <c r="F24" i="2" s="1"/>
  <c r="H17" i="10" l="1"/>
  <c r="D25" i="2"/>
  <c r="E25" i="2" s="1"/>
  <c r="F25" i="2" s="1"/>
  <c r="G18" i="10" l="1"/>
  <c r="D26" i="2"/>
  <c r="E26" i="2" s="1"/>
  <c r="F26" i="2" s="1"/>
  <c r="H18" i="10" l="1"/>
  <c r="D27" i="2"/>
  <c r="E27" i="2" s="1"/>
  <c r="F27" i="2" s="1"/>
  <c r="G19" i="10" l="1"/>
  <c r="H19" i="10" s="1"/>
  <c r="D28" i="2"/>
  <c r="E28" i="2" s="1"/>
  <c r="F28" i="2" s="1"/>
  <c r="G20" i="10" l="1"/>
  <c r="D29" i="2"/>
  <c r="E29" i="2" s="1"/>
  <c r="F29" i="2" s="1"/>
  <c r="H20" i="10" l="1"/>
  <c r="D30" i="2"/>
  <c r="E30" i="2" s="1"/>
  <c r="F30" i="2"/>
  <c r="G21" i="10" l="1"/>
  <c r="D31" i="2"/>
  <c r="E31" i="2" s="1"/>
  <c r="F31" i="2" s="1"/>
  <c r="H21" i="10" l="1"/>
  <c r="D32" i="2"/>
  <c r="E32" i="2" s="1"/>
  <c r="F32" i="2" s="1"/>
  <c r="G22" i="10" l="1"/>
  <c r="D33" i="2"/>
  <c r="E33" i="2" s="1"/>
  <c r="F33" i="2" s="1"/>
  <c r="H22" i="10" l="1"/>
  <c r="D34" i="2"/>
  <c r="E34" i="2" s="1"/>
  <c r="F34" i="2" s="1"/>
  <c r="G23" i="10" l="1"/>
  <c r="D35" i="2"/>
  <c r="E35" i="2" s="1"/>
  <c r="F35" i="2" s="1"/>
  <c r="H23" i="10" l="1"/>
  <c r="D36" i="2"/>
  <c r="E36" i="2" s="1"/>
  <c r="F36" i="2" s="1"/>
  <c r="G24" i="10" l="1"/>
  <c r="D37" i="2"/>
  <c r="E37" i="2" s="1"/>
  <c r="F37" i="2" s="1"/>
  <c r="H24" i="10" l="1"/>
  <c r="D38" i="2"/>
  <c r="E38" i="2" s="1"/>
  <c r="F38" i="2" s="1"/>
  <c r="G25" i="10" l="1"/>
  <c r="D39" i="2"/>
  <c r="E39" i="2" s="1"/>
  <c r="F39" i="2" s="1"/>
  <c r="H25" i="10" l="1"/>
  <c r="D40" i="2"/>
  <c r="E40" i="2" s="1"/>
  <c r="F40" i="2" s="1"/>
  <c r="G26" i="10" l="1"/>
  <c r="D41" i="2"/>
  <c r="E41" i="2" s="1"/>
  <c r="F41" i="2" s="1"/>
  <c r="H26" i="10" l="1"/>
  <c r="D42" i="2"/>
  <c r="E42" i="2" s="1"/>
  <c r="F42" i="2" s="1"/>
  <c r="G27" i="10" l="1"/>
  <c r="D43" i="2"/>
  <c r="E43" i="2" s="1"/>
  <c r="F43" i="2"/>
  <c r="H27" i="10" l="1"/>
  <c r="D44" i="2"/>
  <c r="E44" i="2" s="1"/>
  <c r="F44" i="2" s="1"/>
  <c r="G28" i="10" l="1"/>
  <c r="D45" i="2"/>
  <c r="E45" i="2" s="1"/>
  <c r="F45" i="2" s="1"/>
  <c r="H28" i="10" l="1"/>
  <c r="D46" i="2"/>
  <c r="E46" i="2" s="1"/>
  <c r="F46" i="2" s="1"/>
  <c r="G29" i="10" l="1"/>
  <c r="H29" i="10" s="1"/>
  <c r="D47" i="2"/>
  <c r="E47" i="2" s="1"/>
  <c r="F47" i="2" s="1"/>
  <c r="D48" i="2" l="1"/>
  <c r="E48" i="2" s="1"/>
  <c r="F48" i="2" s="1"/>
  <c r="G30" i="10" l="1"/>
  <c r="H30" i="10" s="1"/>
  <c r="D49" i="2"/>
  <c r="E49" i="2" s="1"/>
  <c r="F49" i="2" s="1"/>
  <c r="D50" i="2" l="1"/>
  <c r="E50" i="2" s="1"/>
  <c r="F50" i="2" s="1"/>
  <c r="G31" i="10" l="1"/>
  <c r="H31" i="10" s="1"/>
  <c r="G32" i="10" s="1"/>
  <c r="D51" i="2"/>
  <c r="E51" i="2" s="1"/>
  <c r="F51" i="2" s="1"/>
  <c r="D52" i="2" l="1"/>
  <c r="E52" i="2" s="1"/>
  <c r="F52" i="2"/>
  <c r="H32" i="10" l="1"/>
  <c r="G33" i="10" s="1"/>
  <c r="D53" i="2"/>
  <c r="E53" i="2" s="1"/>
  <c r="F53" i="2"/>
  <c r="D54" i="2" l="1"/>
  <c r="E54" i="2" s="1"/>
  <c r="F54" i="2" s="1"/>
  <c r="H33" i="10" l="1"/>
  <c r="G34" i="10" s="1"/>
  <c r="D55" i="2"/>
  <c r="E55" i="2" s="1"/>
  <c r="F55" i="2" s="1"/>
  <c r="D56" i="2" l="1"/>
  <c r="E56" i="2" s="1"/>
  <c r="F56" i="2"/>
  <c r="H34" i="10" l="1"/>
  <c r="G35" i="10" s="1"/>
  <c r="D57" i="2"/>
  <c r="E57" i="2" s="1"/>
  <c r="F57" i="2" s="1"/>
  <c r="D58" i="2" l="1"/>
  <c r="E58" i="2" s="1"/>
  <c r="F58" i="2" s="1"/>
  <c r="H35" i="10" l="1"/>
  <c r="G36" i="10" s="1"/>
  <c r="D59" i="2"/>
  <c r="E59" i="2" s="1"/>
  <c r="F59" i="2" s="1"/>
  <c r="D60" i="2" l="1"/>
  <c r="E60" i="2" s="1"/>
  <c r="F60" i="2"/>
  <c r="H36" i="10" l="1"/>
  <c r="G37" i="10" s="1"/>
  <c r="D61" i="2"/>
  <c r="E61" i="2" s="1"/>
  <c r="F61" i="2" s="1"/>
  <c r="D62" i="2" l="1"/>
  <c r="E62" i="2" s="1"/>
  <c r="F62" i="2" s="1"/>
  <c r="H37" i="10" l="1"/>
  <c r="G38" i="10" s="1"/>
  <c r="D63" i="2"/>
  <c r="E63" i="2" s="1"/>
  <c r="F63" i="2" s="1"/>
  <c r="D64" i="2" l="1"/>
  <c r="E64" i="2" s="1"/>
  <c r="F64" i="2" s="1"/>
  <c r="H38" i="10" l="1"/>
  <c r="G39" i="10" s="1"/>
  <c r="D65" i="2"/>
  <c r="E65" i="2" s="1"/>
  <c r="F65" i="2" s="1"/>
  <c r="D66" i="2" l="1"/>
  <c r="E66" i="2" s="1"/>
  <c r="F66" i="2" s="1"/>
  <c r="H39" i="10" l="1"/>
  <c r="G40" i="10" s="1"/>
  <c r="D67" i="2"/>
  <c r="E67" i="2" s="1"/>
  <c r="F67" i="2" s="1"/>
  <c r="D68" i="2" l="1"/>
  <c r="E68" i="2" s="1"/>
  <c r="F68" i="2"/>
  <c r="H40" i="10" l="1"/>
  <c r="G41" i="10" s="1"/>
  <c r="D69" i="2"/>
  <c r="E69" i="2" s="1"/>
  <c r="F69" i="2" s="1"/>
  <c r="D70" i="2" l="1"/>
  <c r="E70" i="2" s="1"/>
  <c r="F70" i="2" s="1"/>
  <c r="H41" i="10" l="1"/>
  <c r="G42" i="10" s="1"/>
  <c r="D71" i="2"/>
  <c r="E71" i="2" s="1"/>
  <c r="F71" i="2" s="1"/>
  <c r="D72" i="2" l="1"/>
  <c r="E72" i="2" s="1"/>
  <c r="F72" i="2" s="1"/>
  <c r="H42" i="10" l="1"/>
  <c r="G43" i="10" s="1"/>
  <c r="D73" i="2"/>
  <c r="E73" i="2" s="1"/>
  <c r="F73" i="2" s="1"/>
  <c r="D74" i="2" l="1"/>
  <c r="E74" i="2" s="1"/>
  <c r="F74" i="2" s="1"/>
  <c r="H43" i="10" l="1"/>
  <c r="G44" i="10" s="1"/>
  <c r="D75" i="2"/>
  <c r="E75" i="2" s="1"/>
  <c r="F75" i="2" s="1"/>
  <c r="D76" i="2" l="1"/>
  <c r="E76" i="2" s="1"/>
  <c r="F76" i="2" s="1"/>
  <c r="H44" i="10" l="1"/>
  <c r="G45" i="10" s="1"/>
  <c r="D77" i="2"/>
  <c r="E77" i="2" s="1"/>
  <c r="F77" i="2" s="1"/>
  <c r="D78" i="2" l="1"/>
  <c r="E78" i="2" s="1"/>
  <c r="F78" i="2" s="1"/>
  <c r="H45" i="10" l="1"/>
  <c r="G46" i="10" s="1"/>
  <c r="D79" i="2"/>
  <c r="E79" i="2" s="1"/>
  <c r="F79" i="2" s="1"/>
  <c r="D80" i="2" l="1"/>
  <c r="E80" i="2" s="1"/>
  <c r="F80" i="2" s="1"/>
  <c r="H46" i="10" l="1"/>
  <c r="G47" i="10" s="1"/>
  <c r="D81" i="2"/>
  <c r="E81" i="2" s="1"/>
  <c r="F81" i="2"/>
  <c r="D82" i="2" l="1"/>
  <c r="E82" i="2" s="1"/>
  <c r="F82" i="2" s="1"/>
  <c r="H47" i="10" l="1"/>
  <c r="G48" i="10" s="1"/>
  <c r="D83" i="2"/>
  <c r="E83" i="2" s="1"/>
  <c r="F83" i="2" s="1"/>
  <c r="D84" i="2" l="1"/>
  <c r="E84" i="2" s="1"/>
  <c r="F84" i="2" s="1"/>
  <c r="H48" i="10" l="1"/>
  <c r="G49" i="10" s="1"/>
  <c r="D85" i="2"/>
  <c r="E85" i="2" s="1"/>
  <c r="F85" i="2" s="1"/>
  <c r="H49" i="10" l="1"/>
  <c r="G50" i="10" s="1"/>
  <c r="D86" i="2"/>
  <c r="E86" i="2" s="1"/>
  <c r="F86" i="2" s="1"/>
  <c r="D87" i="2" l="1"/>
  <c r="E87" i="2" s="1"/>
  <c r="F87" i="2" s="1"/>
  <c r="H50" i="10" l="1"/>
  <c r="G51" i="10" s="1"/>
  <c r="D88" i="2"/>
  <c r="E88" i="2" s="1"/>
  <c r="F88" i="2" s="1"/>
  <c r="D89" i="2" l="1"/>
  <c r="E89" i="2" s="1"/>
  <c r="F89" i="2" s="1"/>
  <c r="H51" i="10" l="1"/>
  <c r="G52" i="10" s="1"/>
  <c r="D90" i="2"/>
  <c r="E90" i="2" s="1"/>
  <c r="F90" i="2" s="1"/>
  <c r="D91" i="2" l="1"/>
  <c r="E91" i="2" s="1"/>
  <c r="F91" i="2" s="1"/>
  <c r="H52" i="10" l="1"/>
  <c r="G53" i="10" s="1"/>
  <c r="D92" i="2"/>
  <c r="E92" i="2" s="1"/>
  <c r="F92" i="2" s="1"/>
  <c r="D93" i="2" l="1"/>
  <c r="E93" i="2" s="1"/>
  <c r="F93" i="2" s="1"/>
  <c r="H53" i="10" l="1"/>
  <c r="G54" i="10" s="1"/>
  <c r="D94" i="2"/>
  <c r="E94" i="2" s="1"/>
  <c r="F94" i="2" s="1"/>
  <c r="D95" i="2" l="1"/>
  <c r="E95" i="2" s="1"/>
  <c r="F95" i="2" s="1"/>
  <c r="H54" i="10" l="1"/>
  <c r="G55" i="10" s="1"/>
  <c r="D96" i="2"/>
  <c r="E96" i="2" s="1"/>
  <c r="F96" i="2" s="1"/>
  <c r="D97" i="2" l="1"/>
  <c r="E97" i="2" s="1"/>
  <c r="F97" i="2" s="1"/>
  <c r="H55" i="10" l="1"/>
  <c r="G56" i="10" s="1"/>
  <c r="D98" i="2"/>
  <c r="E98" i="2" s="1"/>
  <c r="F98" i="2" s="1"/>
  <c r="D99" i="2" l="1"/>
  <c r="E99" i="2" s="1"/>
  <c r="F99" i="2" s="1"/>
  <c r="H56" i="10" l="1"/>
  <c r="G57" i="10" s="1"/>
  <c r="D100" i="2"/>
  <c r="E100" i="2" s="1"/>
  <c r="F100" i="2"/>
  <c r="D101" i="2" l="1"/>
  <c r="E101" i="2" s="1"/>
  <c r="F101" i="2"/>
  <c r="H57" i="10" l="1"/>
  <c r="G58" i="10" s="1"/>
  <c r="D102" i="2"/>
  <c r="E102" i="2" s="1"/>
  <c r="F102" i="2" s="1"/>
  <c r="D103" i="2" l="1"/>
  <c r="E103" i="2" s="1"/>
  <c r="F103" i="2"/>
  <c r="H58" i="10" l="1"/>
  <c r="G59" i="10" s="1"/>
  <c r="D104" i="2"/>
  <c r="E104" i="2" s="1"/>
  <c r="F104" i="2" s="1"/>
  <c r="D105" i="2" l="1"/>
  <c r="E105" i="2" s="1"/>
  <c r="F105" i="2"/>
  <c r="H59" i="10" l="1"/>
  <c r="G60" i="10" s="1"/>
  <c r="D106" i="2"/>
  <c r="E106" i="2" s="1"/>
  <c r="F106" i="2"/>
  <c r="D107" i="2" l="1"/>
  <c r="E107" i="2" s="1"/>
  <c r="F107" i="2" s="1"/>
  <c r="H60" i="10" l="1"/>
  <c r="G61" i="10" s="1"/>
  <c r="D108" i="2"/>
  <c r="E108" i="2" s="1"/>
  <c r="F108" i="2" s="1"/>
  <c r="H61" i="10" l="1"/>
  <c r="G62" i="10" s="1"/>
  <c r="D109" i="2"/>
  <c r="E109" i="2" s="1"/>
  <c r="F109" i="2" s="1"/>
  <c r="D110" i="2" l="1"/>
  <c r="E110" i="2" s="1"/>
  <c r="F110" i="2" s="1"/>
  <c r="H62" i="10" l="1"/>
  <c r="G63" i="10" s="1"/>
  <c r="D111" i="2"/>
  <c r="E111" i="2" s="1"/>
  <c r="F111" i="2"/>
  <c r="D112" i="2" l="1"/>
  <c r="E112" i="2" s="1"/>
  <c r="F112" i="2" s="1"/>
  <c r="H63" i="10" l="1"/>
  <c r="G64" i="10" s="1"/>
  <c r="D113" i="2"/>
  <c r="E113" i="2" s="1"/>
  <c r="F113" i="2"/>
  <c r="D114" i="2" l="1"/>
  <c r="E114" i="2" s="1"/>
  <c r="F114" i="2" s="1"/>
  <c r="H64" i="10" l="1"/>
  <c r="G65" i="10" s="1"/>
  <c r="D115" i="2"/>
  <c r="E115" i="2" s="1"/>
  <c r="F115" i="2" s="1"/>
  <c r="D116" i="2" l="1"/>
  <c r="E116" i="2" s="1"/>
  <c r="F116" i="2" s="1"/>
  <c r="H65" i="10" l="1"/>
  <c r="G66" i="10" s="1"/>
  <c r="D117" i="2"/>
  <c r="E117" i="2" s="1"/>
  <c r="F117" i="2" s="1"/>
  <c r="D118" i="2" l="1"/>
  <c r="E118" i="2" s="1"/>
  <c r="F118" i="2"/>
  <c r="H66" i="10" l="1"/>
  <c r="G67" i="10" s="1"/>
  <c r="D119" i="2"/>
  <c r="E119" i="2" s="1"/>
  <c r="F119" i="2" s="1"/>
  <c r="D120" i="2" l="1"/>
  <c r="E120" i="2" s="1"/>
  <c r="F120" i="2" s="1"/>
  <c r="H67" i="10" l="1"/>
  <c r="G68" i="10" s="1"/>
  <c r="D121" i="2"/>
  <c r="E121" i="2" s="1"/>
  <c r="F121" i="2" s="1"/>
  <c r="D122" i="2" l="1"/>
  <c r="E122" i="2" s="1"/>
  <c r="F122" i="2" s="1"/>
  <c r="H68" i="10" l="1"/>
  <c r="G69" i="10" s="1"/>
  <c r="D123" i="2"/>
  <c r="E123" i="2" s="1"/>
  <c r="F123" i="2"/>
  <c r="D124" i="2" l="1"/>
  <c r="E124" i="2" s="1"/>
  <c r="F124" i="2" s="1"/>
  <c r="H69" i="10" l="1"/>
  <c r="G70" i="10" s="1"/>
  <c r="D125" i="2"/>
  <c r="E125" i="2" s="1"/>
  <c r="F125" i="2" s="1"/>
  <c r="D126" i="2" l="1"/>
  <c r="E126" i="2" s="1"/>
  <c r="F126" i="2" s="1"/>
  <c r="H70" i="10" l="1"/>
  <c r="G71" i="10" s="1"/>
  <c r="D127" i="2"/>
  <c r="E127" i="2" s="1"/>
  <c r="F127" i="2" s="1"/>
  <c r="H71" i="10" l="1"/>
  <c r="G72" i="10" s="1"/>
  <c r="D128" i="2"/>
  <c r="E128" i="2" s="1"/>
  <c r="F128" i="2" s="1"/>
  <c r="D129" i="2" l="1"/>
  <c r="E129" i="2" s="1"/>
  <c r="F129" i="2" s="1"/>
  <c r="H72" i="10" l="1"/>
  <c r="G73" i="10" s="1"/>
  <c r="D130" i="2"/>
  <c r="E130" i="2" s="1"/>
  <c r="F130" i="2" s="1"/>
  <c r="D131" i="2" l="1"/>
  <c r="E131" i="2" s="1"/>
  <c r="F131" i="2"/>
  <c r="H73" i="10" l="1"/>
  <c r="G74" i="10" s="1"/>
  <c r="H74" i="10" l="1"/>
  <c r="G75" i="10" s="1"/>
  <c r="H75" i="10" l="1"/>
  <c r="G76" i="10" s="1"/>
  <c r="H76" i="10" l="1"/>
  <c r="G77" i="10" s="1"/>
  <c r="H77" i="10" l="1"/>
  <c r="G78" i="10" s="1"/>
  <c r="H78" i="10" l="1"/>
</calcChain>
</file>

<file path=xl/sharedStrings.xml><?xml version="1.0" encoding="utf-8"?>
<sst xmlns="http://schemas.openxmlformats.org/spreadsheetml/2006/main" count="194" uniqueCount="116">
  <si>
    <t>Discounting Cash Flows</t>
  </si>
  <si>
    <t>interest rate:</t>
  </si>
  <si>
    <t>Year:</t>
  </si>
  <si>
    <t>Cash Flow</t>
  </si>
  <si>
    <t>Present Value (PV)</t>
  </si>
  <si>
    <t>Project Net Present Value (DCF Approach)</t>
  </si>
  <si>
    <t>Project Net Present Value (NPV)</t>
  </si>
  <si>
    <t>Internal Rate of Return</t>
  </si>
  <si>
    <t>Loan Schedule</t>
  </si>
  <si>
    <t>Number of periods</t>
  </si>
  <si>
    <t>interest rate (annual)</t>
  </si>
  <si>
    <t>interest rate (monthly)</t>
  </si>
  <si>
    <t>Loan Amount ($)</t>
  </si>
  <si>
    <t>Monthly Payment ($)</t>
  </si>
  <si>
    <t>Period</t>
  </si>
  <si>
    <t>Payment</t>
  </si>
  <si>
    <t>Interest</t>
  </si>
  <si>
    <t>Principal</t>
  </si>
  <si>
    <t>Residual Debt</t>
  </si>
  <si>
    <t xml:space="preserve">Rental Inventory </t>
  </si>
  <si>
    <t>Depreciation Info</t>
  </si>
  <si>
    <t>Item</t>
  </si>
  <si>
    <t>Cost</t>
  </si>
  <si>
    <t>Salvage Value</t>
  </si>
  <si>
    <t xml:space="preserve">Quantity </t>
  </si>
  <si>
    <t>Total Price</t>
  </si>
  <si>
    <t>Salvage Total</t>
  </si>
  <si>
    <t>Fleet Replacement Cost</t>
  </si>
  <si>
    <t>Total Salvage Value</t>
  </si>
  <si>
    <t>2 gauge console</t>
  </si>
  <si>
    <t>Yearly Depreciation</t>
  </si>
  <si>
    <t>BCD</t>
  </si>
  <si>
    <t>Depreciation Schedule</t>
  </si>
  <si>
    <t>Book Value</t>
  </si>
  <si>
    <t xml:space="preserve">Depreciation </t>
  </si>
  <si>
    <t>Start</t>
  </si>
  <si>
    <t>Expense</t>
  </si>
  <si>
    <t>Depreciation</t>
  </si>
  <si>
    <t>End</t>
  </si>
  <si>
    <t>Regulator</t>
  </si>
  <si>
    <t>Octo</t>
  </si>
  <si>
    <t>Mask</t>
  </si>
  <si>
    <t>Fins</t>
  </si>
  <si>
    <t>Useful Life (Years)</t>
  </si>
  <si>
    <t>Accumulated</t>
  </si>
  <si>
    <t>Loan Schedule Details</t>
  </si>
  <si>
    <t>Future Value Calculator</t>
  </si>
  <si>
    <t>Inputs</t>
  </si>
  <si>
    <t>Initial Investment</t>
  </si>
  <si>
    <t>Annual Interest Rate</t>
  </si>
  <si>
    <t>Length of Time (Years)</t>
  </si>
  <si>
    <t>Compound Frequency</t>
  </si>
  <si>
    <t>Contribution per Period</t>
  </si>
  <si>
    <t>Outputs</t>
  </si>
  <si>
    <t>Future Value</t>
  </si>
  <si>
    <t>Wetsuit</t>
  </si>
  <si>
    <t>Monthly Expenses</t>
  </si>
  <si>
    <t>Yearly Income</t>
  </si>
  <si>
    <t>Monthly Income</t>
  </si>
  <si>
    <t>Monthly after Tax</t>
  </si>
  <si>
    <t>Food</t>
  </si>
  <si>
    <t>Student Loan Repayment</t>
  </si>
  <si>
    <t>Long Term Savings</t>
  </si>
  <si>
    <t>Spending Money</t>
  </si>
  <si>
    <t>Cash Savings</t>
  </si>
  <si>
    <t>Experience Fund</t>
  </si>
  <si>
    <t>Gas/ Car expenses</t>
  </si>
  <si>
    <t>Income and Savings Inputs</t>
  </si>
  <si>
    <t>Spending Money (Leftover)</t>
  </si>
  <si>
    <t>Expenses by Function</t>
  </si>
  <si>
    <t>Living Expenses</t>
  </si>
  <si>
    <t>Experiences</t>
  </si>
  <si>
    <t>Loan Repayment + Savings</t>
  </si>
  <si>
    <t>Rent and Utilities</t>
  </si>
  <si>
    <t>Monthly savings rate + Loan Contribution</t>
  </si>
  <si>
    <t>Total Profit</t>
  </si>
  <si>
    <t>Can I break even on buying a pool by teaching swim lessons?</t>
  </si>
  <si>
    <t>Monthly Loan Payment on Pool</t>
  </si>
  <si>
    <t>Usable Months/Year</t>
  </si>
  <si>
    <t>12 month Payment Total</t>
  </si>
  <si>
    <t>Cost per Usable Month</t>
  </si>
  <si>
    <t>Cost per Student (Instructor)</t>
  </si>
  <si>
    <t>Number of Students</t>
  </si>
  <si>
    <t>Fixed Costs</t>
  </si>
  <si>
    <t>Price per Student (6 Classes)</t>
  </si>
  <si>
    <t>Static Assumptions</t>
  </si>
  <si>
    <t>Variables</t>
  </si>
  <si>
    <t>Number of Lessons per Season</t>
  </si>
  <si>
    <t>Pool Costs per Year</t>
  </si>
  <si>
    <t>Swim</t>
  </si>
  <si>
    <t>Discover Scuba</t>
  </si>
  <si>
    <t xml:space="preserve">Price per Student </t>
  </si>
  <si>
    <t>Profit</t>
  </si>
  <si>
    <t>Afternoon Rental</t>
  </si>
  <si>
    <t>Profit per Student</t>
  </si>
  <si>
    <t>Total Profit per Month</t>
  </si>
  <si>
    <t xml:space="preserve">Actual Profit </t>
  </si>
  <si>
    <t>Current rental Costs per Year</t>
  </si>
  <si>
    <t>Economic Cost per Usable Month</t>
  </si>
  <si>
    <t>ECON Cost per Usable Month</t>
  </si>
  <si>
    <t>Can we break even on a pool? (Using Solver)</t>
  </si>
  <si>
    <t>Interest Rate on savings</t>
  </si>
  <si>
    <t>Year</t>
  </si>
  <si>
    <t>Combined Salary</t>
  </si>
  <si>
    <t>Amount Saved</t>
  </si>
  <si>
    <t>Time Period</t>
  </si>
  <si>
    <t>Interest on savings</t>
  </si>
  <si>
    <t>Total Saved</t>
  </si>
  <si>
    <t>Early Career</t>
  </si>
  <si>
    <t xml:space="preserve">Grad School </t>
  </si>
  <si>
    <t>Mid Career</t>
  </si>
  <si>
    <t>Late Career</t>
  </si>
  <si>
    <t>Partial Retirement</t>
  </si>
  <si>
    <t>Full Retirement</t>
  </si>
  <si>
    <t>Retirement "Stipend"</t>
  </si>
  <si>
    <t>Savings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</si>
</sst>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.0%"/>
    <numFmt numFmtId="166" formatCode="_(&quot;$&quot;* #,##0_);_(&quot;$&quot;* \(#,##0\);_(&quot;$&quot;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4"/>
      <name val="Calibri (Body)"/>
    </font>
    <font>
      <sz val="12"/>
      <color theme="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6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0">
    <xf numFmtId="0" fontId="0" fillId="0" borderId="0" xfId="0"/>
    <xf numFmtId="0" fontId="0" fillId="2" borderId="0" xfId="0" applyFill="1"/>
    <xf numFmtId="9" fontId="0" fillId="2" borderId="0" xfId="0" applyNumberFormat="1" applyFill="1"/>
    <xf numFmtId="0" fontId="3" fillId="2" borderId="0" xfId="0" applyFont="1" applyFill="1"/>
    <xf numFmtId="0" fontId="0" fillId="2" borderId="1" xfId="0" applyFill="1" applyBorder="1"/>
    <xf numFmtId="44" fontId="0" fillId="2" borderId="0" xfId="2" applyFont="1" applyFill="1"/>
    <xf numFmtId="2" fontId="0" fillId="2" borderId="0" xfId="2" applyNumberFormat="1" applyFont="1" applyFill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6" fillId="2" borderId="0" xfId="0" applyFont="1" applyFill="1"/>
    <xf numFmtId="0" fontId="4" fillId="2" borderId="3" xfId="0" applyFont="1" applyFill="1" applyBorder="1" applyAlignment="1">
      <alignment horizontal="center"/>
    </xf>
    <xf numFmtId="44" fontId="0" fillId="2" borderId="4" xfId="2" applyFont="1" applyFill="1" applyBorder="1"/>
    <xf numFmtId="0" fontId="0" fillId="2" borderId="5" xfId="0" applyFill="1" applyBorder="1"/>
    <xf numFmtId="0" fontId="0" fillId="2" borderId="6" xfId="0" applyFill="1" applyBorder="1"/>
    <xf numFmtId="0" fontId="4" fillId="2" borderId="0" xfId="0" applyFont="1" applyFill="1" applyAlignment="1">
      <alignment horizontal="center"/>
    </xf>
    <xf numFmtId="44" fontId="0" fillId="2" borderId="6" xfId="2" applyFont="1" applyFill="1" applyBorder="1"/>
    <xf numFmtId="0" fontId="4" fillId="2" borderId="5" xfId="0" applyFont="1" applyFill="1" applyBorder="1"/>
    <xf numFmtId="0" fontId="4" fillId="2" borderId="0" xfId="0" applyFont="1" applyFill="1"/>
    <xf numFmtId="44" fontId="0" fillId="2" borderId="8" xfId="0" applyNumberFormat="1" applyFill="1" applyBorder="1"/>
    <xf numFmtId="0" fontId="0" fillId="2" borderId="7" xfId="0" applyFill="1" applyBorder="1"/>
    <xf numFmtId="0" fontId="0" fillId="2" borderId="8" xfId="0" applyFill="1" applyBorder="1"/>
    <xf numFmtId="44" fontId="0" fillId="2" borderId="0" xfId="0" applyNumberFormat="1" applyFill="1"/>
    <xf numFmtId="0" fontId="4" fillId="2" borderId="4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3" fontId="0" fillId="2" borderId="0" xfId="0" applyNumberFormat="1" applyFill="1"/>
    <xf numFmtId="44" fontId="0" fillId="2" borderId="6" xfId="0" applyNumberFormat="1" applyFill="1" applyBorder="1"/>
    <xf numFmtId="44" fontId="0" fillId="2" borderId="1" xfId="0" applyNumberFormat="1" applyFill="1" applyBorder="1"/>
    <xf numFmtId="0" fontId="0" fillId="2" borderId="2" xfId="0" applyFill="1" applyBorder="1"/>
    <xf numFmtId="0" fontId="0" fillId="2" borderId="4" xfId="0" applyFill="1" applyBorder="1"/>
    <xf numFmtId="9" fontId="0" fillId="2" borderId="6" xfId="0" applyNumberFormat="1" applyFill="1" applyBorder="1"/>
    <xf numFmtId="10" fontId="0" fillId="2" borderId="6" xfId="3" applyNumberFormat="1" applyFont="1" applyFill="1" applyBorder="1"/>
    <xf numFmtId="164" fontId="0" fillId="2" borderId="6" xfId="0" applyNumberFormat="1" applyFill="1" applyBorder="1"/>
    <xf numFmtId="2" fontId="0" fillId="2" borderId="8" xfId="2" applyNumberFormat="1" applyFont="1" applyFill="1" applyBorder="1"/>
    <xf numFmtId="0" fontId="0" fillId="2" borderId="3" xfId="0" applyFill="1" applyBorder="1"/>
    <xf numFmtId="0" fontId="0" fillId="2" borderId="5" xfId="0" applyFill="1" applyBorder="1" applyAlignment="1">
      <alignment horizontal="left"/>
    </xf>
    <xf numFmtId="43" fontId="0" fillId="2" borderId="0" xfId="1" applyFont="1" applyFill="1" applyBorder="1"/>
    <xf numFmtId="43" fontId="0" fillId="2" borderId="6" xfId="1" applyFont="1" applyFill="1" applyBorder="1"/>
    <xf numFmtId="0" fontId="0" fillId="2" borderId="7" xfId="0" applyFill="1" applyBorder="1" applyAlignment="1">
      <alignment horizontal="left"/>
    </xf>
    <xf numFmtId="43" fontId="0" fillId="2" borderId="1" xfId="1" applyFont="1" applyFill="1" applyBorder="1"/>
    <xf numFmtId="43" fontId="0" fillId="2" borderId="8" xfId="1" applyFont="1" applyFill="1" applyBorder="1"/>
    <xf numFmtId="166" fontId="0" fillId="2" borderId="6" xfId="2" applyNumberFormat="1" applyFont="1" applyFill="1" applyBorder="1"/>
    <xf numFmtId="166" fontId="0" fillId="2" borderId="8" xfId="2" applyNumberFormat="1" applyFont="1" applyFill="1" applyBorder="1"/>
    <xf numFmtId="166" fontId="1" fillId="2" borderId="4" xfId="2" applyNumberFormat="1" applyFont="1" applyFill="1" applyBorder="1"/>
    <xf numFmtId="166" fontId="0" fillId="2" borderId="6" xfId="0" applyNumberFormat="1" applyFill="1" applyBorder="1"/>
    <xf numFmtId="9" fontId="1" fillId="2" borderId="8" xfId="3" applyFont="1" applyFill="1" applyBorder="1"/>
    <xf numFmtId="166" fontId="0" fillId="2" borderId="4" xfId="0" applyNumberFormat="1" applyFill="1" applyBorder="1"/>
    <xf numFmtId="166" fontId="0" fillId="2" borderId="8" xfId="0" applyNumberFormat="1" applyFill="1" applyBorder="1"/>
    <xf numFmtId="0" fontId="8" fillId="2" borderId="5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0" fillId="5" borderId="5" xfId="0" applyFill="1" applyBorder="1"/>
    <xf numFmtId="0" fontId="0" fillId="4" borderId="5" xfId="0" applyFill="1" applyBorder="1"/>
    <xf numFmtId="3" fontId="0" fillId="4" borderId="6" xfId="0" applyNumberFormat="1" applyFill="1" applyBorder="1"/>
    <xf numFmtId="165" fontId="0" fillId="4" borderId="6" xfId="3" applyNumberFormat="1" applyFont="1" applyFill="1" applyBorder="1"/>
    <xf numFmtId="0" fontId="0" fillId="4" borderId="6" xfId="0" applyFill="1" applyBorder="1"/>
    <xf numFmtId="0" fontId="0" fillId="4" borderId="7" xfId="0" applyFill="1" applyBorder="1"/>
    <xf numFmtId="8" fontId="0" fillId="4" borderId="8" xfId="0" applyNumberFormat="1" applyFill="1" applyBorder="1"/>
    <xf numFmtId="0" fontId="8" fillId="2" borderId="0" xfId="0" applyFont="1" applyFill="1"/>
    <xf numFmtId="0" fontId="0" fillId="6" borderId="0" xfId="0" applyFill="1"/>
    <xf numFmtId="166" fontId="0" fillId="2" borderId="0" xfId="2" applyNumberFormat="1" applyFont="1" applyFill="1" applyBorder="1"/>
    <xf numFmtId="0" fontId="0" fillId="2" borderId="9" xfId="0" applyFill="1" applyBorder="1"/>
    <xf numFmtId="166" fontId="0" fillId="2" borderId="9" xfId="2" applyNumberFormat="1" applyFont="1" applyFill="1" applyBorder="1"/>
    <xf numFmtId="0" fontId="3" fillId="2" borderId="10" xfId="0" applyFont="1" applyFill="1" applyBorder="1"/>
    <xf numFmtId="0" fontId="0" fillId="2" borderId="11" xfId="0" applyFill="1" applyBorder="1"/>
    <xf numFmtId="0" fontId="0" fillId="2" borderId="12" xfId="0" applyFill="1" applyBorder="1"/>
    <xf numFmtId="166" fontId="0" fillId="2" borderId="12" xfId="2" applyNumberFormat="1" applyFont="1" applyFill="1" applyBorder="1"/>
    <xf numFmtId="0" fontId="0" fillId="2" borderId="13" xfId="0" applyFill="1" applyBorder="1"/>
    <xf numFmtId="166" fontId="0" fillId="2" borderId="14" xfId="2" applyNumberFormat="1" applyFont="1" applyFill="1" applyBorder="1"/>
    <xf numFmtId="166" fontId="0" fillId="2" borderId="15" xfId="2" applyNumberFormat="1" applyFont="1" applyFill="1" applyBorder="1"/>
    <xf numFmtId="0" fontId="3" fillId="2" borderId="16" xfId="0" applyFont="1" applyFill="1" applyBorder="1"/>
    <xf numFmtId="0" fontId="3" fillId="2" borderId="17" xfId="0" applyFont="1" applyFill="1" applyBorder="1"/>
    <xf numFmtId="43" fontId="0" fillId="2" borderId="0" xfId="0" applyNumberFormat="1" applyFill="1"/>
    <xf numFmtId="0" fontId="0" fillId="2" borderId="0" xfId="2" applyNumberFormat="1" applyFont="1" applyFill="1"/>
    <xf numFmtId="0" fontId="0" fillId="2" borderId="2" xfId="2" applyNumberFormat="1" applyFont="1" applyFill="1" applyBorder="1"/>
    <xf numFmtId="0" fontId="0" fillId="2" borderId="4" xfId="2" applyNumberFormat="1" applyFont="1" applyFill="1" applyBorder="1"/>
    <xf numFmtId="0" fontId="0" fillId="2" borderId="7" xfId="2" applyNumberFormat="1" applyFont="1" applyFill="1" applyBorder="1"/>
    <xf numFmtId="0" fontId="4" fillId="2" borderId="0" xfId="2" applyNumberFormat="1" applyFont="1" applyFill="1"/>
    <xf numFmtId="0" fontId="0" fillId="2" borderId="3" xfId="2" applyNumberFormat="1" applyFont="1" applyFill="1" applyBorder="1"/>
    <xf numFmtId="44" fontId="0" fillId="2" borderId="3" xfId="2" applyFont="1" applyFill="1" applyBorder="1"/>
    <xf numFmtId="0" fontId="0" fillId="2" borderId="5" xfId="2" applyNumberFormat="1" applyFont="1" applyFill="1" applyBorder="1"/>
    <xf numFmtId="0" fontId="0" fillId="2" borderId="0" xfId="2" applyNumberFormat="1" applyFont="1" applyFill="1" applyBorder="1"/>
    <xf numFmtId="44" fontId="0" fillId="2" borderId="0" xfId="2" applyFont="1" applyFill="1" applyBorder="1"/>
    <xf numFmtId="0" fontId="0" fillId="2" borderId="6" xfId="2" applyNumberFormat="1" applyFont="1" applyFill="1" applyBorder="1"/>
    <xf numFmtId="3" fontId="0" fillId="2" borderId="6" xfId="2" applyNumberFormat="1" applyFont="1" applyFill="1" applyBorder="1"/>
    <xf numFmtId="0" fontId="0" fillId="2" borderId="1" xfId="2" applyNumberFormat="1" applyFont="1" applyFill="1" applyBorder="1"/>
    <xf numFmtId="44" fontId="0" fillId="2" borderId="1" xfId="2" applyFont="1" applyFill="1" applyBorder="1"/>
    <xf numFmtId="3" fontId="0" fillId="2" borderId="8" xfId="2" applyNumberFormat="1" applyFont="1" applyFill="1" applyBorder="1"/>
    <xf numFmtId="9" fontId="0" fillId="2" borderId="3" xfId="3" applyFont="1" applyFill="1" applyBorder="1"/>
    <xf numFmtId="9" fontId="0" fillId="2" borderId="0" xfId="3" applyFont="1" applyFill="1" applyBorder="1"/>
    <xf numFmtId="0" fontId="3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66" fontId="9" fillId="2" borderId="1" xfId="2" applyNumberFormat="1" applyFont="1" applyFill="1" applyBorder="1" applyAlignment="1">
      <alignment horizontal="center"/>
    </xf>
    <xf numFmtId="166" fontId="9" fillId="2" borderId="0" xfId="2" applyNumberFormat="1" applyFont="1" applyFill="1" applyBorder="1" applyAlignment="1">
      <alignment horizontal="center"/>
    </xf>
    <xf numFmtId="0" fontId="3" fillId="2" borderId="0" xfId="2" applyNumberFormat="1" applyFont="1" applyFill="1" applyAlignment="1">
      <alignment horizontal="center"/>
    </xf>
    <xf numFmtId="0" fontId="0" fillId="2" borderId="18" xfId="2" applyNumberFormat="1" applyFont="1" applyFill="1" applyBorder="1"/>
    <xf numFmtId="9" fontId="0" fillId="2" borderId="19" xfId="3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accent1"/>
                </a:solidFill>
              </a:rPr>
              <a:t>Expenses</a:t>
            </a:r>
            <a:r>
              <a:rPr lang="en-US" sz="1800" b="1" baseline="0">
                <a:solidFill>
                  <a:schemeClr val="accent1"/>
                </a:solidFill>
              </a:rPr>
              <a:t> by Function</a:t>
            </a:r>
            <a:endParaRPr lang="en-US" sz="1800" b="1">
              <a:solidFill>
                <a:schemeClr val="accent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FC-C541-8230-712D1A4AD5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FC-C541-8230-712D1A4AD5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0FC-C541-8230-712D1A4AD5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0FC-C541-8230-712D1A4AD59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'Income Allocation'!$B$20:$B$23</c:f>
              <c:strCache>
                <c:ptCount val="4"/>
                <c:pt idx="0">
                  <c:v>Living Expenses</c:v>
                </c:pt>
                <c:pt idx="1">
                  <c:v>Loan Repayment + Savings</c:v>
                </c:pt>
                <c:pt idx="2">
                  <c:v>Experiences</c:v>
                </c:pt>
                <c:pt idx="3">
                  <c:v>Spending Money</c:v>
                </c:pt>
              </c:strCache>
            </c:strRef>
          </c:cat>
          <c:val>
            <c:numRef>
              <c:f>'Income Allocation'!$C$20:$C$23</c:f>
              <c:numCache>
                <c:formatCode>_("$"* #,##0_);_("$"* \(#,##0\);_("$"* "-"??_);_(@_)</c:formatCode>
                <c:ptCount val="4"/>
                <c:pt idx="0">
                  <c:v>1420</c:v>
                </c:pt>
                <c:pt idx="1">
                  <c:v>1554</c:v>
                </c:pt>
                <c:pt idx="2">
                  <c:v>500</c:v>
                </c:pt>
                <c:pt idx="3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BC-544C-A50D-D097DD9E4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240416</xdr:colOff>
      <xdr:row>2</xdr:row>
      <xdr:rowOff>9337</xdr:rowOff>
    </xdr:from>
    <xdr:to>
      <xdr:col>9</xdr:col>
      <xdr:colOff>339745</xdr:colOff>
      <xdr:row>23</xdr:row>
      <xdr:rowOff>52916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E8A26F-2FB3-CA3F-2211-D7528CA68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2D080-7E4E-1C45-9687-79742AA075AA}">
  <dimension ref="B2:C23"/>
  <sheetViews>
    <sheetView tabSelected="1" zoomScale="157" workbookViewId="0">
      <selection activeCell="F26" sqref="F26"/>
    </sheetView>
  </sheetViews>
  <sheetFormatPr baseColWidth="10" defaultRowHeight="16" x14ac:dyDescent="0.2"/>
  <cols>
    <col min="1" max="1" width="8.6640625" style="1" customWidth="1"/>
    <col min="2" max="2" width="35.6640625" style="1" customWidth="1"/>
    <col min="3" max="3" width="11.1640625" style="1" customWidth="1"/>
    <col min="4" max="4" width="6.1640625" style="1" customWidth="1"/>
    <col min="5" max="5" width="18" style="1" customWidth="1"/>
    <col min="6" max="6" width="13.6640625" style="1" bestFit="1" customWidth="1"/>
    <col min="7" max="16384" width="10.83203125" style="1"/>
  </cols>
  <sheetData>
    <row r="2" spans="2:3" ht="17" thickBot="1" x14ac:dyDescent="0.25">
      <c r="B2" s="89" t="s">
        <v>67</v>
      </c>
      <c r="C2" s="89"/>
    </row>
    <row r="3" spans="2:3" x14ac:dyDescent="0.2">
      <c r="B3" s="28" t="s">
        <v>57</v>
      </c>
      <c r="C3" s="43">
        <v>60000</v>
      </c>
    </row>
    <row r="4" spans="2:3" x14ac:dyDescent="0.2">
      <c r="B4" s="13" t="s">
        <v>58</v>
      </c>
      <c r="C4" s="44">
        <f>C3/12</f>
        <v>5000</v>
      </c>
    </row>
    <row r="5" spans="2:3" x14ac:dyDescent="0.2">
      <c r="B5" s="13" t="s">
        <v>59</v>
      </c>
      <c r="C5" s="26">
        <f>C4*0.74</f>
        <v>3700</v>
      </c>
    </row>
    <row r="6" spans="2:3" ht="17" thickBot="1" x14ac:dyDescent="0.25">
      <c r="B6" s="20" t="s">
        <v>74</v>
      </c>
      <c r="C6" s="45">
        <v>0.42</v>
      </c>
    </row>
    <row r="8" spans="2:3" ht="17" thickBot="1" x14ac:dyDescent="0.25">
      <c r="B8" s="89" t="s">
        <v>56</v>
      </c>
      <c r="C8" s="89"/>
    </row>
    <row r="9" spans="2:3" x14ac:dyDescent="0.2">
      <c r="B9" s="7" t="s">
        <v>21</v>
      </c>
      <c r="C9" s="9" t="s">
        <v>22</v>
      </c>
    </row>
    <row r="10" spans="2:3" x14ac:dyDescent="0.2">
      <c r="B10" s="13" t="s">
        <v>73</v>
      </c>
      <c r="C10" s="41">
        <v>700</v>
      </c>
    </row>
    <row r="11" spans="2:3" x14ac:dyDescent="0.2">
      <c r="B11" s="13" t="s">
        <v>60</v>
      </c>
      <c r="C11" s="41">
        <v>500</v>
      </c>
    </row>
    <row r="12" spans="2:3" x14ac:dyDescent="0.2">
      <c r="B12" s="13" t="s">
        <v>66</v>
      </c>
      <c r="C12" s="41">
        <v>220</v>
      </c>
    </row>
    <row r="13" spans="2:3" x14ac:dyDescent="0.2">
      <c r="B13" s="13" t="s">
        <v>61</v>
      </c>
      <c r="C13" s="41">
        <f>0.5*C21</f>
        <v>777</v>
      </c>
    </row>
    <row r="14" spans="2:3" x14ac:dyDescent="0.2">
      <c r="B14" s="13" t="s">
        <v>62</v>
      </c>
      <c r="C14" s="41">
        <f>0.4*C21</f>
        <v>621.6</v>
      </c>
    </row>
    <row r="15" spans="2:3" x14ac:dyDescent="0.2">
      <c r="B15" s="13" t="s">
        <v>64</v>
      </c>
      <c r="C15" s="41">
        <f>0.1*C21</f>
        <v>155.4</v>
      </c>
    </row>
    <row r="16" spans="2:3" x14ac:dyDescent="0.2">
      <c r="B16" s="13" t="s">
        <v>65</v>
      </c>
      <c r="C16" s="41">
        <v>500</v>
      </c>
    </row>
    <row r="17" spans="2:3" ht="17" thickBot="1" x14ac:dyDescent="0.25">
      <c r="B17" s="20" t="s">
        <v>68</v>
      </c>
      <c r="C17" s="42">
        <f>C5-SUM(C10:C16)</f>
        <v>226</v>
      </c>
    </row>
    <row r="19" spans="2:3" ht="17" thickBot="1" x14ac:dyDescent="0.25">
      <c r="B19" s="89" t="s">
        <v>69</v>
      </c>
      <c r="C19" s="89"/>
    </row>
    <row r="20" spans="2:3" x14ac:dyDescent="0.2">
      <c r="B20" s="28" t="s">
        <v>70</v>
      </c>
      <c r="C20" s="46">
        <f>SUM(C10:C12)</f>
        <v>1420</v>
      </c>
    </row>
    <row r="21" spans="2:3" x14ac:dyDescent="0.2">
      <c r="B21" s="13" t="s">
        <v>72</v>
      </c>
      <c r="C21" s="44">
        <f>C6*C5</f>
        <v>1554</v>
      </c>
    </row>
    <row r="22" spans="2:3" x14ac:dyDescent="0.2">
      <c r="B22" s="13" t="s">
        <v>71</v>
      </c>
      <c r="C22" s="44">
        <f>C16</f>
        <v>500</v>
      </c>
    </row>
    <row r="23" spans="2:3" ht="17" thickBot="1" x14ac:dyDescent="0.25">
      <c r="B23" s="20" t="s">
        <v>63</v>
      </c>
      <c r="C23" s="47">
        <f>C17</f>
        <v>226</v>
      </c>
    </row>
  </sheetData>
  <mergeCells count="3">
    <mergeCell ref="B8:C8"/>
    <mergeCell ref="B2:C2"/>
    <mergeCell ref="B19:C19"/>
  </mergeCells>
  <pageMargins left="0.7" right="0.7" top="0.75" bottom="0.75" header="0.3" footer="0.3"/>
  <ignoredErrors>
    <ignoredError sqref="C20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0B2E9-9025-8543-B42B-5EE20840B0D4}">
  <dimension ref="A1:J12"/>
  <sheetViews>
    <sheetView zoomScale="190" workbookViewId="0">
      <selection activeCell="F14" sqref="F14"/>
    </sheetView>
  </sheetViews>
  <sheetFormatPr baseColWidth="10" defaultRowHeight="16" x14ac:dyDescent="0.2"/>
  <cols>
    <col min="1" max="1" width="4.5" style="1" customWidth="1"/>
    <col min="2" max="2" width="15.6640625" style="1" customWidth="1"/>
    <col min="3" max="3" width="6.83203125" style="1" customWidth="1"/>
    <col min="4" max="4" width="6.1640625" style="1" customWidth="1"/>
    <col min="5" max="5" width="7.33203125" style="1" bestFit="1" customWidth="1"/>
    <col min="6" max="6" width="9.5" style="1" customWidth="1"/>
    <col min="7" max="7" width="9.33203125" style="1" customWidth="1"/>
    <col min="8" max="8" width="8.33203125" style="1" customWidth="1"/>
    <col min="9" max="9" width="8.83203125" style="1" customWidth="1"/>
    <col min="10" max="10" width="8.5" style="1" customWidth="1"/>
    <col min="11" max="16384" width="10.83203125" style="1"/>
  </cols>
  <sheetData>
    <row r="1" spans="1:10" x14ac:dyDescent="0.2">
      <c r="B1" s="3" t="s">
        <v>0</v>
      </c>
    </row>
    <row r="3" spans="1:10" x14ac:dyDescent="0.2">
      <c r="B3" s="1" t="s">
        <v>1</v>
      </c>
      <c r="C3" s="2">
        <v>0.06</v>
      </c>
    </row>
    <row r="5" spans="1:10" x14ac:dyDescent="0.2">
      <c r="F5" s="90" t="s">
        <v>2</v>
      </c>
      <c r="G5" s="90"/>
      <c r="H5" s="90"/>
      <c r="I5" s="90"/>
      <c r="J5" s="90"/>
    </row>
    <row r="6" spans="1:10" ht="17" thickBot="1" x14ac:dyDescent="0.25">
      <c r="A6" s="4"/>
      <c r="B6" s="4"/>
      <c r="C6" s="4"/>
      <c r="D6" s="4"/>
      <c r="E6" s="4">
        <v>0</v>
      </c>
      <c r="F6" s="4">
        <v>1</v>
      </c>
      <c r="G6" s="4">
        <v>2</v>
      </c>
      <c r="H6" s="4">
        <v>3</v>
      </c>
      <c r="I6" s="4">
        <v>4</v>
      </c>
      <c r="J6" s="4">
        <v>5</v>
      </c>
    </row>
    <row r="7" spans="1:10" x14ac:dyDescent="0.2">
      <c r="B7" s="1" t="s">
        <v>3</v>
      </c>
      <c r="E7" s="1">
        <v>-500</v>
      </c>
      <c r="F7" s="1">
        <v>30</v>
      </c>
      <c r="G7" s="1">
        <v>120</v>
      </c>
      <c r="H7" s="1">
        <v>200</v>
      </c>
      <c r="I7" s="1">
        <v>220</v>
      </c>
      <c r="J7" s="1">
        <v>120</v>
      </c>
    </row>
    <row r="8" spans="1:10" x14ac:dyDescent="0.2">
      <c r="B8" s="1" t="s">
        <v>4</v>
      </c>
      <c r="E8" s="6">
        <f>E7</f>
        <v>-500</v>
      </c>
      <c r="F8" s="6">
        <f>F7/(1+$C$3)^F6</f>
        <v>28.30188679245283</v>
      </c>
      <c r="G8" s="6">
        <f t="shared" ref="G8:J8" si="0">G7/(1+$C$3)^G6</f>
        <v>106.79957280170878</v>
      </c>
      <c r="H8" s="6">
        <f t="shared" si="0"/>
        <v>167.92385660646033</v>
      </c>
      <c r="I8" s="6">
        <f t="shared" si="0"/>
        <v>174.2606059123645</v>
      </c>
      <c r="J8" s="6">
        <f t="shared" si="0"/>
        <v>89.670980743926833</v>
      </c>
    </row>
    <row r="10" spans="1:10" x14ac:dyDescent="0.2">
      <c r="B10" s="1" t="s">
        <v>5</v>
      </c>
      <c r="F10" s="5">
        <f>SUM(E8:J8)</f>
        <v>66.956902856913274</v>
      </c>
    </row>
    <row r="11" spans="1:10" x14ac:dyDescent="0.2">
      <c r="B11" s="1" t="s">
        <v>6</v>
      </c>
      <c r="F11" s="5">
        <f>SUM(E7, NPV(C3, F7:J7))</f>
        <v>66.956902856913302</v>
      </c>
    </row>
    <row r="12" spans="1:10" x14ac:dyDescent="0.2">
      <c r="B12" s="1" t="s">
        <v>7</v>
      </c>
      <c r="F12" s="2">
        <f>IRR(E7:J7)</f>
        <v>0.10099057467503569</v>
      </c>
    </row>
  </sheetData>
  <mergeCells count="1">
    <mergeCell ref="F5:J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638DC-C698-3640-974F-169B899D0C91}">
  <dimension ref="B2:F132"/>
  <sheetViews>
    <sheetView zoomScale="176" workbookViewId="0">
      <selection activeCell="A9" sqref="A9"/>
    </sheetView>
  </sheetViews>
  <sheetFormatPr baseColWidth="10" defaultRowHeight="16" x14ac:dyDescent="0.2"/>
  <cols>
    <col min="1" max="1" width="4.33203125" style="1" customWidth="1"/>
    <col min="2" max="2" width="19.5" style="1" customWidth="1"/>
    <col min="3" max="3" width="12.5" style="1" customWidth="1"/>
    <col min="4" max="4" width="11.1640625" style="1" bestFit="1" customWidth="1"/>
    <col min="5" max="5" width="11" style="1" bestFit="1" customWidth="1"/>
    <col min="6" max="6" width="14.33203125" style="1" customWidth="1"/>
    <col min="7" max="7" width="12.5" style="1" bestFit="1" customWidth="1"/>
    <col min="8" max="16384" width="10.83203125" style="1"/>
  </cols>
  <sheetData>
    <row r="2" spans="2:6" ht="20" thickBot="1" x14ac:dyDescent="0.3">
      <c r="B2" s="91" t="s">
        <v>45</v>
      </c>
      <c r="C2" s="91"/>
    </row>
    <row r="3" spans="2:6" x14ac:dyDescent="0.2">
      <c r="B3" s="28" t="s">
        <v>9</v>
      </c>
      <c r="C3" s="29">
        <v>120</v>
      </c>
    </row>
    <row r="4" spans="2:6" x14ac:dyDescent="0.2">
      <c r="B4" s="13" t="s">
        <v>10</v>
      </c>
      <c r="C4" s="30">
        <v>0.04</v>
      </c>
    </row>
    <row r="5" spans="2:6" x14ac:dyDescent="0.2">
      <c r="B5" s="13" t="s">
        <v>11</v>
      </c>
      <c r="C5" s="31">
        <f>C4/12</f>
        <v>3.3333333333333335E-3</v>
      </c>
    </row>
    <row r="6" spans="2:6" x14ac:dyDescent="0.2">
      <c r="B6" s="13" t="s">
        <v>12</v>
      </c>
      <c r="C6" s="32">
        <v>250000</v>
      </c>
    </row>
    <row r="7" spans="2:6" x14ac:dyDescent="0.2">
      <c r="B7" s="13"/>
      <c r="C7" s="14"/>
    </row>
    <row r="8" spans="2:6" ht="17" thickBot="1" x14ac:dyDescent="0.25">
      <c r="B8" s="20" t="s">
        <v>13</v>
      </c>
      <c r="C8" s="33">
        <f>-PMT(C5,C3,C6)</f>
        <v>2531.1284541220371</v>
      </c>
    </row>
    <row r="10" spans="2:6" ht="17" thickBot="1" x14ac:dyDescent="0.25">
      <c r="B10" s="89" t="s">
        <v>8</v>
      </c>
      <c r="C10" s="89"/>
      <c r="D10" s="89"/>
      <c r="E10" s="89"/>
      <c r="F10" s="89"/>
    </row>
    <row r="11" spans="2:6" x14ac:dyDescent="0.2">
      <c r="B11" s="28" t="s">
        <v>14</v>
      </c>
      <c r="C11" s="34" t="s">
        <v>15</v>
      </c>
      <c r="D11" s="34" t="s">
        <v>16</v>
      </c>
      <c r="E11" s="34" t="s">
        <v>17</v>
      </c>
      <c r="F11" s="29" t="s">
        <v>18</v>
      </c>
    </row>
    <row r="12" spans="2:6" x14ac:dyDescent="0.2">
      <c r="B12" s="35">
        <v>1</v>
      </c>
      <c r="C12" s="36">
        <f>$C$8</f>
        <v>2531.1284541220371</v>
      </c>
      <c r="D12" s="36">
        <f>C6*C5</f>
        <v>833.33333333333337</v>
      </c>
      <c r="E12" s="36">
        <f>C12-D12</f>
        <v>1697.7951207887036</v>
      </c>
      <c r="F12" s="37">
        <f>C6-E12</f>
        <v>248302.20487921129</v>
      </c>
    </row>
    <row r="13" spans="2:6" x14ac:dyDescent="0.2">
      <c r="B13" s="35">
        <v>2</v>
      </c>
      <c r="C13" s="36">
        <f t="shared" ref="C13:C76" si="0">$C$8</f>
        <v>2531.1284541220371</v>
      </c>
      <c r="D13" s="36">
        <f>$C$5*F12</f>
        <v>827.67401626403773</v>
      </c>
      <c r="E13" s="36">
        <f>C13-D13</f>
        <v>1703.4544378579994</v>
      </c>
      <c r="F13" s="37">
        <f>F12-E13</f>
        <v>246598.7504413533</v>
      </c>
    </row>
    <row r="14" spans="2:6" x14ac:dyDescent="0.2">
      <c r="B14" s="35">
        <v>3</v>
      </c>
      <c r="C14" s="36">
        <f t="shared" si="0"/>
        <v>2531.1284541220371</v>
      </c>
      <c r="D14" s="36">
        <f t="shared" ref="D14:D77" si="1">$C$5*F13</f>
        <v>821.99583480451111</v>
      </c>
      <c r="E14" s="36">
        <f t="shared" ref="E14:E77" si="2">C14-D14</f>
        <v>1709.132619317526</v>
      </c>
      <c r="F14" s="37">
        <f t="shared" ref="F14:F77" si="3">F13-E14</f>
        <v>244889.61782203577</v>
      </c>
    </row>
    <row r="15" spans="2:6" x14ac:dyDescent="0.2">
      <c r="B15" s="35">
        <v>4</v>
      </c>
      <c r="C15" s="36">
        <f t="shared" si="0"/>
        <v>2531.1284541220371</v>
      </c>
      <c r="D15" s="36">
        <f t="shared" si="1"/>
        <v>816.2987260734526</v>
      </c>
      <c r="E15" s="36">
        <f t="shared" si="2"/>
        <v>1714.8297280485845</v>
      </c>
      <c r="F15" s="37">
        <f t="shared" si="3"/>
        <v>243174.78809398718</v>
      </c>
    </row>
    <row r="16" spans="2:6" x14ac:dyDescent="0.2">
      <c r="B16" s="35">
        <v>5</v>
      </c>
      <c r="C16" s="36">
        <f t="shared" si="0"/>
        <v>2531.1284541220371</v>
      </c>
      <c r="D16" s="36">
        <f t="shared" si="1"/>
        <v>810.58262697995735</v>
      </c>
      <c r="E16" s="36">
        <f t="shared" si="2"/>
        <v>1720.5458271420798</v>
      </c>
      <c r="F16" s="37">
        <f t="shared" si="3"/>
        <v>241454.2422668451</v>
      </c>
    </row>
    <row r="17" spans="2:6" x14ac:dyDescent="0.2">
      <c r="B17" s="35">
        <v>6</v>
      </c>
      <c r="C17" s="36">
        <f t="shared" si="0"/>
        <v>2531.1284541220371</v>
      </c>
      <c r="D17" s="36">
        <f t="shared" si="1"/>
        <v>804.84747422281703</v>
      </c>
      <c r="E17" s="36">
        <f t="shared" si="2"/>
        <v>1726.28097989922</v>
      </c>
      <c r="F17" s="37">
        <f t="shared" si="3"/>
        <v>239727.96128694588</v>
      </c>
    </row>
    <row r="18" spans="2:6" x14ac:dyDescent="0.2">
      <c r="B18" s="35">
        <v>7</v>
      </c>
      <c r="C18" s="36">
        <f t="shared" si="0"/>
        <v>2531.1284541220371</v>
      </c>
      <c r="D18" s="36">
        <f t="shared" si="1"/>
        <v>799.0932042898196</v>
      </c>
      <c r="E18" s="36">
        <f t="shared" si="2"/>
        <v>1732.0352498322175</v>
      </c>
      <c r="F18" s="37">
        <f t="shared" si="3"/>
        <v>237995.92603711365</v>
      </c>
    </row>
    <row r="19" spans="2:6" x14ac:dyDescent="0.2">
      <c r="B19" s="35">
        <v>8</v>
      </c>
      <c r="C19" s="36">
        <f t="shared" si="0"/>
        <v>2531.1284541220371</v>
      </c>
      <c r="D19" s="36">
        <f t="shared" si="1"/>
        <v>793.31975345704552</v>
      </c>
      <c r="E19" s="36">
        <f t="shared" si="2"/>
        <v>1737.8087006649916</v>
      </c>
      <c r="F19" s="37">
        <f t="shared" si="3"/>
        <v>236258.11733644866</v>
      </c>
    </row>
    <row r="20" spans="2:6" x14ac:dyDescent="0.2">
      <c r="B20" s="35">
        <v>9</v>
      </c>
      <c r="C20" s="36">
        <f t="shared" si="0"/>
        <v>2531.1284541220371</v>
      </c>
      <c r="D20" s="36">
        <f t="shared" si="1"/>
        <v>787.52705778816221</v>
      </c>
      <c r="E20" s="36">
        <f t="shared" si="2"/>
        <v>1743.6013963338748</v>
      </c>
      <c r="F20" s="37">
        <f t="shared" si="3"/>
        <v>234514.5159401148</v>
      </c>
    </row>
    <row r="21" spans="2:6" x14ac:dyDescent="0.2">
      <c r="B21" s="35">
        <v>10</v>
      </c>
      <c r="C21" s="36">
        <f t="shared" si="0"/>
        <v>2531.1284541220371</v>
      </c>
      <c r="D21" s="36">
        <f t="shared" si="1"/>
        <v>781.71505313371608</v>
      </c>
      <c r="E21" s="36">
        <f t="shared" si="2"/>
        <v>1749.413400988321</v>
      </c>
      <c r="F21" s="37">
        <f t="shared" si="3"/>
        <v>232765.10253912647</v>
      </c>
    </row>
    <row r="22" spans="2:6" x14ac:dyDescent="0.2">
      <c r="B22" s="35">
        <v>11</v>
      </c>
      <c r="C22" s="36">
        <f t="shared" si="0"/>
        <v>2531.1284541220371</v>
      </c>
      <c r="D22" s="36">
        <f t="shared" si="1"/>
        <v>775.88367513042158</v>
      </c>
      <c r="E22" s="36">
        <f t="shared" si="2"/>
        <v>1755.2447789916155</v>
      </c>
      <c r="F22" s="37">
        <f t="shared" si="3"/>
        <v>231009.85776013485</v>
      </c>
    </row>
    <row r="23" spans="2:6" x14ac:dyDescent="0.2">
      <c r="B23" s="35">
        <v>12</v>
      </c>
      <c r="C23" s="36">
        <f t="shared" si="0"/>
        <v>2531.1284541220371</v>
      </c>
      <c r="D23" s="36">
        <f t="shared" si="1"/>
        <v>770.03285920044959</v>
      </c>
      <c r="E23" s="36">
        <f t="shared" si="2"/>
        <v>1761.0955949215875</v>
      </c>
      <c r="F23" s="37">
        <f t="shared" si="3"/>
        <v>229248.76216521327</v>
      </c>
    </row>
    <row r="24" spans="2:6" x14ac:dyDescent="0.2">
      <c r="B24" s="35">
        <v>13</v>
      </c>
      <c r="C24" s="36">
        <f t="shared" si="0"/>
        <v>2531.1284541220371</v>
      </c>
      <c r="D24" s="36">
        <f t="shared" si="1"/>
        <v>764.1625405507109</v>
      </c>
      <c r="E24" s="36">
        <f t="shared" si="2"/>
        <v>1766.9659135713262</v>
      </c>
      <c r="F24" s="37">
        <f t="shared" si="3"/>
        <v>227481.79625164194</v>
      </c>
    </row>
    <row r="25" spans="2:6" x14ac:dyDescent="0.2">
      <c r="B25" s="35">
        <v>14</v>
      </c>
      <c r="C25" s="36">
        <f t="shared" si="0"/>
        <v>2531.1284541220371</v>
      </c>
      <c r="D25" s="36">
        <f t="shared" si="1"/>
        <v>758.27265417213982</v>
      </c>
      <c r="E25" s="36">
        <f t="shared" si="2"/>
        <v>1772.8557999498971</v>
      </c>
      <c r="F25" s="37">
        <f t="shared" si="3"/>
        <v>225708.94045169203</v>
      </c>
    </row>
    <row r="26" spans="2:6" x14ac:dyDescent="0.2">
      <c r="B26" s="35">
        <v>15</v>
      </c>
      <c r="C26" s="36">
        <f t="shared" si="0"/>
        <v>2531.1284541220371</v>
      </c>
      <c r="D26" s="36">
        <f t="shared" si="1"/>
        <v>752.36313483897345</v>
      </c>
      <c r="E26" s="36">
        <f t="shared" si="2"/>
        <v>1778.7653192830635</v>
      </c>
      <c r="F26" s="37">
        <f t="shared" si="3"/>
        <v>223930.17513240897</v>
      </c>
    </row>
    <row r="27" spans="2:6" x14ac:dyDescent="0.2">
      <c r="B27" s="35">
        <v>16</v>
      </c>
      <c r="C27" s="36">
        <f t="shared" si="0"/>
        <v>2531.1284541220371</v>
      </c>
      <c r="D27" s="36">
        <f t="shared" si="1"/>
        <v>746.43391710802996</v>
      </c>
      <c r="E27" s="36">
        <f t="shared" si="2"/>
        <v>1784.694537014007</v>
      </c>
      <c r="F27" s="37">
        <f t="shared" si="3"/>
        <v>222145.48059539497</v>
      </c>
    </row>
    <row r="28" spans="2:6" x14ac:dyDescent="0.2">
      <c r="B28" s="35">
        <v>17</v>
      </c>
      <c r="C28" s="36">
        <f t="shared" si="0"/>
        <v>2531.1284541220371</v>
      </c>
      <c r="D28" s="36">
        <f t="shared" si="1"/>
        <v>740.48493531798329</v>
      </c>
      <c r="E28" s="36">
        <f t="shared" si="2"/>
        <v>1790.6435188040537</v>
      </c>
      <c r="F28" s="37">
        <f t="shared" si="3"/>
        <v>220354.83707659092</v>
      </c>
    </row>
    <row r="29" spans="2:6" x14ac:dyDescent="0.2">
      <c r="B29" s="35">
        <v>18</v>
      </c>
      <c r="C29" s="36">
        <f t="shared" si="0"/>
        <v>2531.1284541220371</v>
      </c>
      <c r="D29" s="36">
        <f t="shared" si="1"/>
        <v>734.51612358863645</v>
      </c>
      <c r="E29" s="36">
        <f t="shared" si="2"/>
        <v>1796.6123305334006</v>
      </c>
      <c r="F29" s="37">
        <f t="shared" si="3"/>
        <v>218558.22474605753</v>
      </c>
    </row>
    <row r="30" spans="2:6" x14ac:dyDescent="0.2">
      <c r="B30" s="35">
        <v>19</v>
      </c>
      <c r="C30" s="36">
        <f t="shared" si="0"/>
        <v>2531.1284541220371</v>
      </c>
      <c r="D30" s="36">
        <f t="shared" si="1"/>
        <v>728.52741582019178</v>
      </c>
      <c r="E30" s="36">
        <f t="shared" si="2"/>
        <v>1802.6010383018452</v>
      </c>
      <c r="F30" s="37">
        <f t="shared" si="3"/>
        <v>216755.62370775567</v>
      </c>
    </row>
    <row r="31" spans="2:6" x14ac:dyDescent="0.2">
      <c r="B31" s="35">
        <v>20</v>
      </c>
      <c r="C31" s="36">
        <f t="shared" si="0"/>
        <v>2531.1284541220371</v>
      </c>
      <c r="D31" s="36">
        <f t="shared" si="1"/>
        <v>722.51874569251891</v>
      </c>
      <c r="E31" s="36">
        <f t="shared" si="2"/>
        <v>1808.6097084295182</v>
      </c>
      <c r="F31" s="37">
        <f t="shared" si="3"/>
        <v>214947.01399932615</v>
      </c>
    </row>
    <row r="32" spans="2:6" x14ac:dyDescent="0.2">
      <c r="B32" s="35">
        <v>21</v>
      </c>
      <c r="C32" s="36">
        <f t="shared" si="0"/>
        <v>2531.1284541220371</v>
      </c>
      <c r="D32" s="36">
        <f t="shared" si="1"/>
        <v>716.49004666442056</v>
      </c>
      <c r="E32" s="36">
        <f t="shared" si="2"/>
        <v>1814.6384074576165</v>
      </c>
      <c r="F32" s="37">
        <f t="shared" si="3"/>
        <v>213132.37559186853</v>
      </c>
    </row>
    <row r="33" spans="2:6" x14ac:dyDescent="0.2">
      <c r="B33" s="35">
        <v>22</v>
      </c>
      <c r="C33" s="36">
        <f t="shared" si="0"/>
        <v>2531.1284541220371</v>
      </c>
      <c r="D33" s="36">
        <f t="shared" si="1"/>
        <v>710.4412519728952</v>
      </c>
      <c r="E33" s="36">
        <f t="shared" si="2"/>
        <v>1820.6872021491417</v>
      </c>
      <c r="F33" s="37">
        <f t="shared" si="3"/>
        <v>211311.68838971941</v>
      </c>
    </row>
    <row r="34" spans="2:6" x14ac:dyDescent="0.2">
      <c r="B34" s="35">
        <v>23</v>
      </c>
      <c r="C34" s="36">
        <f t="shared" si="0"/>
        <v>2531.1284541220371</v>
      </c>
      <c r="D34" s="36">
        <f t="shared" si="1"/>
        <v>704.37229463239805</v>
      </c>
      <c r="E34" s="36">
        <f t="shared" si="2"/>
        <v>1826.756159489639</v>
      </c>
      <c r="F34" s="37">
        <f t="shared" si="3"/>
        <v>209484.93223022978</v>
      </c>
    </row>
    <row r="35" spans="2:6" x14ac:dyDescent="0.2">
      <c r="B35" s="35">
        <v>24</v>
      </c>
      <c r="C35" s="36">
        <f t="shared" si="0"/>
        <v>2531.1284541220371</v>
      </c>
      <c r="D35" s="36">
        <f t="shared" si="1"/>
        <v>698.28310743409929</v>
      </c>
      <c r="E35" s="36">
        <f t="shared" si="2"/>
        <v>1832.8453466879378</v>
      </c>
      <c r="F35" s="37">
        <f t="shared" si="3"/>
        <v>207652.08688354184</v>
      </c>
    </row>
    <row r="36" spans="2:6" x14ac:dyDescent="0.2">
      <c r="B36" s="35">
        <v>25</v>
      </c>
      <c r="C36" s="36">
        <f t="shared" si="0"/>
        <v>2531.1284541220371</v>
      </c>
      <c r="D36" s="36">
        <f t="shared" si="1"/>
        <v>692.17362294513953</v>
      </c>
      <c r="E36" s="36">
        <f t="shared" si="2"/>
        <v>1838.9548311768976</v>
      </c>
      <c r="F36" s="37">
        <f t="shared" si="3"/>
        <v>205813.13205236493</v>
      </c>
    </row>
    <row r="37" spans="2:6" x14ac:dyDescent="0.2">
      <c r="B37" s="35">
        <v>26</v>
      </c>
      <c r="C37" s="36">
        <f t="shared" si="0"/>
        <v>2531.1284541220371</v>
      </c>
      <c r="D37" s="36">
        <f t="shared" si="1"/>
        <v>686.0437735078832</v>
      </c>
      <c r="E37" s="36">
        <f t="shared" si="2"/>
        <v>1845.084680614154</v>
      </c>
      <c r="F37" s="37">
        <f t="shared" si="3"/>
        <v>203968.04737175078</v>
      </c>
    </row>
    <row r="38" spans="2:6" x14ac:dyDescent="0.2">
      <c r="B38" s="35">
        <v>27</v>
      </c>
      <c r="C38" s="36">
        <f t="shared" si="0"/>
        <v>2531.1284541220371</v>
      </c>
      <c r="D38" s="36">
        <f t="shared" si="1"/>
        <v>679.89349123916929</v>
      </c>
      <c r="E38" s="36">
        <f t="shared" si="2"/>
        <v>1851.2349628828679</v>
      </c>
      <c r="F38" s="37">
        <f t="shared" si="3"/>
        <v>202116.8124088679</v>
      </c>
    </row>
    <row r="39" spans="2:6" x14ac:dyDescent="0.2">
      <c r="B39" s="35">
        <v>28</v>
      </c>
      <c r="C39" s="36">
        <f t="shared" si="0"/>
        <v>2531.1284541220371</v>
      </c>
      <c r="D39" s="36">
        <f t="shared" si="1"/>
        <v>673.72270802955973</v>
      </c>
      <c r="E39" s="36">
        <f t="shared" si="2"/>
        <v>1857.4057460924773</v>
      </c>
      <c r="F39" s="37">
        <f t="shared" si="3"/>
        <v>200259.40666277544</v>
      </c>
    </row>
    <row r="40" spans="2:6" x14ac:dyDescent="0.2">
      <c r="B40" s="35">
        <v>29</v>
      </c>
      <c r="C40" s="36">
        <f t="shared" si="0"/>
        <v>2531.1284541220371</v>
      </c>
      <c r="D40" s="36">
        <f t="shared" si="1"/>
        <v>667.53135554258483</v>
      </c>
      <c r="E40" s="36">
        <f t="shared" si="2"/>
        <v>1863.5970985794522</v>
      </c>
      <c r="F40" s="37">
        <f t="shared" si="3"/>
        <v>198395.80956419598</v>
      </c>
    </row>
    <row r="41" spans="2:6" x14ac:dyDescent="0.2">
      <c r="B41" s="35">
        <v>30</v>
      </c>
      <c r="C41" s="36">
        <f t="shared" si="0"/>
        <v>2531.1284541220371</v>
      </c>
      <c r="D41" s="36">
        <f t="shared" si="1"/>
        <v>661.31936521398666</v>
      </c>
      <c r="E41" s="36">
        <f t="shared" si="2"/>
        <v>1869.8090889080504</v>
      </c>
      <c r="F41" s="37">
        <f t="shared" si="3"/>
        <v>196526.00047528793</v>
      </c>
    </row>
    <row r="42" spans="2:6" x14ac:dyDescent="0.2">
      <c r="B42" s="35">
        <v>31</v>
      </c>
      <c r="C42" s="36">
        <f t="shared" si="0"/>
        <v>2531.1284541220371</v>
      </c>
      <c r="D42" s="36">
        <f t="shared" si="1"/>
        <v>655.08666825095986</v>
      </c>
      <c r="E42" s="36">
        <f t="shared" si="2"/>
        <v>1876.0417858710771</v>
      </c>
      <c r="F42" s="37">
        <f t="shared" si="3"/>
        <v>194649.95868941685</v>
      </c>
    </row>
    <row r="43" spans="2:6" x14ac:dyDescent="0.2">
      <c r="B43" s="35">
        <v>32</v>
      </c>
      <c r="C43" s="36">
        <f t="shared" si="0"/>
        <v>2531.1284541220371</v>
      </c>
      <c r="D43" s="36">
        <f t="shared" si="1"/>
        <v>648.83319563138957</v>
      </c>
      <c r="E43" s="36">
        <f t="shared" si="2"/>
        <v>1882.2952584906475</v>
      </c>
      <c r="F43" s="37">
        <f t="shared" si="3"/>
        <v>192767.66343092619</v>
      </c>
    </row>
    <row r="44" spans="2:6" x14ac:dyDescent="0.2">
      <c r="B44" s="35">
        <v>33</v>
      </c>
      <c r="C44" s="36">
        <f t="shared" si="0"/>
        <v>2531.1284541220371</v>
      </c>
      <c r="D44" s="36">
        <f t="shared" si="1"/>
        <v>642.5588781030873</v>
      </c>
      <c r="E44" s="36">
        <f t="shared" si="2"/>
        <v>1888.5695760189496</v>
      </c>
      <c r="F44" s="37">
        <f t="shared" si="3"/>
        <v>190879.09385490723</v>
      </c>
    </row>
    <row r="45" spans="2:6" x14ac:dyDescent="0.2">
      <c r="B45" s="35">
        <v>34</v>
      </c>
      <c r="C45" s="36">
        <f t="shared" si="0"/>
        <v>2531.1284541220371</v>
      </c>
      <c r="D45" s="36">
        <f t="shared" si="1"/>
        <v>636.26364618302409</v>
      </c>
      <c r="E45" s="36">
        <f t="shared" si="2"/>
        <v>1894.864807939013</v>
      </c>
      <c r="F45" s="37">
        <f t="shared" si="3"/>
        <v>188984.22904696822</v>
      </c>
    </row>
    <row r="46" spans="2:6" x14ac:dyDescent="0.2">
      <c r="B46" s="35">
        <v>35</v>
      </c>
      <c r="C46" s="36">
        <f t="shared" si="0"/>
        <v>2531.1284541220371</v>
      </c>
      <c r="D46" s="36">
        <f t="shared" si="1"/>
        <v>629.94743015656081</v>
      </c>
      <c r="E46" s="36">
        <f t="shared" si="2"/>
        <v>1901.1810239654762</v>
      </c>
      <c r="F46" s="37">
        <f t="shared" si="3"/>
        <v>187083.04802300275</v>
      </c>
    </row>
    <row r="47" spans="2:6" x14ac:dyDescent="0.2">
      <c r="B47" s="35">
        <v>36</v>
      </c>
      <c r="C47" s="36">
        <f t="shared" si="0"/>
        <v>2531.1284541220371</v>
      </c>
      <c r="D47" s="36">
        <f t="shared" si="1"/>
        <v>623.61016007667581</v>
      </c>
      <c r="E47" s="36">
        <f t="shared" si="2"/>
        <v>1907.5182940453612</v>
      </c>
      <c r="F47" s="37">
        <f t="shared" si="3"/>
        <v>185175.52972895739</v>
      </c>
    </row>
    <row r="48" spans="2:6" x14ac:dyDescent="0.2">
      <c r="B48" s="35">
        <v>37</v>
      </c>
      <c r="C48" s="36">
        <f t="shared" si="0"/>
        <v>2531.1284541220371</v>
      </c>
      <c r="D48" s="36">
        <f t="shared" si="1"/>
        <v>617.25176576319132</v>
      </c>
      <c r="E48" s="36">
        <f t="shared" si="2"/>
        <v>1913.8766883588457</v>
      </c>
      <c r="F48" s="37">
        <f t="shared" si="3"/>
        <v>183261.65304059855</v>
      </c>
    </row>
    <row r="49" spans="2:6" x14ac:dyDescent="0.2">
      <c r="B49" s="35">
        <v>38</v>
      </c>
      <c r="C49" s="36">
        <f t="shared" si="0"/>
        <v>2531.1284541220371</v>
      </c>
      <c r="D49" s="36">
        <f t="shared" si="1"/>
        <v>610.87217680199524</v>
      </c>
      <c r="E49" s="36">
        <f t="shared" si="2"/>
        <v>1920.2562773200418</v>
      </c>
      <c r="F49" s="37">
        <f t="shared" si="3"/>
        <v>181341.39676327852</v>
      </c>
    </row>
    <row r="50" spans="2:6" x14ac:dyDescent="0.2">
      <c r="B50" s="35">
        <v>39</v>
      </c>
      <c r="C50" s="36">
        <f t="shared" si="0"/>
        <v>2531.1284541220371</v>
      </c>
      <c r="D50" s="36">
        <f t="shared" si="1"/>
        <v>604.47132254426174</v>
      </c>
      <c r="E50" s="36">
        <f t="shared" si="2"/>
        <v>1926.6571315777753</v>
      </c>
      <c r="F50" s="37">
        <f t="shared" si="3"/>
        <v>179414.73963170074</v>
      </c>
    </row>
    <row r="51" spans="2:6" x14ac:dyDescent="0.2">
      <c r="B51" s="35">
        <v>40</v>
      </c>
      <c r="C51" s="36">
        <f t="shared" si="0"/>
        <v>2531.1284541220371</v>
      </c>
      <c r="D51" s="36">
        <f t="shared" si="1"/>
        <v>598.04913210566917</v>
      </c>
      <c r="E51" s="36">
        <f t="shared" si="2"/>
        <v>1933.0793220163678</v>
      </c>
      <c r="F51" s="37">
        <f t="shared" si="3"/>
        <v>177481.66030968438</v>
      </c>
    </row>
    <row r="52" spans="2:6" x14ac:dyDescent="0.2">
      <c r="B52" s="35">
        <v>41</v>
      </c>
      <c r="C52" s="36">
        <f t="shared" si="0"/>
        <v>2531.1284541220371</v>
      </c>
      <c r="D52" s="36">
        <f t="shared" si="1"/>
        <v>591.60553436561463</v>
      </c>
      <c r="E52" s="36">
        <f t="shared" si="2"/>
        <v>1939.5229197564224</v>
      </c>
      <c r="F52" s="37">
        <f t="shared" si="3"/>
        <v>175542.13738992796</v>
      </c>
    </row>
    <row r="53" spans="2:6" x14ac:dyDescent="0.2">
      <c r="B53" s="35">
        <v>42</v>
      </c>
      <c r="C53" s="36">
        <f t="shared" si="0"/>
        <v>2531.1284541220371</v>
      </c>
      <c r="D53" s="36">
        <f t="shared" si="1"/>
        <v>585.14045796642654</v>
      </c>
      <c r="E53" s="36">
        <f t="shared" si="2"/>
        <v>1945.9879961556105</v>
      </c>
      <c r="F53" s="37">
        <f t="shared" si="3"/>
        <v>173596.14939377236</v>
      </c>
    </row>
    <row r="54" spans="2:6" x14ac:dyDescent="0.2">
      <c r="B54" s="35">
        <v>43</v>
      </c>
      <c r="C54" s="36">
        <f t="shared" si="0"/>
        <v>2531.1284541220371</v>
      </c>
      <c r="D54" s="36">
        <f t="shared" si="1"/>
        <v>578.65383131257454</v>
      </c>
      <c r="E54" s="36">
        <f t="shared" si="2"/>
        <v>1952.4746228094625</v>
      </c>
      <c r="F54" s="37">
        <f t="shared" si="3"/>
        <v>171643.67477096288</v>
      </c>
    </row>
    <row r="55" spans="2:6" x14ac:dyDescent="0.2">
      <c r="B55" s="35">
        <v>44</v>
      </c>
      <c r="C55" s="36">
        <f t="shared" si="0"/>
        <v>2531.1284541220371</v>
      </c>
      <c r="D55" s="36">
        <f t="shared" si="1"/>
        <v>572.1455825698763</v>
      </c>
      <c r="E55" s="36">
        <f t="shared" si="2"/>
        <v>1958.9828715521608</v>
      </c>
      <c r="F55" s="37">
        <f t="shared" si="3"/>
        <v>169684.69189941071</v>
      </c>
    </row>
    <row r="56" spans="2:6" x14ac:dyDescent="0.2">
      <c r="B56" s="35">
        <v>45</v>
      </c>
      <c r="C56" s="36">
        <f t="shared" si="0"/>
        <v>2531.1284541220371</v>
      </c>
      <c r="D56" s="36">
        <f t="shared" si="1"/>
        <v>565.61563966470237</v>
      </c>
      <c r="E56" s="36">
        <f t="shared" si="2"/>
        <v>1965.5128144573346</v>
      </c>
      <c r="F56" s="37">
        <f t="shared" si="3"/>
        <v>167719.17908495339</v>
      </c>
    </row>
    <row r="57" spans="2:6" x14ac:dyDescent="0.2">
      <c r="B57" s="35">
        <v>46</v>
      </c>
      <c r="C57" s="36">
        <f t="shared" si="0"/>
        <v>2531.1284541220371</v>
      </c>
      <c r="D57" s="36">
        <f t="shared" si="1"/>
        <v>559.06393028317802</v>
      </c>
      <c r="E57" s="36">
        <f t="shared" si="2"/>
        <v>1972.064523838859</v>
      </c>
      <c r="F57" s="37">
        <f t="shared" si="3"/>
        <v>165747.11456111452</v>
      </c>
    </row>
    <row r="58" spans="2:6" x14ac:dyDescent="0.2">
      <c r="B58" s="35">
        <v>47</v>
      </c>
      <c r="C58" s="36">
        <f t="shared" si="0"/>
        <v>2531.1284541220371</v>
      </c>
      <c r="D58" s="36">
        <f t="shared" si="1"/>
        <v>552.49038187038173</v>
      </c>
      <c r="E58" s="36">
        <f t="shared" si="2"/>
        <v>1978.6380722516553</v>
      </c>
      <c r="F58" s="37">
        <f t="shared" si="3"/>
        <v>163768.47648886286</v>
      </c>
    </row>
    <row r="59" spans="2:6" x14ac:dyDescent="0.2">
      <c r="B59" s="35">
        <v>48</v>
      </c>
      <c r="C59" s="36">
        <f t="shared" si="0"/>
        <v>2531.1284541220371</v>
      </c>
      <c r="D59" s="36">
        <f t="shared" si="1"/>
        <v>545.89492162954286</v>
      </c>
      <c r="E59" s="36">
        <f t="shared" si="2"/>
        <v>1985.2335324924943</v>
      </c>
      <c r="F59" s="37">
        <f t="shared" si="3"/>
        <v>161783.24295637035</v>
      </c>
    </row>
    <row r="60" spans="2:6" x14ac:dyDescent="0.2">
      <c r="B60" s="35">
        <v>49</v>
      </c>
      <c r="C60" s="36">
        <f t="shared" si="0"/>
        <v>2531.1284541220371</v>
      </c>
      <c r="D60" s="36">
        <f t="shared" si="1"/>
        <v>539.27747652123458</v>
      </c>
      <c r="E60" s="36">
        <f t="shared" si="2"/>
        <v>1991.8509776008025</v>
      </c>
      <c r="F60" s="37">
        <f t="shared" si="3"/>
        <v>159791.39197876953</v>
      </c>
    </row>
    <row r="61" spans="2:6" x14ac:dyDescent="0.2">
      <c r="B61" s="35">
        <v>50</v>
      </c>
      <c r="C61" s="36">
        <f t="shared" si="0"/>
        <v>2531.1284541220371</v>
      </c>
      <c r="D61" s="36">
        <f t="shared" si="1"/>
        <v>532.6379732625652</v>
      </c>
      <c r="E61" s="36">
        <f t="shared" si="2"/>
        <v>1998.490480859472</v>
      </c>
      <c r="F61" s="37">
        <f t="shared" si="3"/>
        <v>157792.90149791006</v>
      </c>
    </row>
    <row r="62" spans="2:6" x14ac:dyDescent="0.2">
      <c r="B62" s="35">
        <v>51</v>
      </c>
      <c r="C62" s="36">
        <f t="shared" si="0"/>
        <v>2531.1284541220371</v>
      </c>
      <c r="D62" s="36">
        <f t="shared" si="1"/>
        <v>525.97633832636689</v>
      </c>
      <c r="E62" s="36">
        <f t="shared" si="2"/>
        <v>2005.1521157956702</v>
      </c>
      <c r="F62" s="37">
        <f t="shared" si="3"/>
        <v>155787.74938211439</v>
      </c>
    </row>
    <row r="63" spans="2:6" x14ac:dyDescent="0.2">
      <c r="B63" s="35">
        <v>52</v>
      </c>
      <c r="C63" s="36">
        <f t="shared" si="0"/>
        <v>2531.1284541220371</v>
      </c>
      <c r="D63" s="36">
        <f t="shared" si="1"/>
        <v>519.29249794038128</v>
      </c>
      <c r="E63" s="36">
        <f t="shared" si="2"/>
        <v>2011.8359561816558</v>
      </c>
      <c r="F63" s="37">
        <f t="shared" si="3"/>
        <v>153775.91342593273</v>
      </c>
    </row>
    <row r="64" spans="2:6" x14ac:dyDescent="0.2">
      <c r="B64" s="35">
        <v>53</v>
      </c>
      <c r="C64" s="36">
        <f t="shared" si="0"/>
        <v>2531.1284541220371</v>
      </c>
      <c r="D64" s="36">
        <f t="shared" si="1"/>
        <v>512.58637808644244</v>
      </c>
      <c r="E64" s="36">
        <f t="shared" si="2"/>
        <v>2018.5420760355946</v>
      </c>
      <c r="F64" s="37">
        <f t="shared" si="3"/>
        <v>151757.37134989712</v>
      </c>
    </row>
    <row r="65" spans="2:6" x14ac:dyDescent="0.2">
      <c r="B65" s="35">
        <v>54</v>
      </c>
      <c r="C65" s="36">
        <f t="shared" si="0"/>
        <v>2531.1284541220371</v>
      </c>
      <c r="D65" s="36">
        <f t="shared" si="1"/>
        <v>505.85790449965708</v>
      </c>
      <c r="E65" s="36">
        <f t="shared" si="2"/>
        <v>2025.27054962238</v>
      </c>
      <c r="F65" s="37">
        <f t="shared" si="3"/>
        <v>149732.10080027473</v>
      </c>
    </row>
    <row r="66" spans="2:6" x14ac:dyDescent="0.2">
      <c r="B66" s="35">
        <v>55</v>
      </c>
      <c r="C66" s="36">
        <f t="shared" si="0"/>
        <v>2531.1284541220371</v>
      </c>
      <c r="D66" s="36">
        <f t="shared" si="1"/>
        <v>499.10700266758244</v>
      </c>
      <c r="E66" s="36">
        <f t="shared" si="2"/>
        <v>2032.0214514544546</v>
      </c>
      <c r="F66" s="37">
        <f t="shared" si="3"/>
        <v>147700.07934882026</v>
      </c>
    </row>
    <row r="67" spans="2:6" x14ac:dyDescent="0.2">
      <c r="B67" s="35">
        <v>56</v>
      </c>
      <c r="C67" s="36">
        <f t="shared" si="0"/>
        <v>2531.1284541220371</v>
      </c>
      <c r="D67" s="36">
        <f t="shared" si="1"/>
        <v>492.3335978294009</v>
      </c>
      <c r="E67" s="36">
        <f t="shared" si="2"/>
        <v>2038.7948562926363</v>
      </c>
      <c r="F67" s="37">
        <f t="shared" si="3"/>
        <v>145661.28449252763</v>
      </c>
    </row>
    <row r="68" spans="2:6" x14ac:dyDescent="0.2">
      <c r="B68" s="35">
        <v>57</v>
      </c>
      <c r="C68" s="36">
        <f t="shared" si="0"/>
        <v>2531.1284541220371</v>
      </c>
      <c r="D68" s="36">
        <f t="shared" si="1"/>
        <v>485.53761497509214</v>
      </c>
      <c r="E68" s="36">
        <f t="shared" si="2"/>
        <v>2045.590839146945</v>
      </c>
      <c r="F68" s="37">
        <f t="shared" si="3"/>
        <v>143615.69365338067</v>
      </c>
    </row>
    <row r="69" spans="2:6" x14ac:dyDescent="0.2">
      <c r="B69" s="35">
        <v>58</v>
      </c>
      <c r="C69" s="36">
        <f t="shared" si="0"/>
        <v>2531.1284541220371</v>
      </c>
      <c r="D69" s="36">
        <f t="shared" si="1"/>
        <v>478.71897884460225</v>
      </c>
      <c r="E69" s="36">
        <f t="shared" si="2"/>
        <v>2052.4094752774349</v>
      </c>
      <c r="F69" s="37">
        <f t="shared" si="3"/>
        <v>141563.28417810323</v>
      </c>
    </row>
    <row r="70" spans="2:6" x14ac:dyDescent="0.2">
      <c r="B70" s="35">
        <v>59</v>
      </c>
      <c r="C70" s="36">
        <f t="shared" si="0"/>
        <v>2531.1284541220371</v>
      </c>
      <c r="D70" s="36">
        <f t="shared" si="1"/>
        <v>471.87761392701083</v>
      </c>
      <c r="E70" s="36">
        <f t="shared" si="2"/>
        <v>2059.2508401950263</v>
      </c>
      <c r="F70" s="37">
        <f t="shared" si="3"/>
        <v>139504.03333790821</v>
      </c>
    </row>
    <row r="71" spans="2:6" x14ac:dyDescent="0.2">
      <c r="B71" s="35">
        <v>60</v>
      </c>
      <c r="C71" s="36">
        <f t="shared" si="0"/>
        <v>2531.1284541220371</v>
      </c>
      <c r="D71" s="36">
        <f t="shared" si="1"/>
        <v>465.01344445969409</v>
      </c>
      <c r="E71" s="36">
        <f t="shared" si="2"/>
        <v>2066.1150096623428</v>
      </c>
      <c r="F71" s="37">
        <f t="shared" si="3"/>
        <v>137437.91832824587</v>
      </c>
    </row>
    <row r="72" spans="2:6" x14ac:dyDescent="0.2">
      <c r="B72" s="35">
        <v>61</v>
      </c>
      <c r="C72" s="36">
        <f t="shared" si="0"/>
        <v>2531.1284541220371</v>
      </c>
      <c r="D72" s="36">
        <f t="shared" si="1"/>
        <v>458.12639442748628</v>
      </c>
      <c r="E72" s="36">
        <f t="shared" si="2"/>
        <v>2073.0020596945506</v>
      </c>
      <c r="F72" s="37">
        <f t="shared" si="3"/>
        <v>135364.91626855131</v>
      </c>
    </row>
    <row r="73" spans="2:6" x14ac:dyDescent="0.2">
      <c r="B73" s="35">
        <v>62</v>
      </c>
      <c r="C73" s="36">
        <f t="shared" si="0"/>
        <v>2531.1284541220371</v>
      </c>
      <c r="D73" s="36">
        <f t="shared" si="1"/>
        <v>451.21638756183773</v>
      </c>
      <c r="E73" s="36">
        <f t="shared" si="2"/>
        <v>2079.9120665601995</v>
      </c>
      <c r="F73" s="37">
        <f t="shared" si="3"/>
        <v>133285.00420199111</v>
      </c>
    </row>
    <row r="74" spans="2:6" x14ac:dyDescent="0.2">
      <c r="B74" s="35">
        <v>63</v>
      </c>
      <c r="C74" s="36">
        <f t="shared" si="0"/>
        <v>2531.1284541220371</v>
      </c>
      <c r="D74" s="36">
        <f t="shared" si="1"/>
        <v>444.28334733997036</v>
      </c>
      <c r="E74" s="36">
        <f t="shared" si="2"/>
        <v>2086.8451067820665</v>
      </c>
      <c r="F74" s="37">
        <f t="shared" si="3"/>
        <v>131198.15909520903</v>
      </c>
    </row>
    <row r="75" spans="2:6" x14ac:dyDescent="0.2">
      <c r="B75" s="35">
        <v>64</v>
      </c>
      <c r="C75" s="36">
        <f t="shared" si="0"/>
        <v>2531.1284541220371</v>
      </c>
      <c r="D75" s="36">
        <f t="shared" si="1"/>
        <v>437.32719698403014</v>
      </c>
      <c r="E75" s="36">
        <f t="shared" si="2"/>
        <v>2093.8012571380068</v>
      </c>
      <c r="F75" s="37">
        <f t="shared" si="3"/>
        <v>129104.35783807102</v>
      </c>
    </row>
    <row r="76" spans="2:6" x14ac:dyDescent="0.2">
      <c r="B76" s="35">
        <v>65</v>
      </c>
      <c r="C76" s="36">
        <f t="shared" si="0"/>
        <v>2531.1284541220371</v>
      </c>
      <c r="D76" s="36">
        <f t="shared" si="1"/>
        <v>430.34785946023675</v>
      </c>
      <c r="E76" s="36">
        <f t="shared" si="2"/>
        <v>2100.7805946618005</v>
      </c>
      <c r="F76" s="37">
        <f t="shared" si="3"/>
        <v>127003.57724340922</v>
      </c>
    </row>
    <row r="77" spans="2:6" x14ac:dyDescent="0.2">
      <c r="B77" s="35">
        <v>66</v>
      </c>
      <c r="C77" s="36">
        <f t="shared" ref="C77:C131" si="4">$C$8</f>
        <v>2531.1284541220371</v>
      </c>
      <c r="D77" s="36">
        <f t="shared" si="1"/>
        <v>423.34525747803076</v>
      </c>
      <c r="E77" s="36">
        <f t="shared" si="2"/>
        <v>2107.7831966440062</v>
      </c>
      <c r="F77" s="37">
        <f t="shared" si="3"/>
        <v>124895.79404676522</v>
      </c>
    </row>
    <row r="78" spans="2:6" x14ac:dyDescent="0.2">
      <c r="B78" s="35">
        <v>67</v>
      </c>
      <c r="C78" s="36">
        <f t="shared" si="4"/>
        <v>2531.1284541220371</v>
      </c>
      <c r="D78" s="36">
        <f t="shared" ref="D78:D131" si="5">$C$5*F77</f>
        <v>416.31931348921745</v>
      </c>
      <c r="E78" s="36">
        <f t="shared" ref="E78:E131" si="6">C78-D78</f>
        <v>2114.8091406328194</v>
      </c>
      <c r="F78" s="37">
        <f t="shared" ref="F78:F131" si="7">F77-E78</f>
        <v>122780.98490613241</v>
      </c>
    </row>
    <row r="79" spans="2:6" x14ac:dyDescent="0.2">
      <c r="B79" s="35">
        <v>68</v>
      </c>
      <c r="C79" s="36">
        <f t="shared" si="4"/>
        <v>2531.1284541220371</v>
      </c>
      <c r="D79" s="36">
        <f t="shared" si="5"/>
        <v>409.26994968710807</v>
      </c>
      <c r="E79" s="36">
        <f t="shared" si="6"/>
        <v>2121.8585044349288</v>
      </c>
      <c r="F79" s="37">
        <f t="shared" si="7"/>
        <v>120659.12640169747</v>
      </c>
    </row>
    <row r="80" spans="2:6" x14ac:dyDescent="0.2">
      <c r="B80" s="35">
        <v>69</v>
      </c>
      <c r="C80" s="36">
        <f t="shared" si="4"/>
        <v>2531.1284541220371</v>
      </c>
      <c r="D80" s="36">
        <f t="shared" si="5"/>
        <v>402.19708800565826</v>
      </c>
      <c r="E80" s="36">
        <f t="shared" si="6"/>
        <v>2128.9313661163787</v>
      </c>
      <c r="F80" s="37">
        <f t="shared" si="7"/>
        <v>118530.1950355811</v>
      </c>
    </row>
    <row r="81" spans="2:6" x14ac:dyDescent="0.2">
      <c r="B81" s="35">
        <v>70</v>
      </c>
      <c r="C81" s="36">
        <f t="shared" si="4"/>
        <v>2531.1284541220371</v>
      </c>
      <c r="D81" s="36">
        <f t="shared" si="5"/>
        <v>395.10065011860371</v>
      </c>
      <c r="E81" s="36">
        <f t="shared" si="6"/>
        <v>2136.0278040034332</v>
      </c>
      <c r="F81" s="37">
        <f t="shared" si="7"/>
        <v>116394.16723157767</v>
      </c>
    </row>
    <row r="82" spans="2:6" x14ac:dyDescent="0.2">
      <c r="B82" s="35">
        <v>71</v>
      </c>
      <c r="C82" s="36">
        <f t="shared" si="4"/>
        <v>2531.1284541220371</v>
      </c>
      <c r="D82" s="36">
        <f t="shared" si="5"/>
        <v>387.98055743859226</v>
      </c>
      <c r="E82" s="36">
        <f t="shared" si="6"/>
        <v>2143.1478966834447</v>
      </c>
      <c r="F82" s="37">
        <f t="shared" si="7"/>
        <v>114251.01933489423</v>
      </c>
    </row>
    <row r="83" spans="2:6" x14ac:dyDescent="0.2">
      <c r="B83" s="35">
        <v>72</v>
      </c>
      <c r="C83" s="36">
        <f t="shared" si="4"/>
        <v>2531.1284541220371</v>
      </c>
      <c r="D83" s="36">
        <f t="shared" si="5"/>
        <v>380.83673111631413</v>
      </c>
      <c r="E83" s="36">
        <f t="shared" si="6"/>
        <v>2150.2917230057228</v>
      </c>
      <c r="F83" s="37">
        <f t="shared" si="7"/>
        <v>112100.72761188851</v>
      </c>
    </row>
    <row r="84" spans="2:6" x14ac:dyDescent="0.2">
      <c r="B84" s="35">
        <v>73</v>
      </c>
      <c r="C84" s="36">
        <f t="shared" si="4"/>
        <v>2531.1284541220371</v>
      </c>
      <c r="D84" s="36">
        <f t="shared" si="5"/>
        <v>373.66909203962837</v>
      </c>
      <c r="E84" s="36">
        <f t="shared" si="6"/>
        <v>2157.4593620824089</v>
      </c>
      <c r="F84" s="37">
        <f t="shared" si="7"/>
        <v>109943.2682498061</v>
      </c>
    </row>
    <row r="85" spans="2:6" x14ac:dyDescent="0.2">
      <c r="B85" s="35">
        <v>74</v>
      </c>
      <c r="C85" s="36">
        <f t="shared" si="4"/>
        <v>2531.1284541220371</v>
      </c>
      <c r="D85" s="36">
        <f t="shared" si="5"/>
        <v>366.47756083268706</v>
      </c>
      <c r="E85" s="36">
        <f t="shared" si="6"/>
        <v>2164.6508932893498</v>
      </c>
      <c r="F85" s="37">
        <f t="shared" si="7"/>
        <v>107778.61735651676</v>
      </c>
    </row>
    <row r="86" spans="2:6" x14ac:dyDescent="0.2">
      <c r="B86" s="35">
        <v>75</v>
      </c>
      <c r="C86" s="36">
        <f t="shared" si="4"/>
        <v>2531.1284541220371</v>
      </c>
      <c r="D86" s="36">
        <f t="shared" si="5"/>
        <v>359.2620578550559</v>
      </c>
      <c r="E86" s="36">
        <f t="shared" si="6"/>
        <v>2171.8663962669812</v>
      </c>
      <c r="F86" s="37">
        <f t="shared" si="7"/>
        <v>105606.75096024977</v>
      </c>
    </row>
    <row r="87" spans="2:6" x14ac:dyDescent="0.2">
      <c r="B87" s="35">
        <v>76</v>
      </c>
      <c r="C87" s="36">
        <f t="shared" si="4"/>
        <v>2531.1284541220371</v>
      </c>
      <c r="D87" s="36">
        <f t="shared" si="5"/>
        <v>352.0225032008326</v>
      </c>
      <c r="E87" s="36">
        <f t="shared" si="6"/>
        <v>2179.1059509212046</v>
      </c>
      <c r="F87" s="37">
        <f t="shared" si="7"/>
        <v>103427.64500932857</v>
      </c>
    </row>
    <row r="88" spans="2:6" x14ac:dyDescent="0.2">
      <c r="B88" s="35">
        <v>77</v>
      </c>
      <c r="C88" s="36">
        <f t="shared" si="4"/>
        <v>2531.1284541220371</v>
      </c>
      <c r="D88" s="36">
        <f t="shared" si="5"/>
        <v>344.75881669776192</v>
      </c>
      <c r="E88" s="36">
        <f t="shared" si="6"/>
        <v>2186.369637424275</v>
      </c>
      <c r="F88" s="37">
        <f t="shared" si="7"/>
        <v>101241.2753719043</v>
      </c>
    </row>
    <row r="89" spans="2:6" x14ac:dyDescent="0.2">
      <c r="B89" s="35">
        <v>78</v>
      </c>
      <c r="C89" s="36">
        <f t="shared" si="4"/>
        <v>2531.1284541220371</v>
      </c>
      <c r="D89" s="36">
        <f t="shared" si="5"/>
        <v>337.47091790634767</v>
      </c>
      <c r="E89" s="36">
        <f t="shared" si="6"/>
        <v>2193.6575362156896</v>
      </c>
      <c r="F89" s="37">
        <f t="shared" si="7"/>
        <v>99047.617835688608</v>
      </c>
    </row>
    <row r="90" spans="2:6" x14ac:dyDescent="0.2">
      <c r="B90" s="35">
        <v>79</v>
      </c>
      <c r="C90" s="36">
        <f t="shared" si="4"/>
        <v>2531.1284541220371</v>
      </c>
      <c r="D90" s="36">
        <f t="shared" si="5"/>
        <v>330.15872611896202</v>
      </c>
      <c r="E90" s="36">
        <f t="shared" si="6"/>
        <v>2200.969728003075</v>
      </c>
      <c r="F90" s="37">
        <f t="shared" si="7"/>
        <v>96846.648107685527</v>
      </c>
    </row>
    <row r="91" spans="2:6" x14ac:dyDescent="0.2">
      <c r="B91" s="35">
        <v>80</v>
      </c>
      <c r="C91" s="36">
        <f t="shared" si="4"/>
        <v>2531.1284541220371</v>
      </c>
      <c r="D91" s="36">
        <f t="shared" si="5"/>
        <v>322.82216035895181</v>
      </c>
      <c r="E91" s="36">
        <f t="shared" si="6"/>
        <v>2208.3062937630853</v>
      </c>
      <c r="F91" s="37">
        <f t="shared" si="7"/>
        <v>94638.341813922438</v>
      </c>
    </row>
    <row r="92" spans="2:6" x14ac:dyDescent="0.2">
      <c r="B92" s="35">
        <v>81</v>
      </c>
      <c r="C92" s="36">
        <f t="shared" si="4"/>
        <v>2531.1284541220371</v>
      </c>
      <c r="D92" s="36">
        <f t="shared" si="5"/>
        <v>315.4611393797415</v>
      </c>
      <c r="E92" s="36">
        <f t="shared" si="6"/>
        <v>2215.6673147422957</v>
      </c>
      <c r="F92" s="37">
        <f t="shared" si="7"/>
        <v>92422.674499180139</v>
      </c>
    </row>
    <row r="93" spans="2:6" x14ac:dyDescent="0.2">
      <c r="B93" s="35">
        <v>82</v>
      </c>
      <c r="C93" s="36">
        <f t="shared" si="4"/>
        <v>2531.1284541220371</v>
      </c>
      <c r="D93" s="36">
        <f t="shared" si="5"/>
        <v>308.0755816639338</v>
      </c>
      <c r="E93" s="36">
        <f t="shared" si="6"/>
        <v>2223.0528724581031</v>
      </c>
      <c r="F93" s="37">
        <f t="shared" si="7"/>
        <v>90199.62162672203</v>
      </c>
    </row>
    <row r="94" spans="2:6" x14ac:dyDescent="0.2">
      <c r="B94" s="35">
        <v>83</v>
      </c>
      <c r="C94" s="36">
        <f t="shared" si="4"/>
        <v>2531.1284541220371</v>
      </c>
      <c r="D94" s="36">
        <f t="shared" si="5"/>
        <v>300.66540542240676</v>
      </c>
      <c r="E94" s="36">
        <f t="shared" si="6"/>
        <v>2230.4630486996302</v>
      </c>
      <c r="F94" s="37">
        <f t="shared" si="7"/>
        <v>87969.158578022398</v>
      </c>
    </row>
    <row r="95" spans="2:6" x14ac:dyDescent="0.2">
      <c r="B95" s="35">
        <v>84</v>
      </c>
      <c r="C95" s="36">
        <f t="shared" si="4"/>
        <v>2531.1284541220371</v>
      </c>
      <c r="D95" s="36">
        <f t="shared" si="5"/>
        <v>293.230528593408</v>
      </c>
      <c r="E95" s="36">
        <f t="shared" si="6"/>
        <v>2237.897925528629</v>
      </c>
      <c r="F95" s="37">
        <f t="shared" si="7"/>
        <v>85731.260652493773</v>
      </c>
    </row>
    <row r="96" spans="2:6" x14ac:dyDescent="0.2">
      <c r="B96" s="35">
        <v>85</v>
      </c>
      <c r="C96" s="36">
        <f t="shared" si="4"/>
        <v>2531.1284541220371</v>
      </c>
      <c r="D96" s="36">
        <f t="shared" si="5"/>
        <v>285.77086884164595</v>
      </c>
      <c r="E96" s="36">
        <f t="shared" si="6"/>
        <v>2245.357585280391</v>
      </c>
      <c r="F96" s="37">
        <f t="shared" si="7"/>
        <v>83485.903067213381</v>
      </c>
    </row>
    <row r="97" spans="2:6" x14ac:dyDescent="0.2">
      <c r="B97" s="35">
        <v>86</v>
      </c>
      <c r="C97" s="36">
        <f t="shared" si="4"/>
        <v>2531.1284541220371</v>
      </c>
      <c r="D97" s="36">
        <f t="shared" si="5"/>
        <v>278.28634355737796</v>
      </c>
      <c r="E97" s="36">
        <f t="shared" si="6"/>
        <v>2252.8421105646589</v>
      </c>
      <c r="F97" s="37">
        <f t="shared" si="7"/>
        <v>81233.060956648726</v>
      </c>
    </row>
    <row r="98" spans="2:6" x14ac:dyDescent="0.2">
      <c r="B98" s="35">
        <v>87</v>
      </c>
      <c r="C98" s="36">
        <f t="shared" si="4"/>
        <v>2531.1284541220371</v>
      </c>
      <c r="D98" s="36">
        <f t="shared" si="5"/>
        <v>270.77686985549576</v>
      </c>
      <c r="E98" s="36">
        <f t="shared" si="6"/>
        <v>2260.3515842665411</v>
      </c>
      <c r="F98" s="37">
        <f t="shared" si="7"/>
        <v>78972.709372382189</v>
      </c>
    </row>
    <row r="99" spans="2:6" x14ac:dyDescent="0.2">
      <c r="B99" s="35">
        <v>88</v>
      </c>
      <c r="C99" s="36">
        <f t="shared" si="4"/>
        <v>2531.1284541220371</v>
      </c>
      <c r="D99" s="36">
        <f t="shared" si="5"/>
        <v>263.24236457460734</v>
      </c>
      <c r="E99" s="36">
        <f t="shared" si="6"/>
        <v>2267.8860895474299</v>
      </c>
      <c r="F99" s="37">
        <f t="shared" si="7"/>
        <v>76704.823282834754</v>
      </c>
    </row>
    <row r="100" spans="2:6" x14ac:dyDescent="0.2">
      <c r="B100" s="35">
        <v>89</v>
      </c>
      <c r="C100" s="36">
        <f t="shared" si="4"/>
        <v>2531.1284541220371</v>
      </c>
      <c r="D100" s="36">
        <f t="shared" si="5"/>
        <v>255.68274427611587</v>
      </c>
      <c r="E100" s="36">
        <f t="shared" si="6"/>
        <v>2275.4457098459211</v>
      </c>
      <c r="F100" s="37">
        <f t="shared" si="7"/>
        <v>74429.377572988829</v>
      </c>
    </row>
    <row r="101" spans="2:6" x14ac:dyDescent="0.2">
      <c r="B101" s="35">
        <v>90</v>
      </c>
      <c r="C101" s="36">
        <f t="shared" si="4"/>
        <v>2531.1284541220371</v>
      </c>
      <c r="D101" s="36">
        <f t="shared" si="5"/>
        <v>248.09792524329612</v>
      </c>
      <c r="E101" s="36">
        <f t="shared" si="6"/>
        <v>2283.0305288787408</v>
      </c>
      <c r="F101" s="37">
        <f t="shared" si="7"/>
        <v>72146.347044110094</v>
      </c>
    </row>
    <row r="102" spans="2:6" x14ac:dyDescent="0.2">
      <c r="B102" s="35">
        <v>91</v>
      </c>
      <c r="C102" s="36">
        <f t="shared" si="4"/>
        <v>2531.1284541220371</v>
      </c>
      <c r="D102" s="36">
        <f t="shared" si="5"/>
        <v>240.48782348036698</v>
      </c>
      <c r="E102" s="36">
        <f t="shared" si="6"/>
        <v>2290.6406306416702</v>
      </c>
      <c r="F102" s="37">
        <f t="shared" si="7"/>
        <v>69855.706413468419</v>
      </c>
    </row>
    <row r="103" spans="2:6" x14ac:dyDescent="0.2">
      <c r="B103" s="35">
        <v>92</v>
      </c>
      <c r="C103" s="36">
        <f t="shared" si="4"/>
        <v>2531.1284541220371</v>
      </c>
      <c r="D103" s="36">
        <f t="shared" si="5"/>
        <v>232.85235471156142</v>
      </c>
      <c r="E103" s="36">
        <f t="shared" si="6"/>
        <v>2298.2760994104756</v>
      </c>
      <c r="F103" s="37">
        <f t="shared" si="7"/>
        <v>67557.430314057943</v>
      </c>
    </row>
    <row r="104" spans="2:6" x14ac:dyDescent="0.2">
      <c r="B104" s="35">
        <v>93</v>
      </c>
      <c r="C104" s="36">
        <f t="shared" si="4"/>
        <v>2531.1284541220371</v>
      </c>
      <c r="D104" s="36">
        <f t="shared" si="5"/>
        <v>225.19143438019316</v>
      </c>
      <c r="E104" s="36">
        <f t="shared" si="6"/>
        <v>2305.9370197418439</v>
      </c>
      <c r="F104" s="37">
        <f t="shared" si="7"/>
        <v>65251.493294316097</v>
      </c>
    </row>
    <row r="105" spans="2:6" x14ac:dyDescent="0.2">
      <c r="B105" s="35">
        <v>94</v>
      </c>
      <c r="C105" s="36">
        <f t="shared" si="4"/>
        <v>2531.1284541220371</v>
      </c>
      <c r="D105" s="36">
        <f t="shared" si="5"/>
        <v>217.50497764772032</v>
      </c>
      <c r="E105" s="36">
        <f t="shared" si="6"/>
        <v>2313.6234764743167</v>
      </c>
      <c r="F105" s="37">
        <f t="shared" si="7"/>
        <v>62937.869817841784</v>
      </c>
    </row>
    <row r="106" spans="2:6" x14ac:dyDescent="0.2">
      <c r="B106" s="35">
        <v>95</v>
      </c>
      <c r="C106" s="36">
        <f t="shared" si="4"/>
        <v>2531.1284541220371</v>
      </c>
      <c r="D106" s="36">
        <f t="shared" si="5"/>
        <v>209.79289939280596</v>
      </c>
      <c r="E106" s="36">
        <f t="shared" si="6"/>
        <v>2321.3355547292313</v>
      </c>
      <c r="F106" s="37">
        <f t="shared" si="7"/>
        <v>60616.534263112553</v>
      </c>
    </row>
    <row r="107" spans="2:6" x14ac:dyDescent="0.2">
      <c r="B107" s="35">
        <v>96</v>
      </c>
      <c r="C107" s="36">
        <f t="shared" si="4"/>
        <v>2531.1284541220371</v>
      </c>
      <c r="D107" s="36">
        <f t="shared" si="5"/>
        <v>202.05511421037519</v>
      </c>
      <c r="E107" s="36">
        <f t="shared" si="6"/>
        <v>2329.0733399116621</v>
      </c>
      <c r="F107" s="37">
        <f t="shared" si="7"/>
        <v>58287.460923200888</v>
      </c>
    </row>
    <row r="108" spans="2:6" x14ac:dyDescent="0.2">
      <c r="B108" s="35">
        <v>97</v>
      </c>
      <c r="C108" s="36">
        <f t="shared" si="4"/>
        <v>2531.1284541220371</v>
      </c>
      <c r="D108" s="36">
        <f t="shared" si="5"/>
        <v>194.29153641066964</v>
      </c>
      <c r="E108" s="36">
        <f t="shared" si="6"/>
        <v>2336.8369177113673</v>
      </c>
      <c r="F108" s="37">
        <f t="shared" si="7"/>
        <v>55950.624005489517</v>
      </c>
    </row>
    <row r="109" spans="2:6" x14ac:dyDescent="0.2">
      <c r="B109" s="35">
        <v>98</v>
      </c>
      <c r="C109" s="36">
        <f t="shared" si="4"/>
        <v>2531.1284541220371</v>
      </c>
      <c r="D109" s="36">
        <f t="shared" si="5"/>
        <v>186.50208001829841</v>
      </c>
      <c r="E109" s="36">
        <f t="shared" si="6"/>
        <v>2344.6263741037387</v>
      </c>
      <c r="F109" s="37">
        <f t="shared" si="7"/>
        <v>53605.997631385777</v>
      </c>
    </row>
    <row r="110" spans="2:6" x14ac:dyDescent="0.2">
      <c r="B110" s="35">
        <v>99</v>
      </c>
      <c r="C110" s="36">
        <f t="shared" si="4"/>
        <v>2531.1284541220371</v>
      </c>
      <c r="D110" s="36">
        <f t="shared" si="5"/>
        <v>178.68665877128595</v>
      </c>
      <c r="E110" s="36">
        <f t="shared" si="6"/>
        <v>2352.4417953507509</v>
      </c>
      <c r="F110" s="37">
        <f t="shared" si="7"/>
        <v>51253.555836035026</v>
      </c>
    </row>
    <row r="111" spans="2:6" x14ac:dyDescent="0.2">
      <c r="B111" s="35">
        <v>100</v>
      </c>
      <c r="C111" s="36">
        <f t="shared" si="4"/>
        <v>2531.1284541220371</v>
      </c>
      <c r="D111" s="36">
        <f t="shared" si="5"/>
        <v>170.84518612011675</v>
      </c>
      <c r="E111" s="36">
        <f t="shared" si="6"/>
        <v>2360.2832680019201</v>
      </c>
      <c r="F111" s="37">
        <f t="shared" si="7"/>
        <v>48893.272568033106</v>
      </c>
    </row>
    <row r="112" spans="2:6" x14ac:dyDescent="0.2">
      <c r="B112" s="35">
        <v>101</v>
      </c>
      <c r="C112" s="36">
        <f t="shared" si="4"/>
        <v>2531.1284541220371</v>
      </c>
      <c r="D112" s="36">
        <f t="shared" si="5"/>
        <v>162.97757522677702</v>
      </c>
      <c r="E112" s="36">
        <f t="shared" si="6"/>
        <v>2368.1508788952601</v>
      </c>
      <c r="F112" s="37">
        <f t="shared" si="7"/>
        <v>46525.121689137843</v>
      </c>
    </row>
    <row r="113" spans="2:6" x14ac:dyDescent="0.2">
      <c r="B113" s="35">
        <v>102</v>
      </c>
      <c r="C113" s="36">
        <f t="shared" si="4"/>
        <v>2531.1284541220371</v>
      </c>
      <c r="D113" s="36">
        <f t="shared" si="5"/>
        <v>155.08373896379283</v>
      </c>
      <c r="E113" s="36">
        <f t="shared" si="6"/>
        <v>2376.0447151582443</v>
      </c>
      <c r="F113" s="37">
        <f t="shared" si="7"/>
        <v>44149.076973979601</v>
      </c>
    </row>
    <row r="114" spans="2:6" x14ac:dyDescent="0.2">
      <c r="B114" s="35">
        <v>103</v>
      </c>
      <c r="C114" s="36">
        <f t="shared" si="4"/>
        <v>2531.1284541220371</v>
      </c>
      <c r="D114" s="36">
        <f t="shared" si="5"/>
        <v>147.16358991326535</v>
      </c>
      <c r="E114" s="36">
        <f t="shared" si="6"/>
        <v>2383.9648642087718</v>
      </c>
      <c r="F114" s="37">
        <f t="shared" si="7"/>
        <v>41765.112109770831</v>
      </c>
    </row>
    <row r="115" spans="2:6" x14ac:dyDescent="0.2">
      <c r="B115" s="35">
        <v>104</v>
      </c>
      <c r="C115" s="36">
        <f t="shared" si="4"/>
        <v>2531.1284541220371</v>
      </c>
      <c r="D115" s="36">
        <f t="shared" si="5"/>
        <v>139.21704036590279</v>
      </c>
      <c r="E115" s="36">
        <f t="shared" si="6"/>
        <v>2391.9114137561342</v>
      </c>
      <c r="F115" s="37">
        <f t="shared" si="7"/>
        <v>39373.200696014697</v>
      </c>
    </row>
    <row r="116" spans="2:6" x14ac:dyDescent="0.2">
      <c r="B116" s="35">
        <v>105</v>
      </c>
      <c r="C116" s="36">
        <f t="shared" si="4"/>
        <v>2531.1284541220371</v>
      </c>
      <c r="D116" s="36">
        <f t="shared" si="5"/>
        <v>131.24400232004899</v>
      </c>
      <c r="E116" s="36">
        <f t="shared" si="6"/>
        <v>2399.8844518019882</v>
      </c>
      <c r="F116" s="37">
        <f t="shared" si="7"/>
        <v>36973.316244212707</v>
      </c>
    </row>
    <row r="117" spans="2:6" x14ac:dyDescent="0.2">
      <c r="B117" s="35">
        <v>106</v>
      </c>
      <c r="C117" s="36">
        <f t="shared" si="4"/>
        <v>2531.1284541220371</v>
      </c>
      <c r="D117" s="36">
        <f t="shared" si="5"/>
        <v>123.24438748070904</v>
      </c>
      <c r="E117" s="36">
        <f t="shared" si="6"/>
        <v>2407.884066641328</v>
      </c>
      <c r="F117" s="37">
        <f t="shared" si="7"/>
        <v>34565.432177571376</v>
      </c>
    </row>
    <row r="118" spans="2:6" x14ac:dyDescent="0.2">
      <c r="B118" s="35">
        <v>107</v>
      </c>
      <c r="C118" s="36">
        <f t="shared" si="4"/>
        <v>2531.1284541220371</v>
      </c>
      <c r="D118" s="36">
        <f t="shared" si="5"/>
        <v>115.21810725857127</v>
      </c>
      <c r="E118" s="36">
        <f t="shared" si="6"/>
        <v>2415.9103468634657</v>
      </c>
      <c r="F118" s="37">
        <f t="shared" si="7"/>
        <v>32149.521830707912</v>
      </c>
    </row>
    <row r="119" spans="2:6" x14ac:dyDescent="0.2">
      <c r="B119" s="35">
        <v>108</v>
      </c>
      <c r="C119" s="36">
        <f t="shared" si="4"/>
        <v>2531.1284541220371</v>
      </c>
      <c r="D119" s="36">
        <f t="shared" si="5"/>
        <v>107.16507276902638</v>
      </c>
      <c r="E119" s="36">
        <f t="shared" si="6"/>
        <v>2423.9633813530108</v>
      </c>
      <c r="F119" s="37">
        <f t="shared" si="7"/>
        <v>29725.558449354903</v>
      </c>
    </row>
    <row r="120" spans="2:6" x14ac:dyDescent="0.2">
      <c r="B120" s="35">
        <v>109</v>
      </c>
      <c r="C120" s="36">
        <f t="shared" si="4"/>
        <v>2531.1284541220371</v>
      </c>
      <c r="D120" s="36">
        <f t="shared" si="5"/>
        <v>99.085194831183017</v>
      </c>
      <c r="E120" s="36">
        <f t="shared" si="6"/>
        <v>2432.0432592908542</v>
      </c>
      <c r="F120" s="37">
        <f t="shared" si="7"/>
        <v>27293.515190064049</v>
      </c>
    </row>
    <row r="121" spans="2:6" x14ac:dyDescent="0.2">
      <c r="B121" s="35">
        <v>110</v>
      </c>
      <c r="C121" s="36">
        <f t="shared" si="4"/>
        <v>2531.1284541220371</v>
      </c>
      <c r="D121" s="36">
        <f t="shared" si="5"/>
        <v>90.978383966880173</v>
      </c>
      <c r="E121" s="36">
        <f t="shared" si="6"/>
        <v>2440.1500701551568</v>
      </c>
      <c r="F121" s="37">
        <f t="shared" si="7"/>
        <v>24853.365119908893</v>
      </c>
    </row>
    <row r="122" spans="2:6" x14ac:dyDescent="0.2">
      <c r="B122" s="35">
        <v>111</v>
      </c>
      <c r="C122" s="36">
        <f t="shared" si="4"/>
        <v>2531.1284541220371</v>
      </c>
      <c r="D122" s="36">
        <f t="shared" si="5"/>
        <v>82.844550399696317</v>
      </c>
      <c r="E122" s="36">
        <f t="shared" si="6"/>
        <v>2448.2839037223407</v>
      </c>
      <c r="F122" s="37">
        <f t="shared" si="7"/>
        <v>22405.081216186551</v>
      </c>
    </row>
    <row r="123" spans="2:6" x14ac:dyDescent="0.2">
      <c r="B123" s="35">
        <v>112</v>
      </c>
      <c r="C123" s="36">
        <f t="shared" si="4"/>
        <v>2531.1284541220371</v>
      </c>
      <c r="D123" s="36">
        <f t="shared" si="5"/>
        <v>74.683604053955179</v>
      </c>
      <c r="E123" s="36">
        <f t="shared" si="6"/>
        <v>2456.4448500680819</v>
      </c>
      <c r="F123" s="37">
        <f t="shared" si="7"/>
        <v>19948.63636611847</v>
      </c>
    </row>
    <row r="124" spans="2:6" x14ac:dyDescent="0.2">
      <c r="B124" s="35">
        <v>113</v>
      </c>
      <c r="C124" s="36">
        <f t="shared" si="4"/>
        <v>2531.1284541220371</v>
      </c>
      <c r="D124" s="36">
        <f t="shared" si="5"/>
        <v>66.495454553728237</v>
      </c>
      <c r="E124" s="36">
        <f t="shared" si="6"/>
        <v>2464.6329995683086</v>
      </c>
      <c r="F124" s="37">
        <f t="shared" si="7"/>
        <v>17484.003366550161</v>
      </c>
    </row>
    <row r="125" spans="2:6" x14ac:dyDescent="0.2">
      <c r="B125" s="35">
        <v>114</v>
      </c>
      <c r="C125" s="36">
        <f t="shared" si="4"/>
        <v>2531.1284541220371</v>
      </c>
      <c r="D125" s="36">
        <f t="shared" si="5"/>
        <v>58.280011221833874</v>
      </c>
      <c r="E125" s="36">
        <f t="shared" si="6"/>
        <v>2472.8484429002033</v>
      </c>
      <c r="F125" s="37">
        <f t="shared" si="7"/>
        <v>15011.154923649958</v>
      </c>
    </row>
    <row r="126" spans="2:6" x14ac:dyDescent="0.2">
      <c r="B126" s="35">
        <v>115</v>
      </c>
      <c r="C126" s="36">
        <f t="shared" si="4"/>
        <v>2531.1284541220371</v>
      </c>
      <c r="D126" s="36">
        <f t="shared" si="5"/>
        <v>50.037183078833195</v>
      </c>
      <c r="E126" s="36">
        <f t="shared" si="6"/>
        <v>2481.091271043204</v>
      </c>
      <c r="F126" s="37">
        <f t="shared" si="7"/>
        <v>12530.063652606754</v>
      </c>
    </row>
    <row r="127" spans="2:6" x14ac:dyDescent="0.2">
      <c r="B127" s="35">
        <v>116</v>
      </c>
      <c r="C127" s="36">
        <f t="shared" si="4"/>
        <v>2531.1284541220371</v>
      </c>
      <c r="D127" s="36">
        <f t="shared" si="5"/>
        <v>41.766878842022514</v>
      </c>
      <c r="E127" s="36">
        <f t="shared" si="6"/>
        <v>2489.3615752800147</v>
      </c>
      <c r="F127" s="37">
        <f t="shared" si="7"/>
        <v>10040.70207732674</v>
      </c>
    </row>
    <row r="128" spans="2:6" x14ac:dyDescent="0.2">
      <c r="B128" s="35">
        <v>117</v>
      </c>
      <c r="C128" s="36">
        <f t="shared" si="4"/>
        <v>2531.1284541220371</v>
      </c>
      <c r="D128" s="36">
        <f t="shared" si="5"/>
        <v>33.469006924422466</v>
      </c>
      <c r="E128" s="36">
        <f t="shared" si="6"/>
        <v>2497.6594471976146</v>
      </c>
      <c r="F128" s="37">
        <f t="shared" si="7"/>
        <v>7543.0426301291245</v>
      </c>
    </row>
    <row r="129" spans="2:6" x14ac:dyDescent="0.2">
      <c r="B129" s="35">
        <v>118</v>
      </c>
      <c r="C129" s="36">
        <f t="shared" si="4"/>
        <v>2531.1284541220371</v>
      </c>
      <c r="D129" s="36">
        <f t="shared" si="5"/>
        <v>25.143475433763751</v>
      </c>
      <c r="E129" s="36">
        <f t="shared" si="6"/>
        <v>2505.9849786882733</v>
      </c>
      <c r="F129" s="37">
        <f t="shared" si="7"/>
        <v>5037.0576514408513</v>
      </c>
    </row>
    <row r="130" spans="2:6" x14ac:dyDescent="0.2">
      <c r="B130" s="35">
        <v>119</v>
      </c>
      <c r="C130" s="36">
        <f t="shared" si="4"/>
        <v>2531.1284541220371</v>
      </c>
      <c r="D130" s="36">
        <f t="shared" si="5"/>
        <v>16.790192171469506</v>
      </c>
      <c r="E130" s="36">
        <f t="shared" si="6"/>
        <v>2514.3382619505674</v>
      </c>
      <c r="F130" s="37">
        <f t="shared" si="7"/>
        <v>2522.7193894902839</v>
      </c>
    </row>
    <row r="131" spans="2:6" ht="17" thickBot="1" x14ac:dyDescent="0.25">
      <c r="B131" s="38">
        <v>120</v>
      </c>
      <c r="C131" s="39">
        <f t="shared" si="4"/>
        <v>2531.1284541220371</v>
      </c>
      <c r="D131" s="39">
        <f t="shared" si="5"/>
        <v>8.4090646316342799</v>
      </c>
      <c r="E131" s="39">
        <f t="shared" si="6"/>
        <v>2522.7193894904026</v>
      </c>
      <c r="F131" s="40">
        <f t="shared" si="7"/>
        <v>-1.1868905858136714E-10</v>
      </c>
    </row>
    <row r="132" spans="2:6" x14ac:dyDescent="0.2">
      <c r="D132" s="71">
        <f>SUM(D12:D131)</f>
        <v>53735.414494644421</v>
      </c>
    </row>
  </sheetData>
  <mergeCells count="2">
    <mergeCell ref="B2:C2"/>
    <mergeCell ref="B10:F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177D0-3007-1D40-AA59-AE976F1E6B5B}">
  <dimension ref="B2:L24"/>
  <sheetViews>
    <sheetView zoomScale="165" workbookViewId="0">
      <selection activeCell="H12" sqref="H12"/>
    </sheetView>
  </sheetViews>
  <sheetFormatPr baseColWidth="10" defaultRowHeight="16" x14ac:dyDescent="0.2"/>
  <cols>
    <col min="1" max="1" width="6" style="1" customWidth="1"/>
    <col min="2" max="2" width="14.33203125" style="1" bestFit="1" customWidth="1"/>
    <col min="3" max="3" width="13.1640625" style="1" customWidth="1"/>
    <col min="4" max="4" width="13" style="1" bestFit="1" customWidth="1"/>
    <col min="5" max="5" width="13.83203125" style="1" customWidth="1"/>
    <col min="6" max="6" width="14.5" style="1" customWidth="1"/>
    <col min="7" max="7" width="12.5" style="1" bestFit="1" customWidth="1"/>
    <col min="8" max="9" width="6.1640625" style="1" customWidth="1"/>
    <col min="10" max="11" width="10.83203125" style="1"/>
    <col min="12" max="12" width="11.83203125" style="1" bestFit="1" customWidth="1"/>
    <col min="13" max="16384" width="10.83203125" style="1"/>
  </cols>
  <sheetData>
    <row r="2" spans="2:12" ht="20" thickBot="1" x14ac:dyDescent="0.3">
      <c r="B2" s="92" t="s">
        <v>19</v>
      </c>
      <c r="C2" s="93"/>
      <c r="D2" s="93"/>
      <c r="E2" s="93"/>
      <c r="F2" s="93"/>
      <c r="G2" s="93"/>
      <c r="H2" s="3"/>
      <c r="I2" s="92" t="s">
        <v>20</v>
      </c>
      <c r="J2" s="92"/>
      <c r="K2" s="92"/>
      <c r="L2" s="92"/>
    </row>
    <row r="3" spans="2:12" ht="18" customHeight="1" x14ac:dyDescent="0.2">
      <c r="B3" s="7" t="s">
        <v>21</v>
      </c>
      <c r="C3" s="8" t="s">
        <v>22</v>
      </c>
      <c r="D3" s="8" t="s">
        <v>23</v>
      </c>
      <c r="E3" s="8" t="s">
        <v>24</v>
      </c>
      <c r="F3" s="8" t="s">
        <v>25</v>
      </c>
      <c r="G3" s="9" t="s">
        <v>26</v>
      </c>
      <c r="H3" s="10"/>
      <c r="I3" s="94" t="s">
        <v>27</v>
      </c>
      <c r="J3" s="95"/>
      <c r="K3" s="95"/>
      <c r="L3" s="12">
        <f>SUM(F4:F10)</f>
        <v>13480</v>
      </c>
    </row>
    <row r="4" spans="2:12" x14ac:dyDescent="0.2">
      <c r="B4" s="13" t="s">
        <v>39</v>
      </c>
      <c r="C4" s="1">
        <v>380</v>
      </c>
      <c r="D4" s="1">
        <v>100</v>
      </c>
      <c r="E4" s="1">
        <v>10</v>
      </c>
      <c r="F4" s="1">
        <f t="shared" ref="F4:F10" si="0">C4*E4</f>
        <v>3800</v>
      </c>
      <c r="G4" s="14">
        <f>D4*E4</f>
        <v>1000</v>
      </c>
      <c r="I4" s="96" t="s">
        <v>28</v>
      </c>
      <c r="J4" s="97"/>
      <c r="K4" s="97"/>
      <c r="L4" s="16">
        <f>SUM(G4:G10)</f>
        <v>3360</v>
      </c>
    </row>
    <row r="5" spans="2:12" x14ac:dyDescent="0.2">
      <c r="B5" s="13" t="s">
        <v>40</v>
      </c>
      <c r="C5" s="1">
        <v>100</v>
      </c>
      <c r="D5" s="1">
        <v>35</v>
      </c>
      <c r="E5" s="1">
        <v>10</v>
      </c>
      <c r="F5" s="1">
        <f t="shared" si="0"/>
        <v>1000</v>
      </c>
      <c r="G5" s="14">
        <f t="shared" ref="G5:G10" si="1">D5*E5</f>
        <v>350</v>
      </c>
      <c r="I5" s="17"/>
      <c r="J5" s="18" t="s">
        <v>43</v>
      </c>
      <c r="K5" s="18"/>
      <c r="L5" s="14">
        <v>10</v>
      </c>
    </row>
    <row r="6" spans="2:12" ht="17" thickBot="1" x14ac:dyDescent="0.25">
      <c r="B6" s="13" t="s">
        <v>29</v>
      </c>
      <c r="C6" s="1">
        <v>150</v>
      </c>
      <c r="D6" s="1">
        <v>35</v>
      </c>
      <c r="E6" s="1">
        <v>10</v>
      </c>
      <c r="F6" s="1">
        <f t="shared" si="0"/>
        <v>1500</v>
      </c>
      <c r="G6" s="14">
        <f t="shared" si="1"/>
        <v>350</v>
      </c>
      <c r="I6" s="98" t="s">
        <v>30</v>
      </c>
      <c r="J6" s="99"/>
      <c r="K6" s="99"/>
      <c r="L6" s="19">
        <f>(L3-L4)/10</f>
        <v>1012</v>
      </c>
    </row>
    <row r="7" spans="2:12" x14ac:dyDescent="0.2">
      <c r="B7" s="13" t="s">
        <v>31</v>
      </c>
      <c r="C7" s="1">
        <v>285</v>
      </c>
      <c r="D7" s="1">
        <v>100</v>
      </c>
      <c r="E7" s="1">
        <v>12</v>
      </c>
      <c r="F7" s="1">
        <f t="shared" si="0"/>
        <v>3420</v>
      </c>
      <c r="G7" s="14">
        <f t="shared" si="1"/>
        <v>1200</v>
      </c>
    </row>
    <row r="8" spans="2:12" x14ac:dyDescent="0.2">
      <c r="B8" s="13" t="s">
        <v>55</v>
      </c>
      <c r="C8" s="1">
        <v>160</v>
      </c>
      <c r="D8" s="1">
        <v>15</v>
      </c>
      <c r="E8" s="1">
        <v>14</v>
      </c>
      <c r="F8" s="1">
        <f t="shared" si="0"/>
        <v>2240</v>
      </c>
      <c r="G8" s="14">
        <f t="shared" si="1"/>
        <v>210</v>
      </c>
    </row>
    <row r="9" spans="2:12" x14ac:dyDescent="0.2">
      <c r="B9" s="13" t="s">
        <v>41</v>
      </c>
      <c r="C9" s="1">
        <v>65</v>
      </c>
      <c r="D9" s="1">
        <v>0</v>
      </c>
      <c r="E9" s="1">
        <v>8</v>
      </c>
      <c r="F9" s="1">
        <f t="shared" si="0"/>
        <v>520</v>
      </c>
      <c r="G9" s="14">
        <f t="shared" si="1"/>
        <v>0</v>
      </c>
    </row>
    <row r="10" spans="2:12" ht="17" thickBot="1" x14ac:dyDescent="0.25">
      <c r="B10" s="20" t="s">
        <v>42</v>
      </c>
      <c r="C10" s="4">
        <v>100</v>
      </c>
      <c r="D10" s="4">
        <v>25</v>
      </c>
      <c r="E10" s="4">
        <v>10</v>
      </c>
      <c r="F10" s="4">
        <f t="shared" si="0"/>
        <v>1000</v>
      </c>
      <c r="G10" s="21">
        <f t="shared" si="1"/>
        <v>250</v>
      </c>
    </row>
    <row r="11" spans="2:12" x14ac:dyDescent="0.2">
      <c r="B11" s="15"/>
      <c r="C11" s="15"/>
      <c r="D11" s="15"/>
      <c r="E11" s="22"/>
    </row>
    <row r="12" spans="2:12" ht="20" thickBot="1" x14ac:dyDescent="0.3">
      <c r="B12" s="92" t="s">
        <v>32</v>
      </c>
      <c r="C12" s="100"/>
      <c r="D12" s="100"/>
      <c r="E12" s="100"/>
      <c r="F12" s="100"/>
    </row>
    <row r="13" spans="2:12" x14ac:dyDescent="0.2">
      <c r="B13" s="7"/>
      <c r="C13" s="11" t="s">
        <v>33</v>
      </c>
      <c r="D13" s="11" t="s">
        <v>34</v>
      </c>
      <c r="E13" s="11" t="s">
        <v>44</v>
      </c>
      <c r="F13" s="23" t="s">
        <v>33</v>
      </c>
    </row>
    <row r="14" spans="2:12" x14ac:dyDescent="0.2">
      <c r="B14" s="17" t="s">
        <v>14</v>
      </c>
      <c r="C14" s="15" t="s">
        <v>35</v>
      </c>
      <c r="D14" s="15" t="s">
        <v>36</v>
      </c>
      <c r="E14" s="15" t="s">
        <v>37</v>
      </c>
      <c r="F14" s="24" t="s">
        <v>38</v>
      </c>
    </row>
    <row r="15" spans="2:12" x14ac:dyDescent="0.2">
      <c r="B15" s="13">
        <v>1</v>
      </c>
      <c r="C15" s="25">
        <f>L3</f>
        <v>13480</v>
      </c>
      <c r="D15" s="22">
        <f t="shared" ref="D15:D24" si="2">$L$6</f>
        <v>1012</v>
      </c>
      <c r="E15" s="22">
        <f>D15</f>
        <v>1012</v>
      </c>
      <c r="F15" s="26">
        <f>C15-D15</f>
        <v>12468</v>
      </c>
    </row>
    <row r="16" spans="2:12" x14ac:dyDescent="0.2">
      <c r="B16" s="13">
        <v>2</v>
      </c>
      <c r="C16" s="22">
        <f>F15</f>
        <v>12468</v>
      </c>
      <c r="D16" s="22">
        <f t="shared" si="2"/>
        <v>1012</v>
      </c>
      <c r="E16" s="22">
        <f>E15+D16</f>
        <v>2024</v>
      </c>
      <c r="F16" s="26">
        <f>C16-D16</f>
        <v>11456</v>
      </c>
    </row>
    <row r="17" spans="2:6" x14ac:dyDescent="0.2">
      <c r="B17" s="13">
        <v>3</v>
      </c>
      <c r="C17" s="22">
        <f t="shared" ref="C17:C24" si="3">F16</f>
        <v>11456</v>
      </c>
      <c r="D17" s="22">
        <f t="shared" si="2"/>
        <v>1012</v>
      </c>
      <c r="E17" s="22">
        <f t="shared" ref="E17:E24" si="4">E16+D17</f>
        <v>3036</v>
      </c>
      <c r="F17" s="26">
        <f t="shared" ref="F17:F24" si="5">C17-D17</f>
        <v>10444</v>
      </c>
    </row>
    <row r="18" spans="2:6" x14ac:dyDescent="0.2">
      <c r="B18" s="13">
        <v>4</v>
      </c>
      <c r="C18" s="22">
        <f t="shared" si="3"/>
        <v>10444</v>
      </c>
      <c r="D18" s="22">
        <f t="shared" si="2"/>
        <v>1012</v>
      </c>
      <c r="E18" s="22">
        <f t="shared" si="4"/>
        <v>4048</v>
      </c>
      <c r="F18" s="26">
        <f t="shared" si="5"/>
        <v>9432</v>
      </c>
    </row>
    <row r="19" spans="2:6" x14ac:dyDescent="0.2">
      <c r="B19" s="13">
        <v>5</v>
      </c>
      <c r="C19" s="22">
        <f t="shared" si="3"/>
        <v>9432</v>
      </c>
      <c r="D19" s="22">
        <f t="shared" si="2"/>
        <v>1012</v>
      </c>
      <c r="E19" s="22">
        <f t="shared" si="4"/>
        <v>5060</v>
      </c>
      <c r="F19" s="26">
        <f t="shared" si="5"/>
        <v>8420</v>
      </c>
    </row>
    <row r="20" spans="2:6" x14ac:dyDescent="0.2">
      <c r="B20" s="13">
        <v>6</v>
      </c>
      <c r="C20" s="22">
        <f t="shared" si="3"/>
        <v>8420</v>
      </c>
      <c r="D20" s="22">
        <f t="shared" si="2"/>
        <v>1012</v>
      </c>
      <c r="E20" s="22">
        <f t="shared" si="4"/>
        <v>6072</v>
      </c>
      <c r="F20" s="26">
        <f t="shared" si="5"/>
        <v>7408</v>
      </c>
    </row>
    <row r="21" spans="2:6" x14ac:dyDescent="0.2">
      <c r="B21" s="13">
        <v>7</v>
      </c>
      <c r="C21" s="22">
        <f t="shared" si="3"/>
        <v>7408</v>
      </c>
      <c r="D21" s="22">
        <f t="shared" si="2"/>
        <v>1012</v>
      </c>
      <c r="E21" s="22">
        <f t="shared" si="4"/>
        <v>7084</v>
      </c>
      <c r="F21" s="26">
        <f t="shared" si="5"/>
        <v>6396</v>
      </c>
    </row>
    <row r="22" spans="2:6" x14ac:dyDescent="0.2">
      <c r="B22" s="13">
        <v>8</v>
      </c>
      <c r="C22" s="22">
        <f t="shared" si="3"/>
        <v>6396</v>
      </c>
      <c r="D22" s="22">
        <f t="shared" si="2"/>
        <v>1012</v>
      </c>
      <c r="E22" s="22">
        <f t="shared" si="4"/>
        <v>8096</v>
      </c>
      <c r="F22" s="26">
        <f t="shared" si="5"/>
        <v>5384</v>
      </c>
    </row>
    <row r="23" spans="2:6" x14ac:dyDescent="0.2">
      <c r="B23" s="13">
        <v>9</v>
      </c>
      <c r="C23" s="22">
        <f t="shared" si="3"/>
        <v>5384</v>
      </c>
      <c r="D23" s="22">
        <f t="shared" si="2"/>
        <v>1012</v>
      </c>
      <c r="E23" s="22">
        <f t="shared" si="4"/>
        <v>9108</v>
      </c>
      <c r="F23" s="26">
        <f t="shared" si="5"/>
        <v>4372</v>
      </c>
    </row>
    <row r="24" spans="2:6" ht="17" thickBot="1" x14ac:dyDescent="0.25">
      <c r="B24" s="20">
        <v>10</v>
      </c>
      <c r="C24" s="27">
        <f t="shared" si="3"/>
        <v>4372</v>
      </c>
      <c r="D24" s="27">
        <f t="shared" si="2"/>
        <v>1012</v>
      </c>
      <c r="E24" s="27">
        <f t="shared" si="4"/>
        <v>10120</v>
      </c>
      <c r="F24" s="19">
        <f t="shared" si="5"/>
        <v>3360</v>
      </c>
    </row>
  </sheetData>
  <mergeCells count="6">
    <mergeCell ref="B12:F12"/>
    <mergeCell ref="B2:G2"/>
    <mergeCell ref="I2:L2"/>
    <mergeCell ref="I3:K3"/>
    <mergeCell ref="I4:K4"/>
    <mergeCell ref="I6:K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47BEC-0359-5744-9BE4-978033FC06FB}">
  <dimension ref="B1:C12"/>
  <sheetViews>
    <sheetView zoomScale="190" workbookViewId="0">
      <selection activeCell="B16" sqref="B16"/>
    </sheetView>
  </sheetViews>
  <sheetFormatPr baseColWidth="10" defaultRowHeight="16" x14ac:dyDescent="0.2"/>
  <cols>
    <col min="1" max="1" width="6.1640625" style="1" customWidth="1"/>
    <col min="2" max="2" width="21.33203125" style="1" customWidth="1"/>
    <col min="3" max="3" width="14" style="1" customWidth="1"/>
    <col min="4" max="16384" width="10.83203125" style="1"/>
  </cols>
  <sheetData>
    <row r="1" spans="2:3" ht="17" thickBot="1" x14ac:dyDescent="0.25"/>
    <row r="2" spans="2:3" ht="19" x14ac:dyDescent="0.25">
      <c r="B2" s="101" t="s">
        <v>46</v>
      </c>
      <c r="C2" s="102"/>
    </row>
    <row r="3" spans="2:3" ht="19" x14ac:dyDescent="0.25">
      <c r="B3" s="48"/>
      <c r="C3" s="49"/>
    </row>
    <row r="4" spans="2:3" x14ac:dyDescent="0.2">
      <c r="B4" s="50" t="s">
        <v>47</v>
      </c>
      <c r="C4" s="14"/>
    </row>
    <row r="5" spans="2:3" x14ac:dyDescent="0.2">
      <c r="B5" s="51" t="s">
        <v>48</v>
      </c>
      <c r="C5" s="52">
        <v>5000</v>
      </c>
    </row>
    <row r="6" spans="2:3" x14ac:dyDescent="0.2">
      <c r="B6" s="51" t="s">
        <v>49</v>
      </c>
      <c r="C6" s="53">
        <v>5.5E-2</v>
      </c>
    </row>
    <row r="7" spans="2:3" x14ac:dyDescent="0.2">
      <c r="B7" s="51" t="s">
        <v>50</v>
      </c>
      <c r="C7" s="54">
        <v>20</v>
      </c>
    </row>
    <row r="8" spans="2:3" x14ac:dyDescent="0.2">
      <c r="B8" s="51" t="s">
        <v>51</v>
      </c>
      <c r="C8" s="54">
        <v>12</v>
      </c>
    </row>
    <row r="9" spans="2:3" x14ac:dyDescent="0.2">
      <c r="B9" s="51" t="s">
        <v>52</v>
      </c>
      <c r="C9" s="52">
        <v>6000</v>
      </c>
    </row>
    <row r="10" spans="2:3" x14ac:dyDescent="0.2">
      <c r="B10" s="13"/>
      <c r="C10" s="14"/>
    </row>
    <row r="11" spans="2:3" x14ac:dyDescent="0.2">
      <c r="B11" s="50" t="s">
        <v>53</v>
      </c>
      <c r="C11" s="14"/>
    </row>
    <row r="12" spans="2:3" ht="17" thickBot="1" x14ac:dyDescent="0.25">
      <c r="B12" s="55" t="s">
        <v>54</v>
      </c>
      <c r="C12" s="56">
        <f>-FV(C6/C8,C7*C8,C9,C5,1)</f>
        <v>2640727.2528879233</v>
      </c>
    </row>
  </sheetData>
  <mergeCells count="1">
    <mergeCell ref="B2:C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FD66F-CABC-D84B-99AC-1921A4AF13F3}">
  <dimension ref="B2:F17"/>
  <sheetViews>
    <sheetView zoomScale="200" workbookViewId="0"/>
  </sheetViews>
  <sheetFormatPr baseColWidth="10" defaultRowHeight="16" x14ac:dyDescent="0.2"/>
  <cols>
    <col min="1" max="1" width="9.33203125" style="1" customWidth="1"/>
    <col min="2" max="2" width="28.33203125" style="1" customWidth="1"/>
    <col min="3" max="3" width="10.33203125" style="1" customWidth="1"/>
    <col min="4" max="16384" width="10.83203125" style="1"/>
  </cols>
  <sheetData>
    <row r="2" spans="2:6" ht="19" x14ac:dyDescent="0.25">
      <c r="B2" s="57" t="s">
        <v>76</v>
      </c>
      <c r="C2" s="57"/>
      <c r="D2" s="57"/>
      <c r="E2" s="3"/>
      <c r="F2" s="3"/>
    </row>
    <row r="3" spans="2:6" ht="17" thickBot="1" x14ac:dyDescent="0.25">
      <c r="B3" s="3"/>
      <c r="C3" s="3"/>
      <c r="D3" s="3"/>
      <c r="E3" s="3"/>
      <c r="F3" s="3"/>
    </row>
    <row r="4" spans="2:6" x14ac:dyDescent="0.2">
      <c r="B4" s="103" t="s">
        <v>85</v>
      </c>
      <c r="C4" s="104"/>
    </row>
    <row r="5" spans="2:6" x14ac:dyDescent="0.2">
      <c r="B5" s="13" t="s">
        <v>77</v>
      </c>
      <c r="C5" s="41">
        <v>730</v>
      </c>
    </row>
    <row r="6" spans="2:6" x14ac:dyDescent="0.2">
      <c r="B6" s="13" t="s">
        <v>79</v>
      </c>
      <c r="C6" s="41">
        <f>C5*12</f>
        <v>8760</v>
      </c>
    </row>
    <row r="7" spans="2:6" x14ac:dyDescent="0.2">
      <c r="B7" s="13" t="s">
        <v>78</v>
      </c>
      <c r="C7" s="14">
        <v>5</v>
      </c>
    </row>
    <row r="8" spans="2:6" ht="17" thickBot="1" x14ac:dyDescent="0.25">
      <c r="B8" s="20" t="s">
        <v>80</v>
      </c>
      <c r="C8" s="42">
        <f>C6/C7</f>
        <v>1752</v>
      </c>
    </row>
    <row r="9" spans="2:6" ht="17" thickBot="1" x14ac:dyDescent="0.25"/>
    <row r="10" spans="2:6" x14ac:dyDescent="0.2">
      <c r="B10" s="103" t="s">
        <v>86</v>
      </c>
      <c r="C10" s="104"/>
    </row>
    <row r="11" spans="2:6" x14ac:dyDescent="0.2">
      <c r="B11" s="13" t="s">
        <v>82</v>
      </c>
      <c r="C11" s="14">
        <v>8.3428571428571416</v>
      </c>
    </row>
    <row r="12" spans="2:6" x14ac:dyDescent="0.2">
      <c r="B12" s="13" t="s">
        <v>84</v>
      </c>
      <c r="C12" s="41">
        <v>300</v>
      </c>
    </row>
    <row r="13" spans="2:6" x14ac:dyDescent="0.2">
      <c r="B13" s="13" t="s">
        <v>81</v>
      </c>
      <c r="C13" s="41">
        <v>90</v>
      </c>
    </row>
    <row r="14" spans="2:6" x14ac:dyDescent="0.2">
      <c r="B14" s="13" t="s">
        <v>83</v>
      </c>
      <c r="C14" s="41">
        <f>C8</f>
        <v>1752</v>
      </c>
    </row>
    <row r="15" spans="2:6" ht="17" thickBot="1" x14ac:dyDescent="0.25">
      <c r="B15" s="20" t="s">
        <v>75</v>
      </c>
      <c r="C15" s="47">
        <f>(C11*(C12-C13))-C14</f>
        <v>0</v>
      </c>
    </row>
    <row r="17" spans="2:3" x14ac:dyDescent="0.2">
      <c r="B17" s="1" t="s">
        <v>87</v>
      </c>
      <c r="C17" s="58">
        <f>ROUND(C11*C7,0)</f>
        <v>42</v>
      </c>
    </row>
  </sheetData>
  <mergeCells count="2">
    <mergeCell ref="B10:C10"/>
    <mergeCell ref="B4:C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4F41C-0491-B946-A1A6-1C5051E52BC2}">
  <dimension ref="B1:H13"/>
  <sheetViews>
    <sheetView zoomScale="163" workbookViewId="0">
      <selection activeCell="E18" sqref="E18"/>
    </sheetView>
  </sheetViews>
  <sheetFormatPr baseColWidth="10" defaultRowHeight="16" x14ac:dyDescent="0.2"/>
  <cols>
    <col min="1" max="1" width="10.33203125" style="1" customWidth="1"/>
    <col min="2" max="2" width="26" style="1" customWidth="1"/>
    <col min="3" max="3" width="14.83203125" style="1" customWidth="1"/>
    <col min="4" max="4" width="15" style="1" customWidth="1"/>
    <col min="5" max="5" width="24.6640625" style="1" customWidth="1"/>
    <col min="6" max="6" width="4.83203125" style="1" customWidth="1"/>
    <col min="7" max="7" width="29.83203125" style="1" customWidth="1"/>
    <col min="8" max="8" width="10.1640625" style="1" customWidth="1"/>
    <col min="9" max="16384" width="10.83203125" style="1"/>
  </cols>
  <sheetData>
    <row r="1" spans="2:8" ht="23" customHeight="1" x14ac:dyDescent="0.2"/>
    <row r="2" spans="2:8" ht="51" customHeight="1" x14ac:dyDescent="0.25">
      <c r="C2" s="106" t="s">
        <v>100</v>
      </c>
      <c r="D2" s="106"/>
      <c r="E2" s="106"/>
    </row>
    <row r="3" spans="2:8" ht="20" customHeight="1" thickBot="1" x14ac:dyDescent="0.3">
      <c r="C3" s="105"/>
      <c r="D3" s="105"/>
      <c r="E3" s="105"/>
    </row>
    <row r="4" spans="2:8" x14ac:dyDescent="0.2">
      <c r="B4" s="62"/>
      <c r="C4" s="69" t="s">
        <v>89</v>
      </c>
      <c r="D4" s="69" t="s">
        <v>90</v>
      </c>
      <c r="E4" s="70" t="s">
        <v>93</v>
      </c>
      <c r="G4" s="103" t="s">
        <v>85</v>
      </c>
      <c r="H4" s="104"/>
    </row>
    <row r="5" spans="2:8" x14ac:dyDescent="0.2">
      <c r="B5" s="63" t="s">
        <v>82</v>
      </c>
      <c r="C5" s="60">
        <v>6.4380966666697139</v>
      </c>
      <c r="D5" s="60">
        <v>8</v>
      </c>
      <c r="E5" s="64">
        <v>6</v>
      </c>
      <c r="G5" s="13" t="s">
        <v>77</v>
      </c>
      <c r="H5" s="41">
        <v>730</v>
      </c>
    </row>
    <row r="6" spans="2:8" x14ac:dyDescent="0.2">
      <c r="B6" s="63" t="s">
        <v>91</v>
      </c>
      <c r="C6" s="61">
        <v>300</v>
      </c>
      <c r="D6" s="61">
        <v>60</v>
      </c>
      <c r="E6" s="65">
        <v>40</v>
      </c>
      <c r="G6" s="13" t="s">
        <v>79</v>
      </c>
      <c r="H6" s="41">
        <f>H5*12</f>
        <v>8760</v>
      </c>
    </row>
    <row r="7" spans="2:8" x14ac:dyDescent="0.2">
      <c r="B7" s="63" t="s">
        <v>81</v>
      </c>
      <c r="C7" s="61">
        <v>90</v>
      </c>
      <c r="D7" s="61">
        <v>30</v>
      </c>
      <c r="E7" s="65">
        <v>10</v>
      </c>
      <c r="G7" s="13" t="s">
        <v>88</v>
      </c>
      <c r="H7" s="41">
        <v>1500</v>
      </c>
    </row>
    <row r="8" spans="2:8" x14ac:dyDescent="0.2">
      <c r="B8" s="63" t="s">
        <v>94</v>
      </c>
      <c r="C8" s="61">
        <f>C6-C7</f>
        <v>210</v>
      </c>
      <c r="D8" s="61">
        <f>D6-D7</f>
        <v>30</v>
      </c>
      <c r="E8" s="65">
        <f>E6-E7</f>
        <v>30</v>
      </c>
      <c r="G8" s="13" t="s">
        <v>97</v>
      </c>
      <c r="H8" s="41">
        <v>1700</v>
      </c>
    </row>
    <row r="9" spans="2:8" ht="17" thickBot="1" x14ac:dyDescent="0.25">
      <c r="B9" s="66" t="s">
        <v>92</v>
      </c>
      <c r="C9" s="67">
        <f>C5*C8</f>
        <v>1352.00030000064</v>
      </c>
      <c r="D9" s="67">
        <f>D5*D8</f>
        <v>240</v>
      </c>
      <c r="E9" s="68">
        <f>E5*E8</f>
        <v>180</v>
      </c>
      <c r="G9" s="13" t="s">
        <v>78</v>
      </c>
      <c r="H9" s="14">
        <v>5</v>
      </c>
    </row>
    <row r="10" spans="2:8" ht="17" thickBot="1" x14ac:dyDescent="0.25">
      <c r="G10" s="13" t="s">
        <v>98</v>
      </c>
      <c r="H10" s="41">
        <f>(SUM(H6:H7)-H8)/H9</f>
        <v>1712</v>
      </c>
    </row>
    <row r="11" spans="2:8" ht="17" thickBot="1" x14ac:dyDescent="0.25">
      <c r="B11" s="28" t="s">
        <v>95</v>
      </c>
      <c r="C11" s="46">
        <f>SUM(C9:E9)</f>
        <v>1772.00030000064</v>
      </c>
      <c r="G11" s="20" t="s">
        <v>80</v>
      </c>
      <c r="H11" s="42">
        <f>SUM(H6:H7)/5</f>
        <v>2052</v>
      </c>
    </row>
    <row r="12" spans="2:8" x14ac:dyDescent="0.2">
      <c r="B12" s="13" t="s">
        <v>99</v>
      </c>
      <c r="C12" s="44">
        <f>H10</f>
        <v>1712</v>
      </c>
      <c r="H12" s="59"/>
    </row>
    <row r="13" spans="2:8" ht="17" thickBot="1" x14ac:dyDescent="0.25">
      <c r="B13" s="20" t="s">
        <v>96</v>
      </c>
      <c r="C13" s="47">
        <f>C11-C12</f>
        <v>60.000300000639982</v>
      </c>
    </row>
  </sheetData>
  <mergeCells count="3">
    <mergeCell ref="G4:H4"/>
    <mergeCell ref="C3:E3"/>
    <mergeCell ref="C2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4A819-E5DD-474E-BEAD-DFB27582858E}">
  <dimension ref="B2:I78"/>
  <sheetViews>
    <sheetView zoomScale="125" workbookViewId="0">
      <selection activeCell="L2" sqref="L2"/>
    </sheetView>
  </sheetViews>
  <sheetFormatPr baseColWidth="10" defaultRowHeight="16" x14ac:dyDescent="0.2"/>
  <cols>
    <col min="1" max="1" width="9.33203125" style="72" customWidth="1"/>
    <col min="2" max="2" width="20.33203125" style="72" customWidth="1"/>
    <col min="3" max="3" width="11" style="72" customWidth="1"/>
    <col min="4" max="5" width="17" style="72" customWidth="1"/>
    <col min="6" max="6" width="15" style="72" customWidth="1"/>
    <col min="7" max="7" width="22.33203125" style="72" customWidth="1"/>
    <col min="8" max="8" width="22.1640625" style="72" customWidth="1"/>
    <col min="9" max="9" width="19.6640625" style="72" customWidth="1"/>
    <col min="10" max="16384" width="10.83203125" style="72"/>
  </cols>
  <sheetData>
    <row r="2" spans="2:9" x14ac:dyDescent="0.2">
      <c r="B2" s="107"/>
      <c r="C2" s="107"/>
    </row>
    <row r="3" spans="2:9" ht="17" thickBot="1" x14ac:dyDescent="0.25">
      <c r="B3" s="107" t="s">
        <v>47</v>
      </c>
      <c r="C3" s="107"/>
    </row>
    <row r="4" spans="2:9" ht="17" thickBot="1" x14ac:dyDescent="0.25">
      <c r="B4" s="108" t="s">
        <v>101</v>
      </c>
      <c r="C4" s="109">
        <v>0.05</v>
      </c>
    </row>
    <row r="6" spans="2:9" ht="17" thickBot="1" x14ac:dyDescent="0.25">
      <c r="B6" s="76" t="s">
        <v>105</v>
      </c>
      <c r="C6" s="76" t="s">
        <v>102</v>
      </c>
      <c r="D6" s="76" t="s">
        <v>103</v>
      </c>
      <c r="E6" s="76" t="s">
        <v>115</v>
      </c>
      <c r="F6" s="76" t="s">
        <v>104</v>
      </c>
      <c r="G6" s="76" t="s">
        <v>106</v>
      </c>
      <c r="H6" s="76" t="s">
        <v>107</v>
      </c>
      <c r="I6" s="76" t="s">
        <v>114</v>
      </c>
    </row>
    <row r="7" spans="2:9" x14ac:dyDescent="0.2">
      <c r="B7" s="73" t="s">
        <v>108</v>
      </c>
      <c r="C7" s="77">
        <v>2026</v>
      </c>
      <c r="D7" s="78">
        <v>100000</v>
      </c>
      <c r="E7" s="87">
        <v>0.3</v>
      </c>
      <c r="F7" s="78">
        <f>D7*E7</f>
        <v>30000</v>
      </c>
      <c r="G7" s="78">
        <v>0</v>
      </c>
      <c r="H7" s="78">
        <f>G7+F7</f>
        <v>30000</v>
      </c>
      <c r="I7" s="74">
        <v>0</v>
      </c>
    </row>
    <row r="8" spans="2:9" x14ac:dyDescent="0.2">
      <c r="B8" s="79" t="s">
        <v>108</v>
      </c>
      <c r="C8" s="80">
        <v>2027</v>
      </c>
      <c r="D8" s="81">
        <v>110000</v>
      </c>
      <c r="E8" s="88">
        <v>0.3</v>
      </c>
      <c r="F8" s="81">
        <f>D8*E8</f>
        <v>33000</v>
      </c>
      <c r="G8" s="81">
        <f t="shared" ref="G8:G39" si="0">(H7+F8)*$C$4</f>
        <v>3150</v>
      </c>
      <c r="H8" s="81">
        <f>H7+F8+G8</f>
        <v>66150</v>
      </c>
      <c r="I8" s="82">
        <v>0</v>
      </c>
    </row>
    <row r="9" spans="2:9" x14ac:dyDescent="0.2">
      <c r="B9" s="79" t="s">
        <v>109</v>
      </c>
      <c r="C9" s="80">
        <v>2028</v>
      </c>
      <c r="D9" s="81">
        <v>100000</v>
      </c>
      <c r="E9" s="88">
        <v>0.25</v>
      </c>
      <c r="F9" s="81">
        <f t="shared" ref="F9:F31" si="1">D9*E9</f>
        <v>25000</v>
      </c>
      <c r="G9" s="81">
        <f t="shared" si="0"/>
        <v>4557.5</v>
      </c>
      <c r="H9" s="81">
        <f t="shared" ref="H9:H28" si="2">H8+F9+G9</f>
        <v>95707.5</v>
      </c>
      <c r="I9" s="82">
        <v>0</v>
      </c>
    </row>
    <row r="10" spans="2:9" x14ac:dyDescent="0.2">
      <c r="B10" s="79" t="s">
        <v>109</v>
      </c>
      <c r="C10" s="80">
        <v>2029</v>
      </c>
      <c r="D10" s="81">
        <v>100000</v>
      </c>
      <c r="E10" s="88">
        <v>0.25</v>
      </c>
      <c r="F10" s="81">
        <f t="shared" si="1"/>
        <v>25000</v>
      </c>
      <c r="G10" s="81">
        <f t="shared" si="0"/>
        <v>6035.375</v>
      </c>
      <c r="H10" s="81">
        <f>H9+F10+G10</f>
        <v>126742.875</v>
      </c>
      <c r="I10" s="82">
        <v>0</v>
      </c>
    </row>
    <row r="11" spans="2:9" x14ac:dyDescent="0.2">
      <c r="B11" s="79" t="s">
        <v>109</v>
      </c>
      <c r="C11" s="80">
        <v>2030</v>
      </c>
      <c r="D11" s="81">
        <v>100000</v>
      </c>
      <c r="E11" s="88">
        <v>0.25</v>
      </c>
      <c r="F11" s="81">
        <f t="shared" si="1"/>
        <v>25000</v>
      </c>
      <c r="G11" s="81">
        <f t="shared" si="0"/>
        <v>7587.1437500000002</v>
      </c>
      <c r="H11" s="81">
        <f t="shared" si="2"/>
        <v>159330.01874999999</v>
      </c>
      <c r="I11" s="82">
        <v>0</v>
      </c>
    </row>
    <row r="12" spans="2:9" x14ac:dyDescent="0.2">
      <c r="B12" s="79" t="s">
        <v>109</v>
      </c>
      <c r="C12" s="80">
        <v>2031</v>
      </c>
      <c r="D12" s="81">
        <v>100000</v>
      </c>
      <c r="E12" s="88">
        <v>0.25</v>
      </c>
      <c r="F12" s="81">
        <f t="shared" si="1"/>
        <v>25000</v>
      </c>
      <c r="G12" s="81">
        <f t="shared" si="0"/>
        <v>9216.5009374999991</v>
      </c>
      <c r="H12" s="81">
        <f t="shared" si="2"/>
        <v>193546.5196875</v>
      </c>
      <c r="I12" s="82">
        <v>0</v>
      </c>
    </row>
    <row r="13" spans="2:9" x14ac:dyDescent="0.2">
      <c r="B13" s="79" t="s">
        <v>109</v>
      </c>
      <c r="C13" s="80">
        <v>2032</v>
      </c>
      <c r="D13" s="81">
        <v>100000</v>
      </c>
      <c r="E13" s="88">
        <v>0.25</v>
      </c>
      <c r="F13" s="81">
        <f t="shared" si="1"/>
        <v>25000</v>
      </c>
      <c r="G13" s="81">
        <f t="shared" si="0"/>
        <v>10927.325984375</v>
      </c>
      <c r="H13" s="81">
        <f t="shared" si="2"/>
        <v>229473.84567187499</v>
      </c>
      <c r="I13" s="82">
        <v>0</v>
      </c>
    </row>
    <row r="14" spans="2:9" x14ac:dyDescent="0.2">
      <c r="B14" s="79" t="s">
        <v>110</v>
      </c>
      <c r="C14" s="80">
        <v>2033</v>
      </c>
      <c r="D14" s="81">
        <v>215000</v>
      </c>
      <c r="E14" s="88">
        <v>0.5</v>
      </c>
      <c r="F14" s="81">
        <f t="shared" si="1"/>
        <v>107500</v>
      </c>
      <c r="G14" s="81">
        <f t="shared" si="0"/>
        <v>16848.692283593751</v>
      </c>
      <c r="H14" s="81">
        <f t="shared" si="2"/>
        <v>353822.53795546875</v>
      </c>
      <c r="I14" s="82">
        <v>0</v>
      </c>
    </row>
    <row r="15" spans="2:9" x14ac:dyDescent="0.2">
      <c r="B15" s="79" t="s">
        <v>110</v>
      </c>
      <c r="C15" s="80">
        <v>2034</v>
      </c>
      <c r="D15" s="81">
        <v>215000</v>
      </c>
      <c r="E15" s="88">
        <v>0.5</v>
      </c>
      <c r="F15" s="81">
        <f t="shared" si="1"/>
        <v>107500</v>
      </c>
      <c r="G15" s="81">
        <f t="shared" si="0"/>
        <v>23066.12689777344</v>
      </c>
      <c r="H15" s="81">
        <f t="shared" si="2"/>
        <v>484388.66485324217</v>
      </c>
      <c r="I15" s="82">
        <v>0</v>
      </c>
    </row>
    <row r="16" spans="2:9" x14ac:dyDescent="0.2">
      <c r="B16" s="79" t="s">
        <v>110</v>
      </c>
      <c r="C16" s="80">
        <v>2035</v>
      </c>
      <c r="D16" s="81">
        <v>215000</v>
      </c>
      <c r="E16" s="88">
        <v>0.5</v>
      </c>
      <c r="F16" s="81">
        <f t="shared" si="1"/>
        <v>107500</v>
      </c>
      <c r="G16" s="81">
        <f t="shared" si="0"/>
        <v>29594.433242662111</v>
      </c>
      <c r="H16" s="81">
        <f t="shared" si="2"/>
        <v>621483.09809590434</v>
      </c>
      <c r="I16" s="82">
        <v>0</v>
      </c>
    </row>
    <row r="17" spans="2:9" x14ac:dyDescent="0.2">
      <c r="B17" s="79" t="s">
        <v>110</v>
      </c>
      <c r="C17" s="80">
        <v>2036</v>
      </c>
      <c r="D17" s="81">
        <v>215000</v>
      </c>
      <c r="E17" s="88">
        <v>0.5</v>
      </c>
      <c r="F17" s="81">
        <f t="shared" si="1"/>
        <v>107500</v>
      </c>
      <c r="G17" s="81">
        <f t="shared" si="0"/>
        <v>36449.154904795221</v>
      </c>
      <c r="H17" s="81">
        <f t="shared" si="2"/>
        <v>765432.25300069957</v>
      </c>
      <c r="I17" s="82">
        <v>0</v>
      </c>
    </row>
    <row r="18" spans="2:9" x14ac:dyDescent="0.2">
      <c r="B18" s="79" t="s">
        <v>110</v>
      </c>
      <c r="C18" s="80">
        <v>2037</v>
      </c>
      <c r="D18" s="81">
        <v>215000</v>
      </c>
      <c r="E18" s="88">
        <v>0.5</v>
      </c>
      <c r="F18" s="81">
        <f t="shared" si="1"/>
        <v>107500</v>
      </c>
      <c r="G18" s="81">
        <f t="shared" si="0"/>
        <v>43646.612650034978</v>
      </c>
      <c r="H18" s="81">
        <f t="shared" si="2"/>
        <v>916578.86565073451</v>
      </c>
      <c r="I18" s="82">
        <v>0</v>
      </c>
    </row>
    <row r="19" spans="2:9" x14ac:dyDescent="0.2">
      <c r="B19" s="79" t="s">
        <v>111</v>
      </c>
      <c r="C19" s="80">
        <v>2038</v>
      </c>
      <c r="D19" s="81">
        <v>250000</v>
      </c>
      <c r="E19" s="88">
        <v>0.5</v>
      </c>
      <c r="F19" s="81">
        <f t="shared" si="1"/>
        <v>125000</v>
      </c>
      <c r="G19" s="81">
        <f t="shared" si="0"/>
        <v>52078.943282536726</v>
      </c>
      <c r="H19" s="81">
        <f t="shared" si="2"/>
        <v>1093657.8089332713</v>
      </c>
      <c r="I19" s="82">
        <v>0</v>
      </c>
    </row>
    <row r="20" spans="2:9" x14ac:dyDescent="0.2">
      <c r="B20" s="79" t="s">
        <v>111</v>
      </c>
      <c r="C20" s="80">
        <v>2039</v>
      </c>
      <c r="D20" s="81">
        <v>250000</v>
      </c>
      <c r="E20" s="88">
        <v>0.5</v>
      </c>
      <c r="F20" s="81">
        <f t="shared" si="1"/>
        <v>125000</v>
      </c>
      <c r="G20" s="81">
        <f t="shared" si="0"/>
        <v>60932.890446663572</v>
      </c>
      <c r="H20" s="81">
        <f t="shared" si="2"/>
        <v>1279590.6993799349</v>
      </c>
      <c r="I20" s="82">
        <v>0</v>
      </c>
    </row>
    <row r="21" spans="2:9" x14ac:dyDescent="0.2">
      <c r="B21" s="79" t="s">
        <v>111</v>
      </c>
      <c r="C21" s="80">
        <v>2040</v>
      </c>
      <c r="D21" s="81">
        <v>250000</v>
      </c>
      <c r="E21" s="88">
        <v>0.5</v>
      </c>
      <c r="F21" s="81">
        <f t="shared" si="1"/>
        <v>125000</v>
      </c>
      <c r="G21" s="81">
        <f t="shared" si="0"/>
        <v>70229.534968996755</v>
      </c>
      <c r="H21" s="81">
        <f t="shared" si="2"/>
        <v>1474820.2343489316</v>
      </c>
      <c r="I21" s="82">
        <v>0</v>
      </c>
    </row>
    <row r="22" spans="2:9" x14ac:dyDescent="0.2">
      <c r="B22" s="79" t="s">
        <v>111</v>
      </c>
      <c r="C22" s="80">
        <v>2041</v>
      </c>
      <c r="D22" s="81">
        <v>250000</v>
      </c>
      <c r="E22" s="88">
        <v>0.5</v>
      </c>
      <c r="F22" s="81">
        <f t="shared" si="1"/>
        <v>125000</v>
      </c>
      <c r="G22" s="81">
        <f t="shared" si="0"/>
        <v>79991.011717446585</v>
      </c>
      <c r="H22" s="81">
        <f t="shared" si="2"/>
        <v>1679811.2460663782</v>
      </c>
      <c r="I22" s="82">
        <v>0</v>
      </c>
    </row>
    <row r="23" spans="2:9" x14ac:dyDescent="0.2">
      <c r="B23" s="79" t="s">
        <v>111</v>
      </c>
      <c r="C23" s="80">
        <v>2042</v>
      </c>
      <c r="D23" s="81">
        <v>250000</v>
      </c>
      <c r="E23" s="88">
        <v>0.5</v>
      </c>
      <c r="F23" s="81">
        <f t="shared" si="1"/>
        <v>125000</v>
      </c>
      <c r="G23" s="81">
        <f t="shared" si="0"/>
        <v>90240.562303318919</v>
      </c>
      <c r="H23" s="81">
        <f t="shared" si="2"/>
        <v>1895051.8083696971</v>
      </c>
      <c r="I23" s="82">
        <v>0</v>
      </c>
    </row>
    <row r="24" spans="2:9" x14ac:dyDescent="0.2">
      <c r="B24" s="79" t="s">
        <v>111</v>
      </c>
      <c r="C24" s="80">
        <v>2043</v>
      </c>
      <c r="D24" s="81">
        <v>300000</v>
      </c>
      <c r="E24" s="88">
        <v>0.5</v>
      </c>
      <c r="F24" s="81">
        <f t="shared" si="1"/>
        <v>150000</v>
      </c>
      <c r="G24" s="81">
        <f t="shared" si="0"/>
        <v>102252.59041848486</v>
      </c>
      <c r="H24" s="81">
        <f t="shared" si="2"/>
        <v>2147304.3987881821</v>
      </c>
      <c r="I24" s="82">
        <v>0</v>
      </c>
    </row>
    <row r="25" spans="2:9" x14ac:dyDescent="0.2">
      <c r="B25" s="79" t="s">
        <v>111</v>
      </c>
      <c r="C25" s="80">
        <v>2044</v>
      </c>
      <c r="D25" s="81">
        <v>300000</v>
      </c>
      <c r="E25" s="88">
        <v>0.5</v>
      </c>
      <c r="F25" s="81">
        <f t="shared" si="1"/>
        <v>150000</v>
      </c>
      <c r="G25" s="81">
        <f t="shared" si="0"/>
        <v>114865.21993940911</v>
      </c>
      <c r="H25" s="81">
        <f t="shared" si="2"/>
        <v>2412169.6187275914</v>
      </c>
      <c r="I25" s="82">
        <v>0</v>
      </c>
    </row>
    <row r="26" spans="2:9" x14ac:dyDescent="0.2">
      <c r="B26" s="79" t="s">
        <v>111</v>
      </c>
      <c r="C26" s="80">
        <v>2045</v>
      </c>
      <c r="D26" s="81">
        <v>300000</v>
      </c>
      <c r="E26" s="88">
        <v>0.5</v>
      </c>
      <c r="F26" s="81">
        <f t="shared" si="1"/>
        <v>150000</v>
      </c>
      <c r="G26" s="81">
        <f t="shared" si="0"/>
        <v>128108.48093637958</v>
      </c>
      <c r="H26" s="81">
        <f t="shared" si="2"/>
        <v>2690278.099663971</v>
      </c>
      <c r="I26" s="82">
        <v>0</v>
      </c>
    </row>
    <row r="27" spans="2:9" x14ac:dyDescent="0.2">
      <c r="B27" s="79" t="s">
        <v>111</v>
      </c>
      <c r="C27" s="80">
        <v>2046</v>
      </c>
      <c r="D27" s="81">
        <v>300000</v>
      </c>
      <c r="E27" s="88">
        <v>0.5</v>
      </c>
      <c r="F27" s="81">
        <f t="shared" si="1"/>
        <v>150000</v>
      </c>
      <c r="G27" s="81">
        <f t="shared" si="0"/>
        <v>142013.90498319856</v>
      </c>
      <c r="H27" s="81">
        <f t="shared" si="2"/>
        <v>2982292.0046471697</v>
      </c>
      <c r="I27" s="82">
        <v>0</v>
      </c>
    </row>
    <row r="28" spans="2:9" x14ac:dyDescent="0.2">
      <c r="B28" s="79" t="s">
        <v>111</v>
      </c>
      <c r="C28" s="80">
        <v>2047</v>
      </c>
      <c r="D28" s="81">
        <v>300000</v>
      </c>
      <c r="E28" s="88">
        <v>0.5</v>
      </c>
      <c r="F28" s="81">
        <f t="shared" si="1"/>
        <v>150000</v>
      </c>
      <c r="G28" s="81">
        <f t="shared" si="0"/>
        <v>156614.6002323585</v>
      </c>
      <c r="H28" s="81">
        <f t="shared" si="2"/>
        <v>3288906.6048795283</v>
      </c>
      <c r="I28" s="82">
        <v>0</v>
      </c>
    </row>
    <row r="29" spans="2:9" x14ac:dyDescent="0.2">
      <c r="B29" s="79" t="s">
        <v>111</v>
      </c>
      <c r="C29" s="80">
        <v>2048</v>
      </c>
      <c r="D29" s="81">
        <v>300000</v>
      </c>
      <c r="E29" s="88">
        <v>0.5</v>
      </c>
      <c r="F29" s="81">
        <f t="shared" si="1"/>
        <v>150000</v>
      </c>
      <c r="G29" s="81">
        <f t="shared" si="0"/>
        <v>171945.33024397644</v>
      </c>
      <c r="H29" s="81">
        <f>(H28+F29+G29)-I29</f>
        <v>3610851.9351235046</v>
      </c>
      <c r="I29" s="83">
        <v>0</v>
      </c>
    </row>
    <row r="30" spans="2:9" x14ac:dyDescent="0.2">
      <c r="B30" s="79" t="s">
        <v>111</v>
      </c>
      <c r="C30" s="80">
        <v>2049</v>
      </c>
      <c r="D30" s="81">
        <v>300000</v>
      </c>
      <c r="E30" s="88">
        <v>0.5</v>
      </c>
      <c r="F30" s="81">
        <f t="shared" si="1"/>
        <v>150000</v>
      </c>
      <c r="G30" s="81">
        <f t="shared" si="0"/>
        <v>188042.59675617525</v>
      </c>
      <c r="H30" s="81">
        <f t="shared" ref="H30:H78" si="3">(H29+F30+G30)-I30</f>
        <v>3948894.5318796798</v>
      </c>
      <c r="I30" s="83">
        <v>0</v>
      </c>
    </row>
    <row r="31" spans="2:9" x14ac:dyDescent="0.2">
      <c r="B31" s="79" t="s">
        <v>111</v>
      </c>
      <c r="C31" s="80">
        <v>2050</v>
      </c>
      <c r="D31" s="81">
        <v>300000</v>
      </c>
      <c r="E31" s="88">
        <v>0.5</v>
      </c>
      <c r="F31" s="81">
        <f t="shared" si="1"/>
        <v>150000</v>
      </c>
      <c r="G31" s="81">
        <f t="shared" si="0"/>
        <v>204944.726593984</v>
      </c>
      <c r="H31" s="81">
        <f t="shared" si="3"/>
        <v>4303839.2584736636</v>
      </c>
      <c r="I31" s="83">
        <v>0</v>
      </c>
    </row>
    <row r="32" spans="2:9" x14ac:dyDescent="0.2">
      <c r="B32" s="79" t="s">
        <v>112</v>
      </c>
      <c r="C32" s="80">
        <v>2051</v>
      </c>
      <c r="D32" s="81">
        <v>200000</v>
      </c>
      <c r="E32" s="88">
        <v>0.5</v>
      </c>
      <c r="F32" s="81">
        <f>D32*E32</f>
        <v>100000</v>
      </c>
      <c r="G32" s="81">
        <f t="shared" si="0"/>
        <v>220191.9629236832</v>
      </c>
      <c r="H32" s="81">
        <f t="shared" si="3"/>
        <v>4624031.2213973468</v>
      </c>
      <c r="I32" s="83">
        <v>0</v>
      </c>
    </row>
    <row r="33" spans="2:9" x14ac:dyDescent="0.2">
      <c r="B33" s="79" t="s">
        <v>112</v>
      </c>
      <c r="C33" s="80">
        <v>2052</v>
      </c>
      <c r="D33" s="81">
        <v>200000</v>
      </c>
      <c r="E33" s="88">
        <v>0.5</v>
      </c>
      <c r="F33" s="81">
        <f t="shared" ref="F33:F78" si="4">D33*E33</f>
        <v>100000</v>
      </c>
      <c r="G33" s="81">
        <f t="shared" si="0"/>
        <v>236201.56106986734</v>
      </c>
      <c r="H33" s="81">
        <f t="shared" si="3"/>
        <v>4960232.7824672144</v>
      </c>
      <c r="I33" s="83">
        <v>0</v>
      </c>
    </row>
    <row r="34" spans="2:9" x14ac:dyDescent="0.2">
      <c r="B34" s="79" t="s">
        <v>112</v>
      </c>
      <c r="C34" s="80">
        <v>2053</v>
      </c>
      <c r="D34" s="81">
        <v>200000</v>
      </c>
      <c r="E34" s="88">
        <v>0.5</v>
      </c>
      <c r="F34" s="81">
        <f t="shared" si="4"/>
        <v>100000</v>
      </c>
      <c r="G34" s="81">
        <f t="shared" si="0"/>
        <v>253011.63912336074</v>
      </c>
      <c r="H34" s="81">
        <f t="shared" si="3"/>
        <v>5313244.421590575</v>
      </c>
      <c r="I34" s="83">
        <v>0</v>
      </c>
    </row>
    <row r="35" spans="2:9" x14ac:dyDescent="0.2">
      <c r="B35" s="79" t="s">
        <v>112</v>
      </c>
      <c r="C35" s="80">
        <v>2054</v>
      </c>
      <c r="D35" s="81">
        <v>200000</v>
      </c>
      <c r="E35" s="88">
        <v>0.5</v>
      </c>
      <c r="F35" s="81">
        <f t="shared" si="4"/>
        <v>100000</v>
      </c>
      <c r="G35" s="81">
        <f t="shared" si="0"/>
        <v>270662.22107952874</v>
      </c>
      <c r="H35" s="81">
        <f t="shared" si="3"/>
        <v>5683906.6426701033</v>
      </c>
      <c r="I35" s="83">
        <v>0</v>
      </c>
    </row>
    <row r="36" spans="2:9" x14ac:dyDescent="0.2">
      <c r="B36" s="79" t="s">
        <v>112</v>
      </c>
      <c r="C36" s="80">
        <v>2055</v>
      </c>
      <c r="D36" s="81">
        <v>200000</v>
      </c>
      <c r="E36" s="88">
        <v>0.5</v>
      </c>
      <c r="F36" s="81">
        <f t="shared" si="4"/>
        <v>100000</v>
      </c>
      <c r="G36" s="81">
        <f t="shared" si="0"/>
        <v>289195.3321335052</v>
      </c>
      <c r="H36" s="81">
        <f t="shared" si="3"/>
        <v>6073101.9748036088</v>
      </c>
      <c r="I36" s="83">
        <v>0</v>
      </c>
    </row>
    <row r="37" spans="2:9" x14ac:dyDescent="0.2">
      <c r="B37" s="79" t="s">
        <v>112</v>
      </c>
      <c r="C37" s="80">
        <v>2056</v>
      </c>
      <c r="D37" s="81">
        <v>200000</v>
      </c>
      <c r="E37" s="88">
        <v>0.5</v>
      </c>
      <c r="F37" s="81">
        <f t="shared" si="4"/>
        <v>100000</v>
      </c>
      <c r="G37" s="81">
        <f t="shared" si="0"/>
        <v>308655.09874018043</v>
      </c>
      <c r="H37" s="81">
        <f t="shared" si="3"/>
        <v>6481757.0735437889</v>
      </c>
      <c r="I37" s="83">
        <v>0</v>
      </c>
    </row>
    <row r="38" spans="2:9" x14ac:dyDescent="0.2">
      <c r="B38" s="79" t="s">
        <v>112</v>
      </c>
      <c r="C38" s="80">
        <v>2057</v>
      </c>
      <c r="D38" s="81">
        <v>200000</v>
      </c>
      <c r="E38" s="88">
        <v>0.5</v>
      </c>
      <c r="F38" s="81">
        <f t="shared" si="4"/>
        <v>100000</v>
      </c>
      <c r="G38" s="81">
        <f t="shared" si="0"/>
        <v>329087.85367718944</v>
      </c>
      <c r="H38" s="81">
        <f t="shared" si="3"/>
        <v>6910844.9272209778</v>
      </c>
      <c r="I38" s="83">
        <v>0</v>
      </c>
    </row>
    <row r="39" spans="2:9" x14ac:dyDescent="0.2">
      <c r="B39" s="79" t="s">
        <v>113</v>
      </c>
      <c r="C39" s="80">
        <v>2058</v>
      </c>
      <c r="D39" s="81">
        <v>0</v>
      </c>
      <c r="E39" s="81"/>
      <c r="F39" s="81">
        <f t="shared" si="4"/>
        <v>0</v>
      </c>
      <c r="G39" s="81">
        <f t="shared" si="0"/>
        <v>345542.24636104889</v>
      </c>
      <c r="H39" s="81">
        <f t="shared" si="3"/>
        <v>6956387.1735820267</v>
      </c>
      <c r="I39" s="83">
        <v>300000</v>
      </c>
    </row>
    <row r="40" spans="2:9" x14ac:dyDescent="0.2">
      <c r="B40" s="79" t="s">
        <v>113</v>
      </c>
      <c r="C40" s="80">
        <v>2059</v>
      </c>
      <c r="D40" s="81">
        <v>0</v>
      </c>
      <c r="E40" s="81"/>
      <c r="F40" s="81">
        <f t="shared" si="4"/>
        <v>0</v>
      </c>
      <c r="G40" s="81">
        <f t="shared" ref="G40:G71" si="5">(H39+F40)*$C$4</f>
        <v>347819.35867910134</v>
      </c>
      <c r="H40" s="81">
        <f t="shared" si="3"/>
        <v>7004206.5322611276</v>
      </c>
      <c r="I40" s="83">
        <v>300000</v>
      </c>
    </row>
    <row r="41" spans="2:9" x14ac:dyDescent="0.2">
      <c r="B41" s="79" t="s">
        <v>113</v>
      </c>
      <c r="C41" s="80">
        <v>2060</v>
      </c>
      <c r="D41" s="81">
        <v>0</v>
      </c>
      <c r="E41" s="81"/>
      <c r="F41" s="81">
        <f t="shared" si="4"/>
        <v>0</v>
      </c>
      <c r="G41" s="81">
        <f t="shared" si="5"/>
        <v>350210.32661305642</v>
      </c>
      <c r="H41" s="81">
        <f t="shared" si="3"/>
        <v>7054416.8588741841</v>
      </c>
      <c r="I41" s="83">
        <v>300000</v>
      </c>
    </row>
    <row r="42" spans="2:9" x14ac:dyDescent="0.2">
      <c r="B42" s="79" t="s">
        <v>113</v>
      </c>
      <c r="C42" s="80">
        <v>2061</v>
      </c>
      <c r="D42" s="81">
        <v>0</v>
      </c>
      <c r="E42" s="81"/>
      <c r="F42" s="81">
        <f t="shared" si="4"/>
        <v>0</v>
      </c>
      <c r="G42" s="81">
        <f t="shared" si="5"/>
        <v>352720.84294370923</v>
      </c>
      <c r="H42" s="81">
        <f t="shared" si="3"/>
        <v>7107137.7018178934</v>
      </c>
      <c r="I42" s="83">
        <v>300000</v>
      </c>
    </row>
    <row r="43" spans="2:9" x14ac:dyDescent="0.2">
      <c r="B43" s="79" t="s">
        <v>113</v>
      </c>
      <c r="C43" s="80">
        <v>2062</v>
      </c>
      <c r="D43" s="81">
        <v>0</v>
      </c>
      <c r="E43" s="81"/>
      <c r="F43" s="81">
        <f t="shared" si="4"/>
        <v>0</v>
      </c>
      <c r="G43" s="81">
        <f t="shared" si="5"/>
        <v>355356.88509089471</v>
      </c>
      <c r="H43" s="81">
        <f t="shared" si="3"/>
        <v>7162494.5869087884</v>
      </c>
      <c r="I43" s="83">
        <v>300000</v>
      </c>
    </row>
    <row r="44" spans="2:9" x14ac:dyDescent="0.2">
      <c r="B44" s="79" t="s">
        <v>113</v>
      </c>
      <c r="C44" s="80">
        <v>2063</v>
      </c>
      <c r="D44" s="81">
        <v>0</v>
      </c>
      <c r="E44" s="81"/>
      <c r="F44" s="81">
        <f t="shared" si="4"/>
        <v>0</v>
      </c>
      <c r="G44" s="81">
        <f t="shared" si="5"/>
        <v>358124.72934543947</v>
      </c>
      <c r="H44" s="81">
        <f t="shared" si="3"/>
        <v>7220619.3162542284</v>
      </c>
      <c r="I44" s="83">
        <v>300000</v>
      </c>
    </row>
    <row r="45" spans="2:9" x14ac:dyDescent="0.2">
      <c r="B45" s="79" t="s">
        <v>113</v>
      </c>
      <c r="C45" s="80">
        <v>2064</v>
      </c>
      <c r="D45" s="81">
        <v>0</v>
      </c>
      <c r="E45" s="81"/>
      <c r="F45" s="81">
        <f t="shared" si="4"/>
        <v>0</v>
      </c>
      <c r="G45" s="81">
        <f t="shared" si="5"/>
        <v>361030.96581271145</v>
      </c>
      <c r="H45" s="81">
        <f t="shared" si="3"/>
        <v>7281650.2820669394</v>
      </c>
      <c r="I45" s="83">
        <v>300000</v>
      </c>
    </row>
    <row r="46" spans="2:9" x14ac:dyDescent="0.2">
      <c r="B46" s="79" t="s">
        <v>113</v>
      </c>
      <c r="C46" s="80">
        <v>2065</v>
      </c>
      <c r="D46" s="81">
        <v>0</v>
      </c>
      <c r="E46" s="81"/>
      <c r="F46" s="81">
        <f t="shared" si="4"/>
        <v>0</v>
      </c>
      <c r="G46" s="81">
        <f t="shared" si="5"/>
        <v>364082.51410334697</v>
      </c>
      <c r="H46" s="81">
        <f t="shared" si="3"/>
        <v>7345732.7961702868</v>
      </c>
      <c r="I46" s="83">
        <v>300000</v>
      </c>
    </row>
    <row r="47" spans="2:9" x14ac:dyDescent="0.2">
      <c r="B47" s="79" t="s">
        <v>113</v>
      </c>
      <c r="C47" s="80">
        <v>2066</v>
      </c>
      <c r="D47" s="81">
        <v>0</v>
      </c>
      <c r="E47" s="81"/>
      <c r="F47" s="81">
        <f t="shared" si="4"/>
        <v>0</v>
      </c>
      <c r="G47" s="81">
        <f t="shared" si="5"/>
        <v>367286.63980851439</v>
      </c>
      <c r="H47" s="81">
        <f t="shared" si="3"/>
        <v>7413019.435978801</v>
      </c>
      <c r="I47" s="83">
        <v>300000</v>
      </c>
    </row>
    <row r="48" spans="2:9" x14ac:dyDescent="0.2">
      <c r="B48" s="79" t="s">
        <v>113</v>
      </c>
      <c r="C48" s="80">
        <v>2067</v>
      </c>
      <c r="D48" s="81">
        <v>0</v>
      </c>
      <c r="E48" s="81"/>
      <c r="F48" s="81">
        <f t="shared" si="4"/>
        <v>0</v>
      </c>
      <c r="G48" s="81">
        <f t="shared" si="5"/>
        <v>370650.9717989401</v>
      </c>
      <c r="H48" s="81">
        <f t="shared" si="3"/>
        <v>7483670.4077777416</v>
      </c>
      <c r="I48" s="83">
        <v>300000</v>
      </c>
    </row>
    <row r="49" spans="2:9" x14ac:dyDescent="0.2">
      <c r="B49" s="79" t="s">
        <v>113</v>
      </c>
      <c r="C49" s="80">
        <v>2068</v>
      </c>
      <c r="D49" s="81">
        <v>0</v>
      </c>
      <c r="E49" s="81"/>
      <c r="F49" s="81">
        <f t="shared" si="4"/>
        <v>0</v>
      </c>
      <c r="G49" s="81">
        <f t="shared" si="5"/>
        <v>374183.52038888709</v>
      </c>
      <c r="H49" s="81">
        <f t="shared" si="3"/>
        <v>7507853.9281666288</v>
      </c>
      <c r="I49" s="83">
        <v>350000</v>
      </c>
    </row>
    <row r="50" spans="2:9" x14ac:dyDescent="0.2">
      <c r="B50" s="79" t="s">
        <v>113</v>
      </c>
      <c r="C50" s="80">
        <v>2069</v>
      </c>
      <c r="D50" s="81">
        <v>0</v>
      </c>
      <c r="E50" s="81"/>
      <c r="F50" s="81">
        <f t="shared" si="4"/>
        <v>0</v>
      </c>
      <c r="G50" s="81">
        <f t="shared" si="5"/>
        <v>375392.69640833145</v>
      </c>
      <c r="H50" s="81">
        <f t="shared" si="3"/>
        <v>7533246.6245749602</v>
      </c>
      <c r="I50" s="83">
        <v>350000</v>
      </c>
    </row>
    <row r="51" spans="2:9" x14ac:dyDescent="0.2">
      <c r="B51" s="79" t="s">
        <v>113</v>
      </c>
      <c r="C51" s="80">
        <v>2070</v>
      </c>
      <c r="D51" s="81">
        <v>0</v>
      </c>
      <c r="E51" s="81"/>
      <c r="F51" s="81">
        <f t="shared" si="4"/>
        <v>0</v>
      </c>
      <c r="G51" s="81">
        <f t="shared" si="5"/>
        <v>376662.33122874802</v>
      </c>
      <c r="H51" s="81">
        <f t="shared" si="3"/>
        <v>7559908.9558037082</v>
      </c>
      <c r="I51" s="83">
        <v>350000</v>
      </c>
    </row>
    <row r="52" spans="2:9" x14ac:dyDescent="0.2">
      <c r="B52" s="79" t="s">
        <v>113</v>
      </c>
      <c r="C52" s="80">
        <v>2071</v>
      </c>
      <c r="D52" s="81">
        <v>0</v>
      </c>
      <c r="E52" s="81"/>
      <c r="F52" s="81">
        <f t="shared" si="4"/>
        <v>0</v>
      </c>
      <c r="G52" s="81">
        <f t="shared" si="5"/>
        <v>377995.44779018546</v>
      </c>
      <c r="H52" s="81">
        <f t="shared" si="3"/>
        <v>7587904.4035938941</v>
      </c>
      <c r="I52" s="83">
        <v>350000</v>
      </c>
    </row>
    <row r="53" spans="2:9" x14ac:dyDescent="0.2">
      <c r="B53" s="79" t="s">
        <v>113</v>
      </c>
      <c r="C53" s="80">
        <v>2072</v>
      </c>
      <c r="D53" s="81">
        <v>0</v>
      </c>
      <c r="E53" s="81"/>
      <c r="F53" s="81">
        <f t="shared" si="4"/>
        <v>0</v>
      </c>
      <c r="G53" s="81">
        <f t="shared" si="5"/>
        <v>379395.2201796947</v>
      </c>
      <c r="H53" s="81">
        <f t="shared" si="3"/>
        <v>7617299.6237735888</v>
      </c>
      <c r="I53" s="83">
        <v>350000</v>
      </c>
    </row>
    <row r="54" spans="2:9" x14ac:dyDescent="0.2">
      <c r="B54" s="79" t="s">
        <v>113</v>
      </c>
      <c r="C54" s="80">
        <v>2073</v>
      </c>
      <c r="D54" s="81">
        <v>0</v>
      </c>
      <c r="E54" s="81"/>
      <c r="F54" s="81">
        <f t="shared" si="4"/>
        <v>0</v>
      </c>
      <c r="G54" s="81">
        <f t="shared" si="5"/>
        <v>380864.98118867946</v>
      </c>
      <c r="H54" s="81">
        <f t="shared" si="3"/>
        <v>7798164.6049622679</v>
      </c>
      <c r="I54" s="83">
        <v>200000</v>
      </c>
    </row>
    <row r="55" spans="2:9" x14ac:dyDescent="0.2">
      <c r="B55" s="79" t="s">
        <v>113</v>
      </c>
      <c r="C55" s="80">
        <v>2074</v>
      </c>
      <c r="D55" s="81">
        <v>0</v>
      </c>
      <c r="E55" s="81"/>
      <c r="F55" s="81">
        <f t="shared" si="4"/>
        <v>0</v>
      </c>
      <c r="G55" s="81">
        <f t="shared" si="5"/>
        <v>389908.2302481134</v>
      </c>
      <c r="H55" s="81">
        <f t="shared" si="3"/>
        <v>7988072.8352103811</v>
      </c>
      <c r="I55" s="83">
        <v>200000</v>
      </c>
    </row>
    <row r="56" spans="2:9" x14ac:dyDescent="0.2">
      <c r="B56" s="79" t="s">
        <v>113</v>
      </c>
      <c r="C56" s="80">
        <v>2075</v>
      </c>
      <c r="D56" s="81">
        <v>0</v>
      </c>
      <c r="E56" s="81"/>
      <c r="F56" s="81">
        <f t="shared" si="4"/>
        <v>0</v>
      </c>
      <c r="G56" s="81">
        <f t="shared" si="5"/>
        <v>399403.64176051907</v>
      </c>
      <c r="H56" s="81">
        <f t="shared" si="3"/>
        <v>8187476.4769708999</v>
      </c>
      <c r="I56" s="83">
        <v>200000</v>
      </c>
    </row>
    <row r="57" spans="2:9" x14ac:dyDescent="0.2">
      <c r="B57" s="79" t="s">
        <v>113</v>
      </c>
      <c r="C57" s="80">
        <v>2076</v>
      </c>
      <c r="D57" s="81">
        <v>0</v>
      </c>
      <c r="E57" s="81"/>
      <c r="F57" s="81">
        <f t="shared" si="4"/>
        <v>0</v>
      </c>
      <c r="G57" s="81">
        <f t="shared" si="5"/>
        <v>409373.82384854503</v>
      </c>
      <c r="H57" s="81">
        <f t="shared" si="3"/>
        <v>8396850.3008194454</v>
      </c>
      <c r="I57" s="83">
        <v>200000</v>
      </c>
    </row>
    <row r="58" spans="2:9" x14ac:dyDescent="0.2">
      <c r="B58" s="79" t="s">
        <v>113</v>
      </c>
      <c r="C58" s="80">
        <v>2077</v>
      </c>
      <c r="D58" s="81">
        <v>0</v>
      </c>
      <c r="E58" s="81"/>
      <c r="F58" s="81">
        <f t="shared" si="4"/>
        <v>0</v>
      </c>
      <c r="G58" s="81">
        <f t="shared" si="5"/>
        <v>419842.51504097227</v>
      </c>
      <c r="H58" s="81">
        <f t="shared" si="3"/>
        <v>8616692.8158604167</v>
      </c>
      <c r="I58" s="83">
        <v>200000</v>
      </c>
    </row>
    <row r="59" spans="2:9" x14ac:dyDescent="0.2">
      <c r="B59" s="79" t="s">
        <v>113</v>
      </c>
      <c r="C59" s="80">
        <v>2078</v>
      </c>
      <c r="D59" s="81">
        <v>0</v>
      </c>
      <c r="E59" s="81"/>
      <c r="F59" s="81">
        <f t="shared" si="4"/>
        <v>0</v>
      </c>
      <c r="G59" s="81">
        <f t="shared" si="5"/>
        <v>430834.64079302084</v>
      </c>
      <c r="H59" s="81">
        <f t="shared" si="3"/>
        <v>8847527.4566534385</v>
      </c>
      <c r="I59" s="83">
        <v>200000</v>
      </c>
    </row>
    <row r="60" spans="2:9" x14ac:dyDescent="0.2">
      <c r="B60" s="79" t="s">
        <v>113</v>
      </c>
      <c r="C60" s="80">
        <v>2079</v>
      </c>
      <c r="D60" s="81">
        <v>0</v>
      </c>
      <c r="E60" s="81"/>
      <c r="F60" s="81">
        <f t="shared" si="4"/>
        <v>0</v>
      </c>
      <c r="G60" s="81">
        <f t="shared" si="5"/>
        <v>442376.37283267197</v>
      </c>
      <c r="H60" s="81">
        <f t="shared" si="3"/>
        <v>9089903.8294861112</v>
      </c>
      <c r="I60" s="83">
        <v>200000</v>
      </c>
    </row>
    <row r="61" spans="2:9" x14ac:dyDescent="0.2">
      <c r="B61" s="79" t="s">
        <v>113</v>
      </c>
      <c r="C61" s="80">
        <v>2080</v>
      </c>
      <c r="D61" s="81">
        <v>0</v>
      </c>
      <c r="E61" s="81"/>
      <c r="F61" s="81">
        <f t="shared" si="4"/>
        <v>0</v>
      </c>
      <c r="G61" s="81">
        <f t="shared" si="5"/>
        <v>454495.19147430558</v>
      </c>
      <c r="H61" s="81">
        <f t="shared" si="3"/>
        <v>9344399.0209604166</v>
      </c>
      <c r="I61" s="83">
        <v>200000</v>
      </c>
    </row>
    <row r="62" spans="2:9" x14ac:dyDescent="0.2">
      <c r="B62" s="79" t="s">
        <v>113</v>
      </c>
      <c r="C62" s="80">
        <v>2081</v>
      </c>
      <c r="D62" s="81">
        <v>0</v>
      </c>
      <c r="E62" s="81"/>
      <c r="F62" s="81">
        <f t="shared" si="4"/>
        <v>0</v>
      </c>
      <c r="G62" s="81">
        <f t="shared" si="5"/>
        <v>467219.95104802086</v>
      </c>
      <c r="H62" s="81">
        <f t="shared" si="3"/>
        <v>9611618.9720084369</v>
      </c>
      <c r="I62" s="83">
        <v>200000</v>
      </c>
    </row>
    <row r="63" spans="2:9" x14ac:dyDescent="0.2">
      <c r="B63" s="79" t="s">
        <v>113</v>
      </c>
      <c r="C63" s="80">
        <v>2082</v>
      </c>
      <c r="D63" s="81">
        <v>0</v>
      </c>
      <c r="E63" s="81"/>
      <c r="F63" s="81">
        <f t="shared" si="4"/>
        <v>0</v>
      </c>
      <c r="G63" s="81">
        <f t="shared" si="5"/>
        <v>480580.94860042189</v>
      </c>
      <c r="H63" s="81">
        <f t="shared" si="3"/>
        <v>9892199.9206088595</v>
      </c>
      <c r="I63" s="83">
        <v>200000</v>
      </c>
    </row>
    <row r="64" spans="2:9" x14ac:dyDescent="0.2">
      <c r="B64" s="79" t="s">
        <v>113</v>
      </c>
      <c r="C64" s="80">
        <v>2083</v>
      </c>
      <c r="D64" s="81">
        <v>0</v>
      </c>
      <c r="E64" s="81"/>
      <c r="F64" s="81">
        <f t="shared" si="4"/>
        <v>0</v>
      </c>
      <c r="G64" s="81">
        <f t="shared" si="5"/>
        <v>494609.996030443</v>
      </c>
      <c r="H64" s="81">
        <f t="shared" si="3"/>
        <v>10186809.916639302</v>
      </c>
      <c r="I64" s="83">
        <v>200000</v>
      </c>
    </row>
    <row r="65" spans="2:9" x14ac:dyDescent="0.2">
      <c r="B65" s="79" t="s">
        <v>113</v>
      </c>
      <c r="C65" s="80">
        <v>2084</v>
      </c>
      <c r="D65" s="81">
        <v>0</v>
      </c>
      <c r="E65" s="81"/>
      <c r="F65" s="81">
        <f t="shared" si="4"/>
        <v>0</v>
      </c>
      <c r="G65" s="81">
        <f t="shared" si="5"/>
        <v>509340.49583196512</v>
      </c>
      <c r="H65" s="81">
        <f t="shared" si="3"/>
        <v>10496150.412471266</v>
      </c>
      <c r="I65" s="83">
        <v>200000</v>
      </c>
    </row>
    <row r="66" spans="2:9" x14ac:dyDescent="0.2">
      <c r="B66" s="79" t="s">
        <v>113</v>
      </c>
      <c r="C66" s="80">
        <v>2085</v>
      </c>
      <c r="D66" s="81">
        <v>0</v>
      </c>
      <c r="E66" s="81"/>
      <c r="F66" s="81">
        <f t="shared" si="4"/>
        <v>0</v>
      </c>
      <c r="G66" s="81">
        <f t="shared" si="5"/>
        <v>524807.52062356332</v>
      </c>
      <c r="H66" s="81">
        <f t="shared" si="3"/>
        <v>10820957.933094829</v>
      </c>
      <c r="I66" s="83">
        <v>200000</v>
      </c>
    </row>
    <row r="67" spans="2:9" x14ac:dyDescent="0.2">
      <c r="B67" s="79" t="s">
        <v>113</v>
      </c>
      <c r="C67" s="80">
        <v>2086</v>
      </c>
      <c r="D67" s="81">
        <v>0</v>
      </c>
      <c r="E67" s="81"/>
      <c r="F67" s="81">
        <f t="shared" si="4"/>
        <v>0</v>
      </c>
      <c r="G67" s="81">
        <f t="shared" si="5"/>
        <v>541047.89665474149</v>
      </c>
      <c r="H67" s="81">
        <f t="shared" si="3"/>
        <v>11162005.829749571</v>
      </c>
      <c r="I67" s="83">
        <v>200000</v>
      </c>
    </row>
    <row r="68" spans="2:9" x14ac:dyDescent="0.2">
      <c r="B68" s="79" t="s">
        <v>113</v>
      </c>
      <c r="C68" s="80">
        <v>2087</v>
      </c>
      <c r="D68" s="81">
        <v>0</v>
      </c>
      <c r="E68" s="81"/>
      <c r="F68" s="81">
        <f t="shared" si="4"/>
        <v>0</v>
      </c>
      <c r="G68" s="81">
        <f t="shared" si="5"/>
        <v>558100.29148747853</v>
      </c>
      <c r="H68" s="81">
        <f t="shared" si="3"/>
        <v>11520106.121237049</v>
      </c>
      <c r="I68" s="83">
        <v>200000</v>
      </c>
    </row>
    <row r="69" spans="2:9" x14ac:dyDescent="0.2">
      <c r="B69" s="79" t="s">
        <v>113</v>
      </c>
      <c r="C69" s="80">
        <v>2088</v>
      </c>
      <c r="D69" s="81">
        <v>0</v>
      </c>
      <c r="E69" s="81"/>
      <c r="F69" s="81">
        <f t="shared" si="4"/>
        <v>0</v>
      </c>
      <c r="G69" s="81">
        <f t="shared" si="5"/>
        <v>576005.30606185249</v>
      </c>
      <c r="H69" s="81">
        <f t="shared" si="3"/>
        <v>11896111.427298902</v>
      </c>
      <c r="I69" s="83">
        <v>200000</v>
      </c>
    </row>
    <row r="70" spans="2:9" x14ac:dyDescent="0.2">
      <c r="B70" s="79" t="s">
        <v>113</v>
      </c>
      <c r="C70" s="80">
        <v>2089</v>
      </c>
      <c r="D70" s="81">
        <v>0</v>
      </c>
      <c r="E70" s="81"/>
      <c r="F70" s="81">
        <f t="shared" si="4"/>
        <v>0</v>
      </c>
      <c r="G70" s="81">
        <f t="shared" si="5"/>
        <v>594805.57136494515</v>
      </c>
      <c r="H70" s="81">
        <f t="shared" si="3"/>
        <v>12290916.998663846</v>
      </c>
      <c r="I70" s="83">
        <v>200000</v>
      </c>
    </row>
    <row r="71" spans="2:9" x14ac:dyDescent="0.2">
      <c r="B71" s="79" t="s">
        <v>113</v>
      </c>
      <c r="C71" s="80">
        <v>2090</v>
      </c>
      <c r="D71" s="81">
        <v>0</v>
      </c>
      <c r="E71" s="81"/>
      <c r="F71" s="81">
        <f t="shared" si="4"/>
        <v>0</v>
      </c>
      <c r="G71" s="81">
        <f t="shared" si="5"/>
        <v>614545.84993319237</v>
      </c>
      <c r="H71" s="81">
        <f t="shared" si="3"/>
        <v>12705462.848597039</v>
      </c>
      <c r="I71" s="83">
        <v>200000</v>
      </c>
    </row>
    <row r="72" spans="2:9" x14ac:dyDescent="0.2">
      <c r="B72" s="79" t="s">
        <v>113</v>
      </c>
      <c r="C72" s="80">
        <v>2091</v>
      </c>
      <c r="D72" s="81">
        <v>0</v>
      </c>
      <c r="E72" s="81"/>
      <c r="F72" s="81">
        <f t="shared" si="4"/>
        <v>0</v>
      </c>
      <c r="G72" s="81">
        <f t="shared" ref="G72:G103" si="6">(H71+F72)*$C$4</f>
        <v>635273.14242985193</v>
      </c>
      <c r="H72" s="81">
        <f t="shared" si="3"/>
        <v>13140735.99102689</v>
      </c>
      <c r="I72" s="83">
        <v>200000</v>
      </c>
    </row>
    <row r="73" spans="2:9" x14ac:dyDescent="0.2">
      <c r="B73" s="79" t="s">
        <v>113</v>
      </c>
      <c r="C73" s="80">
        <v>2092</v>
      </c>
      <c r="D73" s="81">
        <v>0</v>
      </c>
      <c r="E73" s="81"/>
      <c r="F73" s="81">
        <f t="shared" si="4"/>
        <v>0</v>
      </c>
      <c r="G73" s="81">
        <f t="shared" si="6"/>
        <v>657036.79955134448</v>
      </c>
      <c r="H73" s="81">
        <f t="shared" si="3"/>
        <v>13597772.790578235</v>
      </c>
      <c r="I73" s="83">
        <v>200000</v>
      </c>
    </row>
    <row r="74" spans="2:9" x14ac:dyDescent="0.2">
      <c r="B74" s="79" t="s">
        <v>113</v>
      </c>
      <c r="C74" s="80">
        <v>2093</v>
      </c>
      <c r="D74" s="81">
        <v>0</v>
      </c>
      <c r="E74" s="81"/>
      <c r="F74" s="81">
        <f t="shared" si="4"/>
        <v>0</v>
      </c>
      <c r="G74" s="81">
        <f t="shared" si="6"/>
        <v>679888.63952891179</v>
      </c>
      <c r="H74" s="81">
        <f t="shared" si="3"/>
        <v>14077661.430107147</v>
      </c>
      <c r="I74" s="83">
        <v>200000</v>
      </c>
    </row>
    <row r="75" spans="2:9" x14ac:dyDescent="0.2">
      <c r="B75" s="79" t="s">
        <v>113</v>
      </c>
      <c r="C75" s="80">
        <v>2094</v>
      </c>
      <c r="D75" s="81">
        <v>0</v>
      </c>
      <c r="E75" s="81"/>
      <c r="F75" s="81">
        <f t="shared" si="4"/>
        <v>0</v>
      </c>
      <c r="G75" s="81">
        <f t="shared" si="6"/>
        <v>703883.07150535739</v>
      </c>
      <c r="H75" s="81">
        <f t="shared" si="3"/>
        <v>14581544.501612503</v>
      </c>
      <c r="I75" s="83">
        <v>200000</v>
      </c>
    </row>
    <row r="76" spans="2:9" x14ac:dyDescent="0.2">
      <c r="B76" s="79" t="s">
        <v>113</v>
      </c>
      <c r="C76" s="80">
        <v>2095</v>
      </c>
      <c r="D76" s="81">
        <v>0</v>
      </c>
      <c r="E76" s="81"/>
      <c r="F76" s="81">
        <f t="shared" si="4"/>
        <v>0</v>
      </c>
      <c r="G76" s="81">
        <f t="shared" si="6"/>
        <v>729077.22508062515</v>
      </c>
      <c r="H76" s="81">
        <f t="shared" si="3"/>
        <v>15110621.726693127</v>
      </c>
      <c r="I76" s="83">
        <v>200000</v>
      </c>
    </row>
    <row r="77" spans="2:9" x14ac:dyDescent="0.2">
      <c r="B77" s="79" t="s">
        <v>113</v>
      </c>
      <c r="C77" s="80">
        <v>2096</v>
      </c>
      <c r="D77" s="81">
        <v>0</v>
      </c>
      <c r="E77" s="81"/>
      <c r="F77" s="81">
        <f t="shared" si="4"/>
        <v>0</v>
      </c>
      <c r="G77" s="81">
        <f t="shared" si="6"/>
        <v>755531.08633465646</v>
      </c>
      <c r="H77" s="81">
        <f t="shared" si="3"/>
        <v>15666152.813027784</v>
      </c>
      <c r="I77" s="83">
        <v>200000</v>
      </c>
    </row>
    <row r="78" spans="2:9" ht="17" thickBot="1" x14ac:dyDescent="0.25">
      <c r="B78" s="75" t="s">
        <v>113</v>
      </c>
      <c r="C78" s="84">
        <v>2097</v>
      </c>
      <c r="D78" s="85">
        <v>0</v>
      </c>
      <c r="E78" s="85"/>
      <c r="F78" s="85">
        <f t="shared" si="4"/>
        <v>0</v>
      </c>
      <c r="G78" s="85">
        <f t="shared" si="6"/>
        <v>783307.64065138926</v>
      </c>
      <c r="H78" s="85">
        <f t="shared" si="3"/>
        <v>16249460.453679174</v>
      </c>
      <c r="I78" s="86">
        <v>200000</v>
      </c>
    </row>
  </sheetData>
  <mergeCells count="2">
    <mergeCell ref="B2:C2"/>
    <mergeCell ref="B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Income Allocation</vt:lpstr>
      <vt:lpstr>Discounting Cash Flows</vt:lpstr>
      <vt:lpstr>Loan Schedule</vt:lpstr>
      <vt:lpstr>Depreciation Schedule</vt:lpstr>
      <vt:lpstr>Future Value Calculator</vt:lpstr>
      <vt:lpstr>Goal Seeking (Pool)</vt:lpstr>
      <vt:lpstr>Solver (Pool)</vt:lpstr>
      <vt:lpstr>Savings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Cotherman, Grant</dc:creator>
  <cp:lastModifiedBy>Cotherman, Grant</cp:lastModifiedBy>
  <dcterms:created xsi:type="dcterms:W3CDTF">2023-09-15T12:09:43Z</dcterms:created>
  <dcterms:modified xsi:type="dcterms:W3CDTF">2023-09-19T15:19:17Z</dcterms:modified>
</cp:coreProperties>
</file>