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2e626407304f9/Documents/Projects/Biden Tax Plan/October Update/"/>
    </mc:Choice>
  </mc:AlternateContent>
  <xr:revisionPtr revIDLastSave="698" documentId="8_{315F56F3-50EC-4E9A-85F6-5FD33467F7A6}" xr6:coauthVersionLast="45" xr6:coauthVersionMax="45" xr10:uidLastSave="{A72D5F65-50D9-418C-A2C9-AA65386B91DB}"/>
  <bookViews>
    <workbookView xWindow="3580" yWindow="860" windowWidth="23840" windowHeight="19250" xr2:uid="{00000000-000D-0000-FFFF-FFFF00000000}"/>
  </bookViews>
  <sheets>
    <sheet name="Results" sheetId="3" r:id="rId1"/>
    <sheet name="Corporate Rate" sheetId="1" r:id="rId2"/>
    <sheet name="GILTI" sheetId="2" r:id="rId3"/>
    <sheet name="Minimum Tax" sheetId="7" r:id="rId4"/>
    <sheet name="Drug advertising" sheetId="4" r:id="rId5"/>
    <sheet name="Energy Investment Credit" sheetId="5" r:id="rId6"/>
    <sheet name="Fossil Fuel Subsidies" sheetId="6" r:id="rId7"/>
    <sheet name="Real Estate" sheetId="8" r:id="rId8"/>
    <sheet name="Bank Tax" sheetId="9" r:id="rId9"/>
    <sheet name="Carbon Dioxide Sequestration" sheetId="10" r:id="rId10"/>
    <sheet name="Manufacturing tax credit" sheetId="11" r:id="rId11"/>
    <sheet name="Worker Classificatio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  <c r="L11" i="3"/>
  <c r="C11" i="3"/>
  <c r="D11" i="3"/>
  <c r="E11" i="3"/>
  <c r="F11" i="3"/>
  <c r="G11" i="3"/>
  <c r="H11" i="3"/>
  <c r="I11" i="3"/>
  <c r="J11" i="3"/>
  <c r="K11" i="3"/>
  <c r="B11" i="3"/>
  <c r="D16" i="12"/>
  <c r="E16" i="12"/>
  <c r="F16" i="12"/>
  <c r="G16" i="12"/>
  <c r="H16" i="12"/>
  <c r="I16" i="12"/>
  <c r="J16" i="12"/>
  <c r="K16" i="12"/>
  <c r="L16" i="12"/>
  <c r="C16" i="12"/>
  <c r="D11" i="12"/>
  <c r="E11" i="12"/>
  <c r="F11" i="12"/>
  <c r="G11" i="12"/>
  <c r="H11" i="12"/>
  <c r="I11" i="12"/>
  <c r="J11" i="12"/>
  <c r="K11" i="12"/>
  <c r="L11" i="12"/>
  <c r="C11" i="12"/>
  <c r="C8" i="12"/>
  <c r="L28" i="2" l="1"/>
  <c r="L26" i="2"/>
  <c r="B47" i="2"/>
  <c r="B15" i="1" l="1"/>
  <c r="C6" i="3"/>
  <c r="D6" i="3"/>
  <c r="E6" i="3"/>
  <c r="F6" i="3"/>
  <c r="G6" i="3"/>
  <c r="H6" i="3"/>
  <c r="I6" i="3"/>
  <c r="J6" i="3"/>
  <c r="K6" i="3"/>
  <c r="B6" i="3"/>
  <c r="E16" i="7"/>
  <c r="F16" i="7"/>
  <c r="G16" i="7"/>
  <c r="H16" i="7"/>
  <c r="I16" i="7"/>
  <c r="J16" i="7"/>
  <c r="K16" i="7"/>
  <c r="L16" i="7"/>
  <c r="M16" i="7"/>
  <c r="D16" i="7"/>
  <c r="E15" i="7"/>
  <c r="F15" i="7"/>
  <c r="G15" i="7"/>
  <c r="H15" i="7"/>
  <c r="I15" i="7"/>
  <c r="J15" i="7"/>
  <c r="K15" i="7"/>
  <c r="L15" i="7"/>
  <c r="M15" i="7"/>
  <c r="D15" i="7"/>
  <c r="B26" i="1" l="1"/>
  <c r="C10" i="3"/>
  <c r="D10" i="3"/>
  <c r="E10" i="3"/>
  <c r="F10" i="3"/>
  <c r="G10" i="3"/>
  <c r="H10" i="3"/>
  <c r="I10" i="3"/>
  <c r="J10" i="3"/>
  <c r="K10" i="3"/>
  <c r="B10" i="3"/>
  <c r="L10" i="3" s="1"/>
  <c r="M10" i="11"/>
  <c r="E10" i="11"/>
  <c r="F10" i="11"/>
  <c r="G10" i="11"/>
  <c r="H10" i="11"/>
  <c r="I10" i="11"/>
  <c r="J10" i="11"/>
  <c r="K10" i="11"/>
  <c r="L10" i="11"/>
  <c r="D10" i="11"/>
  <c r="E6" i="11"/>
  <c r="F6" i="11"/>
  <c r="G6" i="11"/>
  <c r="H6" i="11"/>
  <c r="I6" i="11"/>
  <c r="J6" i="11"/>
  <c r="K6" i="11"/>
  <c r="L6" i="11"/>
  <c r="D6" i="11"/>
  <c r="G30" i="2"/>
  <c r="C28" i="2"/>
  <c r="D28" i="2"/>
  <c r="E28" i="2"/>
  <c r="F28" i="2"/>
  <c r="G28" i="2"/>
  <c r="H28" i="2"/>
  <c r="I28" i="2"/>
  <c r="J28" i="2"/>
  <c r="K28" i="2"/>
  <c r="B28" i="2"/>
  <c r="C26" i="2"/>
  <c r="D26" i="2"/>
  <c r="E26" i="2"/>
  <c r="F26" i="2"/>
  <c r="G26" i="2"/>
  <c r="H26" i="2"/>
  <c r="I26" i="2"/>
  <c r="J26" i="2"/>
  <c r="K26" i="2"/>
  <c r="B26" i="2"/>
  <c r="B30" i="2" s="1"/>
  <c r="C42" i="2"/>
  <c r="G42" i="2"/>
  <c r="B43" i="2"/>
  <c r="B44" i="2"/>
  <c r="B50" i="2" s="1"/>
  <c r="B4" i="3" s="1"/>
  <c r="B42" i="2"/>
  <c r="B38" i="2"/>
  <c r="G40" i="2"/>
  <c r="B40" i="2"/>
  <c r="H33" i="2"/>
  <c r="I33" i="2" s="1"/>
  <c r="I40" i="2" s="1"/>
  <c r="B37" i="2"/>
  <c r="C35" i="2"/>
  <c r="D35" i="2" s="1"/>
  <c r="E35" i="2" s="1"/>
  <c r="F35" i="2" s="1"/>
  <c r="G35" i="2" s="1"/>
  <c r="H35" i="2" s="1"/>
  <c r="I35" i="2" s="1"/>
  <c r="J35" i="2" s="1"/>
  <c r="K35" i="2" s="1"/>
  <c r="K44" i="2" s="1"/>
  <c r="K50" i="2" s="1"/>
  <c r="K4" i="3" s="1"/>
  <c r="C34" i="2"/>
  <c r="D34" i="2" s="1"/>
  <c r="C33" i="2"/>
  <c r="D33" i="2" s="1"/>
  <c r="E33" i="2" s="1"/>
  <c r="F33" i="2" s="1"/>
  <c r="F40" i="2" s="1"/>
  <c r="C12" i="3"/>
  <c r="D12" i="3"/>
  <c r="E12" i="3"/>
  <c r="F12" i="3"/>
  <c r="G12" i="3"/>
  <c r="H12" i="3"/>
  <c r="I12" i="3"/>
  <c r="J12" i="3"/>
  <c r="K12" i="3"/>
  <c r="B12" i="3"/>
  <c r="H16" i="6"/>
  <c r="I16" i="6"/>
  <c r="J16" i="6"/>
  <c r="K16" i="6"/>
  <c r="L16" i="6"/>
  <c r="M16" i="6"/>
  <c r="N16" i="6"/>
  <c r="O16" i="6"/>
  <c r="P16" i="6"/>
  <c r="G16" i="6"/>
  <c r="H14" i="6"/>
  <c r="I14" i="6"/>
  <c r="J14" i="6"/>
  <c r="K14" i="6"/>
  <c r="L14" i="6"/>
  <c r="M14" i="6"/>
  <c r="N14" i="6"/>
  <c r="O14" i="6"/>
  <c r="P14" i="6"/>
  <c r="G14" i="6"/>
  <c r="F21" i="5"/>
  <c r="G21" i="5"/>
  <c r="H21" i="5"/>
  <c r="I21" i="5"/>
  <c r="J21" i="5"/>
  <c r="K21" i="5"/>
  <c r="L21" i="5"/>
  <c r="I8" i="3" s="1"/>
  <c r="M21" i="5"/>
  <c r="N21" i="5"/>
  <c r="K8" i="3" s="1"/>
  <c r="E21" i="5"/>
  <c r="C8" i="3"/>
  <c r="D8" i="3"/>
  <c r="E8" i="3"/>
  <c r="F8" i="3"/>
  <c r="G8" i="3"/>
  <c r="H8" i="3"/>
  <c r="J8" i="3"/>
  <c r="B8" i="3"/>
  <c r="F19" i="5"/>
  <c r="G19" i="5"/>
  <c r="H19" i="5"/>
  <c r="I19" i="5"/>
  <c r="J19" i="5"/>
  <c r="K19" i="5"/>
  <c r="L19" i="5"/>
  <c r="M19" i="5"/>
  <c r="N19" i="5"/>
  <c r="E19" i="5"/>
  <c r="G13" i="5"/>
  <c r="G14" i="5" s="1"/>
  <c r="I13" i="5"/>
  <c r="I14" i="5" s="1"/>
  <c r="H13" i="5"/>
  <c r="E13" i="5"/>
  <c r="C10" i="5"/>
  <c r="D10" i="5"/>
  <c r="C9" i="5"/>
  <c r="C12" i="4"/>
  <c r="D12" i="4"/>
  <c r="B13" i="4"/>
  <c r="I30" i="2" l="1"/>
  <c r="H30" i="2"/>
  <c r="F30" i="2"/>
  <c r="E30" i="2"/>
  <c r="D30" i="2"/>
  <c r="C30" i="2"/>
  <c r="E42" i="2"/>
  <c r="D42" i="2"/>
  <c r="E34" i="2"/>
  <c r="D43" i="2"/>
  <c r="C44" i="2"/>
  <c r="C43" i="2"/>
  <c r="C46" i="2" s="1"/>
  <c r="C40" i="2"/>
  <c r="I44" i="2"/>
  <c r="I50" i="2" s="1"/>
  <c r="I4" i="3" s="1"/>
  <c r="G38" i="2"/>
  <c r="E40" i="2"/>
  <c r="D40" i="2"/>
  <c r="J44" i="2"/>
  <c r="J50" i="2" s="1"/>
  <c r="J4" i="3" s="1"/>
  <c r="H44" i="2"/>
  <c r="H50" i="2" s="1"/>
  <c r="H4" i="3" s="1"/>
  <c r="G44" i="2"/>
  <c r="G50" i="2" s="1"/>
  <c r="G4" i="3" s="1"/>
  <c r="I42" i="2"/>
  <c r="I47" i="2" s="1"/>
  <c r="I3" i="3" s="1"/>
  <c r="F38" i="2"/>
  <c r="F44" i="2"/>
  <c r="H42" i="2"/>
  <c r="H47" i="2" s="1"/>
  <c r="H3" i="3" s="1"/>
  <c r="H40" i="2"/>
  <c r="E44" i="2"/>
  <c r="D44" i="2"/>
  <c r="D50" i="2" s="1"/>
  <c r="D4" i="3" s="1"/>
  <c r="F42" i="2"/>
  <c r="B3" i="3"/>
  <c r="B46" i="2"/>
  <c r="G47" i="2"/>
  <c r="G3" i="3" s="1"/>
  <c r="J33" i="2"/>
  <c r="J30" i="2" s="1"/>
  <c r="I38" i="2"/>
  <c r="H38" i="2"/>
  <c r="D38" i="2"/>
  <c r="C38" i="2"/>
  <c r="C37" i="2"/>
  <c r="D37" i="2"/>
  <c r="E38" i="2"/>
  <c r="E47" i="2" l="1"/>
  <c r="E3" i="3" s="1"/>
  <c r="E50" i="2"/>
  <c r="E4" i="3" s="1"/>
  <c r="C47" i="2"/>
  <c r="C3" i="3" s="1"/>
  <c r="C50" i="2"/>
  <c r="C4" i="3" s="1"/>
  <c r="D46" i="2"/>
  <c r="F47" i="2"/>
  <c r="F3" i="3" s="1"/>
  <c r="F50" i="2"/>
  <c r="F4" i="3" s="1"/>
  <c r="D47" i="2"/>
  <c r="D3" i="3" s="1"/>
  <c r="F34" i="2"/>
  <c r="E43" i="2"/>
  <c r="E46" i="2" s="1"/>
  <c r="J40" i="2"/>
  <c r="J42" i="2"/>
  <c r="J47" i="2" s="1"/>
  <c r="J3" i="3" s="1"/>
  <c r="E37" i="2"/>
  <c r="K33" i="2"/>
  <c r="K30" i="2" s="1"/>
  <c r="J38" i="2"/>
  <c r="L4" i="3" l="1"/>
  <c r="G34" i="2"/>
  <c r="F43" i="2"/>
  <c r="F46" i="2" s="1"/>
  <c r="F37" i="2"/>
  <c r="K40" i="2"/>
  <c r="K42" i="2"/>
  <c r="K47" i="2" s="1"/>
  <c r="K3" i="3" s="1"/>
  <c r="K38" i="2"/>
  <c r="H34" i="2" l="1"/>
  <c r="G43" i="2"/>
  <c r="G46" i="2" s="1"/>
  <c r="G37" i="2"/>
  <c r="I34" i="2" l="1"/>
  <c r="H43" i="2"/>
  <c r="H46" i="2" s="1"/>
  <c r="H37" i="2"/>
  <c r="J34" i="2" l="1"/>
  <c r="I43" i="2"/>
  <c r="I46" i="2" s="1"/>
  <c r="I37" i="2"/>
  <c r="K34" i="2" l="1"/>
  <c r="J43" i="2"/>
  <c r="J46" i="2" s="1"/>
  <c r="J37" i="2"/>
  <c r="K43" i="2" l="1"/>
  <c r="K46" i="2" s="1"/>
  <c r="K37" i="2"/>
  <c r="K6" i="7" l="1"/>
  <c r="C12" i="10"/>
  <c r="D12" i="10"/>
  <c r="E12" i="10"/>
  <c r="F12" i="10"/>
  <c r="M12" i="10" s="1"/>
  <c r="G12" i="10"/>
  <c r="F9" i="3" s="1"/>
  <c r="H12" i="10"/>
  <c r="G9" i="3" s="1"/>
  <c r="I12" i="10"/>
  <c r="H9" i="3" s="1"/>
  <c r="J12" i="10"/>
  <c r="I9" i="3" s="1"/>
  <c r="K12" i="10"/>
  <c r="J9" i="3" s="1"/>
  <c r="L12" i="10"/>
  <c r="D9" i="3"/>
  <c r="B9" i="3"/>
  <c r="K9" i="3"/>
  <c r="M6" i="10"/>
  <c r="N6" i="10" s="1"/>
  <c r="L6" i="10"/>
  <c r="C14" i="3"/>
  <c r="D14" i="3"/>
  <c r="E14" i="3"/>
  <c r="F14" i="3"/>
  <c r="G14" i="3"/>
  <c r="H14" i="3"/>
  <c r="I14" i="3"/>
  <c r="J14" i="3"/>
  <c r="K14" i="3"/>
  <c r="B14" i="3"/>
  <c r="L10" i="9"/>
  <c r="D10" i="9"/>
  <c r="E10" i="9"/>
  <c r="F10" i="9"/>
  <c r="G10" i="9"/>
  <c r="H10" i="9"/>
  <c r="I10" i="9"/>
  <c r="J10" i="9"/>
  <c r="K10" i="9"/>
  <c r="C10" i="9"/>
  <c r="C2" i="3"/>
  <c r="D2" i="3"/>
  <c r="E2" i="3"/>
  <c r="F2" i="3"/>
  <c r="G2" i="3"/>
  <c r="H2" i="3"/>
  <c r="I2" i="3"/>
  <c r="J2" i="3"/>
  <c r="K2" i="3"/>
  <c r="B2" i="3"/>
  <c r="B16" i="1"/>
  <c r="L26" i="1"/>
  <c r="C26" i="1"/>
  <c r="D26" i="1"/>
  <c r="E26" i="1"/>
  <c r="F26" i="1"/>
  <c r="G26" i="1"/>
  <c r="H26" i="1"/>
  <c r="I26" i="1"/>
  <c r="J26" i="1"/>
  <c r="K26" i="1"/>
  <c r="B20" i="1"/>
  <c r="H7" i="1" s="1"/>
  <c r="L15" i="1"/>
  <c r="C15" i="1"/>
  <c r="C14" i="2"/>
  <c r="B4" i="2" s="1"/>
  <c r="L24" i="2"/>
  <c r="L22" i="2"/>
  <c r="A8" i="2"/>
  <c r="B7" i="2" s="1"/>
  <c r="C7" i="2" s="1"/>
  <c r="L14" i="3" l="1"/>
  <c r="E9" i="3"/>
  <c r="C9" i="3"/>
  <c r="D7" i="1"/>
  <c r="J7" i="1"/>
  <c r="G7" i="1"/>
  <c r="F7" i="1"/>
  <c r="E7" i="1"/>
  <c r="C7" i="1"/>
  <c r="I7" i="1"/>
  <c r="B7" i="1"/>
  <c r="K7" i="1"/>
  <c r="C15" i="2"/>
  <c r="D14" i="2"/>
  <c r="C16" i="2"/>
  <c r="B5" i="2" s="1"/>
  <c r="B6" i="2" s="1"/>
  <c r="B10" i="2"/>
  <c r="C17" i="2"/>
  <c r="D7" i="2"/>
  <c r="L9" i="3" l="1"/>
  <c r="C16" i="1"/>
  <c r="E14" i="2"/>
  <c r="D16" i="2"/>
  <c r="C5" i="2" s="1"/>
  <c r="C4" i="2"/>
  <c r="D15" i="2"/>
  <c r="C10" i="2"/>
  <c r="E7" i="2"/>
  <c r="D16" i="1" l="1"/>
  <c r="E16" i="1" s="1"/>
  <c r="F16" i="1" s="1"/>
  <c r="G16" i="1" s="1"/>
  <c r="H16" i="1" s="1"/>
  <c r="I16" i="1" s="1"/>
  <c r="J16" i="1" s="1"/>
  <c r="K16" i="1" s="1"/>
  <c r="L16" i="1" s="1"/>
  <c r="C6" i="2"/>
  <c r="D4" i="2"/>
  <c r="D10" i="2" s="1"/>
  <c r="F14" i="2"/>
  <c r="E16" i="2"/>
  <c r="D5" i="2" s="1"/>
  <c r="D6" i="2" s="1"/>
  <c r="F7" i="2"/>
  <c r="E4" i="2" l="1"/>
  <c r="G14" i="2"/>
  <c r="G7" i="2"/>
  <c r="F4" i="2" l="1"/>
  <c r="H14" i="2"/>
  <c r="I14" i="2" s="1"/>
  <c r="J14" i="2" s="1"/>
  <c r="K14" i="2" s="1"/>
  <c r="L14" i="2" s="1"/>
  <c r="E10" i="2"/>
  <c r="H7" i="2"/>
  <c r="C13" i="3"/>
  <c r="D13" i="3"/>
  <c r="E13" i="3"/>
  <c r="F13" i="3"/>
  <c r="G13" i="3"/>
  <c r="H13" i="3"/>
  <c r="I13" i="3"/>
  <c r="B13" i="3"/>
  <c r="C39" i="8"/>
  <c r="D39" i="8"/>
  <c r="E39" i="8"/>
  <c r="B42" i="8" s="1"/>
  <c r="F39" i="8"/>
  <c r="C42" i="8" s="1"/>
  <c r="G39" i="8"/>
  <c r="D42" i="8" s="1"/>
  <c r="H39" i="8"/>
  <c r="E42" i="8" s="1"/>
  <c r="I39" i="8"/>
  <c r="J39" i="8"/>
  <c r="K39" i="8"/>
  <c r="L39" i="8"/>
  <c r="B39" i="8"/>
  <c r="F42" i="8"/>
  <c r="G42" i="8"/>
  <c r="H42" i="8"/>
  <c r="I42" i="8"/>
  <c r="J42" i="8" s="1"/>
  <c r="K42" i="8" s="1"/>
  <c r="K13" i="3" s="1"/>
  <c r="C35" i="8"/>
  <c r="D35" i="8"/>
  <c r="E35" i="8"/>
  <c r="F35" i="8"/>
  <c r="G35" i="8"/>
  <c r="H35" i="8"/>
  <c r="I35" i="8"/>
  <c r="J35" i="8"/>
  <c r="K35" i="8"/>
  <c r="L35" i="8"/>
  <c r="C36" i="8"/>
  <c r="D36" i="8"/>
  <c r="E36" i="8"/>
  <c r="F36" i="8"/>
  <c r="G36" i="8"/>
  <c r="H36" i="8"/>
  <c r="I36" i="8"/>
  <c r="J36" i="8"/>
  <c r="K36" i="8"/>
  <c r="L36" i="8"/>
  <c r="C37" i="8"/>
  <c r="D37" i="8"/>
  <c r="E37" i="8"/>
  <c r="F37" i="8"/>
  <c r="G37" i="8"/>
  <c r="H37" i="8"/>
  <c r="I37" i="8"/>
  <c r="J37" i="8"/>
  <c r="K37" i="8"/>
  <c r="L37" i="8"/>
  <c r="B36" i="8"/>
  <c r="B37" i="8"/>
  <c r="B35" i="8"/>
  <c r="C31" i="8"/>
  <c r="D31" i="8"/>
  <c r="E31" i="8"/>
  <c r="F31" i="8"/>
  <c r="G31" i="8"/>
  <c r="H31" i="8"/>
  <c r="I31" i="8"/>
  <c r="J31" i="8"/>
  <c r="K31" i="8"/>
  <c r="L31" i="8"/>
  <c r="C32" i="8"/>
  <c r="D32" i="8"/>
  <c r="E32" i="8"/>
  <c r="F32" i="8"/>
  <c r="G32" i="8"/>
  <c r="H32" i="8"/>
  <c r="I32" i="8"/>
  <c r="J32" i="8"/>
  <c r="K32" i="8"/>
  <c r="L32" i="8"/>
  <c r="C33" i="8"/>
  <c r="D33" i="8"/>
  <c r="E33" i="8"/>
  <c r="F33" i="8"/>
  <c r="G33" i="8"/>
  <c r="H33" i="8"/>
  <c r="I33" i="8"/>
  <c r="J33" i="8"/>
  <c r="K33" i="8"/>
  <c r="L33" i="8"/>
  <c r="B32" i="8"/>
  <c r="B33" i="8"/>
  <c r="B31" i="8"/>
  <c r="J13" i="3" l="1"/>
  <c r="L42" i="8"/>
  <c r="F10" i="2"/>
  <c r="I7" i="2"/>
  <c r="J7" i="2" l="1"/>
  <c r="K7" i="2" l="1"/>
  <c r="L7" i="2" s="1"/>
  <c r="B6" i="7"/>
  <c r="D6" i="7" l="1"/>
  <c r="O9" i="6"/>
  <c r="H10" i="5"/>
  <c r="J10" i="5"/>
  <c r="D9" i="5"/>
  <c r="E9" i="5"/>
  <c r="E10" i="5" s="1"/>
  <c r="F9" i="5"/>
  <c r="F10" i="5" s="1"/>
  <c r="G9" i="5"/>
  <c r="G10" i="5" s="1"/>
  <c r="H9" i="5"/>
  <c r="I9" i="5"/>
  <c r="I10" i="5" s="1"/>
  <c r="J9" i="5"/>
  <c r="K9" i="5"/>
  <c r="K10" i="5" s="1"/>
  <c r="L9" i="5"/>
  <c r="L10" i="5" s="1"/>
  <c r="B9" i="5"/>
  <c r="F13" i="5" l="1"/>
  <c r="H14" i="5"/>
  <c r="J13" i="5"/>
  <c r="J14" i="5" s="1"/>
  <c r="K13" i="5"/>
  <c r="K14" i="5" s="1"/>
  <c r="L13" i="5"/>
  <c r="L14" i="5" s="1"/>
  <c r="M13" i="5"/>
  <c r="M14" i="5" s="1"/>
  <c r="N13" i="5"/>
  <c r="N14" i="5" s="1"/>
  <c r="E12" i="4"/>
  <c r="D13" i="4"/>
  <c r="P9" i="6"/>
  <c r="L12" i="3" s="1"/>
  <c r="E6" i="7"/>
  <c r="C13" i="4"/>
  <c r="D17" i="2"/>
  <c r="F14" i="5" l="1"/>
  <c r="L8" i="3" s="1"/>
  <c r="F16" i="2"/>
  <c r="F6" i="7"/>
  <c r="F12" i="4"/>
  <c r="E13" i="4"/>
  <c r="G15" i="2"/>
  <c r="E17" i="2"/>
  <c r="F15" i="2"/>
  <c r="E15" i="2"/>
  <c r="D15" i="1"/>
  <c r="F17" i="2" l="1"/>
  <c r="E5" i="2"/>
  <c r="E6" i="2" s="1"/>
  <c r="G16" i="2"/>
  <c r="G12" i="4"/>
  <c r="F13" i="4"/>
  <c r="G6" i="7"/>
  <c r="H15" i="2"/>
  <c r="G4" i="2" s="1"/>
  <c r="E15" i="1"/>
  <c r="B7" i="3"/>
  <c r="B16" i="3" s="1"/>
  <c r="G17" i="2" l="1"/>
  <c r="F5" i="2"/>
  <c r="F6" i="2" s="1"/>
  <c r="G10" i="2"/>
  <c r="H16" i="2"/>
  <c r="H6" i="7"/>
  <c r="H12" i="4"/>
  <c r="G13" i="4"/>
  <c r="F15" i="1"/>
  <c r="C7" i="3"/>
  <c r="C16" i="3" s="1"/>
  <c r="H17" i="2" l="1"/>
  <c r="G5" i="2"/>
  <c r="G6" i="2" s="1"/>
  <c r="I16" i="2"/>
  <c r="H5" i="2" s="1"/>
  <c r="I15" i="2"/>
  <c r="H4" i="2" s="1"/>
  <c r="I12" i="4"/>
  <c r="H13" i="4"/>
  <c r="I6" i="7"/>
  <c r="G15" i="1"/>
  <c r="D7" i="3"/>
  <c r="D16" i="3" s="1"/>
  <c r="H6" i="2" l="1"/>
  <c r="H10" i="2"/>
  <c r="I17" i="2"/>
  <c r="J16" i="2"/>
  <c r="I5" i="2" s="1"/>
  <c r="J15" i="2"/>
  <c r="I4" i="2" s="1"/>
  <c r="J6" i="7"/>
  <c r="J12" i="4"/>
  <c r="I13" i="4"/>
  <c r="H15" i="1"/>
  <c r="E7" i="3"/>
  <c r="E16" i="3" s="1"/>
  <c r="I6" i="2" l="1"/>
  <c r="I10" i="2"/>
  <c r="J17" i="2"/>
  <c r="K16" i="2"/>
  <c r="J5" i="2" s="1"/>
  <c r="K15" i="2"/>
  <c r="J4" i="2" s="1"/>
  <c r="K12" i="4"/>
  <c r="J13" i="4"/>
  <c r="I15" i="1"/>
  <c r="F7" i="3"/>
  <c r="F16" i="3" s="1"/>
  <c r="J6" i="2" l="1"/>
  <c r="J10" i="2"/>
  <c r="L16" i="2"/>
  <c r="K5" i="2" s="1"/>
  <c r="L15" i="2"/>
  <c r="K4" i="2" s="1"/>
  <c r="K17" i="2"/>
  <c r="L6" i="3"/>
  <c r="L12" i="4"/>
  <c r="K13" i="4"/>
  <c r="J15" i="1"/>
  <c r="G7" i="3"/>
  <c r="G16" i="3" s="1"/>
  <c r="K6" i="2" l="1"/>
  <c r="L6" i="2" s="1"/>
  <c r="K10" i="2"/>
  <c r="L17" i="2"/>
  <c r="L13" i="3"/>
  <c r="M12" i="4"/>
  <c r="L13" i="4"/>
  <c r="K15" i="1"/>
  <c r="H7" i="3"/>
  <c r="H16" i="3" s="1"/>
  <c r="L10" i="2" l="1"/>
  <c r="N12" i="4"/>
  <c r="N13" i="4" s="1"/>
  <c r="M13" i="4"/>
  <c r="L2" i="3"/>
  <c r="I7" i="3"/>
  <c r="I16" i="3" s="1"/>
  <c r="L3" i="3" l="1"/>
  <c r="K7" i="3"/>
  <c r="K16" i="3" s="1"/>
  <c r="J7" i="3"/>
  <c r="J16" i="3" s="1"/>
  <c r="L7" i="3" l="1"/>
  <c r="L16" i="3" s="1"/>
</calcChain>
</file>

<file path=xl/sharedStrings.xml><?xml version="1.0" encoding="utf-8"?>
<sst xmlns="http://schemas.openxmlformats.org/spreadsheetml/2006/main" count="107" uniqueCount="84">
  <si>
    <t>Corporate Taxable Income</t>
  </si>
  <si>
    <t>Corporate Taxable Income +NOLs</t>
  </si>
  <si>
    <t>Baseline</t>
  </si>
  <si>
    <t>28% rate</t>
  </si>
  <si>
    <t>28% Rate</t>
  </si>
  <si>
    <t>Corporate taxable income 2013 from IRS</t>
  </si>
  <si>
    <t>GILTI From JCT</t>
  </si>
  <si>
    <t>15% Minimum Tax</t>
  </si>
  <si>
    <t>Deduction for drug advertising</t>
  </si>
  <si>
    <t>$6 billion in 2016 in DTC spending</t>
  </si>
  <si>
    <t>Assume it grows by nominal GDP</t>
  </si>
  <si>
    <t>Restore Energy investment Tax Credit</t>
  </si>
  <si>
    <t>Treasury Tax expenditures</t>
  </si>
  <si>
    <t>Fix it to 2021's % of GDP (the last year before phaseout)</t>
  </si>
  <si>
    <t>Tax Preferences for Fossil Fuels</t>
  </si>
  <si>
    <t>Change in Revenues</t>
  </si>
  <si>
    <t>Repeal the expensing of exploration and development costs</t>
  </si>
  <si>
    <t>Disallow the use of the percentage depletion allowance</t>
  </si>
  <si>
    <t>Both alternatives above</t>
  </si>
  <si>
    <t>From CBO options book</t>
  </si>
  <si>
    <t>Tax Preferences for Real Estate</t>
  </si>
  <si>
    <t>2022 value from TPC. Set to fixed share of GDP</t>
  </si>
  <si>
    <t>Total</t>
  </si>
  <si>
    <t>Estimates from IRS CFC data (rough)</t>
  </si>
  <si>
    <t>Baseline GILTI (50% deduction)</t>
  </si>
  <si>
    <t>37.5% Deduction</t>
  </si>
  <si>
    <t>25% Deduction</t>
  </si>
  <si>
    <t>Effective marginal tax rate under Biden: 18.3% from IRS data</t>
  </si>
  <si>
    <t>Treasury</t>
  </si>
  <si>
    <t>Treasury/1000</t>
  </si>
  <si>
    <t>2021-2030</t>
  </si>
  <si>
    <t>From IRS Data (2013)</t>
  </si>
  <si>
    <t>https://jamanetwork.com/journals/jama/fullarticle/2720029</t>
  </si>
  <si>
    <t>10% Surtax on Imports</t>
  </si>
  <si>
    <t>From Treasury</t>
  </si>
  <si>
    <t>Exception from Passive loss rules for $25,000 of rental loss</t>
  </si>
  <si>
    <t>Accelerated depreciation on rental housing</t>
  </si>
  <si>
    <t>Deferral of gains from like-kind</t>
  </si>
  <si>
    <t>Individual</t>
  </si>
  <si>
    <t>Corporate</t>
  </si>
  <si>
    <t>Adjusted</t>
  </si>
  <si>
    <t>Baseline Noncorporate</t>
  </si>
  <si>
    <t>Baseline Corporate</t>
  </si>
  <si>
    <t>Biden Noncorporate</t>
  </si>
  <si>
    <t>Biden Corporate</t>
  </si>
  <si>
    <t>Adjust to 2021-2030</t>
  </si>
  <si>
    <t>25% Deduction GILTI</t>
  </si>
  <si>
    <t>Previous Estimate</t>
  </si>
  <si>
    <t>Clausing 2017 CbC 21% Rate (average of estimates)</t>
  </si>
  <si>
    <t>Reference for comparison:</t>
  </si>
  <si>
    <t>19-percent minimum tax (Obama budget)</t>
  </si>
  <si>
    <t>Foreign corporate profits (total minus domestic)</t>
  </si>
  <si>
    <t>Reduce GILTI Deduction, CbC minimum tax, and repeal QBAI</t>
  </si>
  <si>
    <t>Adjusted for Shifting</t>
  </si>
  <si>
    <t>Reduction from shifting</t>
  </si>
  <si>
    <t>Adjust down for lower corporate revenue baseline</t>
  </si>
  <si>
    <t>JCT Estimate for excise tax on systematically important financial institutions</t>
  </si>
  <si>
    <t>GDP</t>
  </si>
  <si>
    <t>Revenue</t>
  </si>
  <si>
    <t>Score:</t>
  </si>
  <si>
    <t>Bank Tax</t>
  </si>
  <si>
    <t>JCT Estimate for Credit (Obama's Budget)</t>
  </si>
  <si>
    <t>revenue</t>
  </si>
  <si>
    <t>Score</t>
  </si>
  <si>
    <t>Credit for Carbon Sequestation</t>
  </si>
  <si>
    <t>Updated</t>
  </si>
  <si>
    <t>Update</t>
  </si>
  <si>
    <t>New GDP</t>
  </si>
  <si>
    <t>Estimate</t>
  </si>
  <si>
    <t>gdp</t>
  </si>
  <si>
    <t>score:</t>
  </si>
  <si>
    <t>Clausing 21% minimum tax (High end)</t>
  </si>
  <si>
    <t>Clausing 21% minimum tax (Low end)</t>
  </si>
  <si>
    <t>Obama Budget</t>
  </si>
  <si>
    <t>Manufacturing Tax Credit</t>
  </si>
  <si>
    <t>10% Onshoring Credit, Remove Deduction for Offshoring</t>
  </si>
  <si>
    <t>https://obamawhitehouse.archives.gov/the-press-office/2012/01/25/fact-sheet-president-obama-s-blueprint-support-us-manufacturing-jobs-dis</t>
  </si>
  <si>
    <t>Offshoring/onshoring</t>
  </si>
  <si>
    <t xml:space="preserve"> </t>
  </si>
  <si>
    <t>Increase certainty with respect to worker classification</t>
  </si>
  <si>
    <t>JCT (Obama Budget)</t>
  </si>
  <si>
    <t>https://www.treasury.gov/resource-center/tax-policy/Documents/General-Explanations-FY2017.pdf</t>
  </si>
  <si>
    <t>Worker Classification</t>
  </si>
  <si>
    <t>Baseline corporate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</si>
</sst>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&quot;$&quot;#,##0.0"/>
    <numFmt numFmtId="167" formatCode="&quot;$&quot;#,##0.0_);[Red]\(&quot;$&quot;#,##0.0\)"/>
    <numFmt numFmtId="168" formatCode="0.0%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8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0" fontId="2" fillId="0" borderId="0" xfId="2"/>
    <xf numFmtId="168" fontId="0" fillId="0" borderId="0" xfId="1" applyNumberFormat="1" applyFont="1"/>
    <xf numFmtId="9" fontId="0" fillId="0" borderId="0" xfId="1" applyNumberFormat="1" applyFont="1"/>
    <xf numFmtId="164" fontId="0" fillId="0" borderId="0" xfId="3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 applyFill="1"/>
    <xf numFmtId="17" fontId="0" fillId="0" borderId="0" xfId="0" applyNumberFormat="1"/>
    <xf numFmtId="16" fontId="0" fillId="0" borderId="0" xfId="0" applyNumberFormat="1"/>
    <xf numFmtId="0" fontId="3" fillId="0" borderId="0" xfId="0" applyFont="1"/>
    <xf numFmtId="169" fontId="0" fillId="0" borderId="0" xfId="1" applyNumberFormat="1" applyFont="1"/>
    <xf numFmtId="166" fontId="3" fillId="0" borderId="0" xfId="0" applyNumberFormat="1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jamanetwork.com/journals/jama/fullarticle/272002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9" sqref="I19"/>
    </sheetView>
  </sheetViews>
  <sheetFormatPr defaultRowHeight="14.5" x14ac:dyDescent="0.35"/>
  <cols>
    <col min="1" max="1" width="32.26953125" bestFit="1" customWidth="1"/>
    <col min="12" max="12" width="10.1796875" customWidth="1"/>
  </cols>
  <sheetData>
    <row r="1" spans="1:12" x14ac:dyDescent="0.3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 t="s">
        <v>30</v>
      </c>
    </row>
    <row r="2" spans="1:12" x14ac:dyDescent="0.35">
      <c r="A2" t="s">
        <v>4</v>
      </c>
      <c r="B2" s="8">
        <f>'Corporate Rate'!B26</f>
        <v>41.739933480973058</v>
      </c>
      <c r="C2" s="8">
        <f>'Corporate Rate'!C26</f>
        <v>74.717662513760899</v>
      </c>
      <c r="D2" s="8">
        <f>'Corporate Rate'!D26</f>
        <v>87.52496296607606</v>
      </c>
      <c r="E2" s="8">
        <f>'Corporate Rate'!E26</f>
        <v>95.757267060114017</v>
      </c>
      <c r="F2" s="8">
        <f>'Corporate Rate'!F26</f>
        <v>103.7862368534294</v>
      </c>
      <c r="G2" s="8">
        <f>'Corporate Rate'!G26</f>
        <v>112.69477628079039</v>
      </c>
      <c r="H2" s="8">
        <f>'Corporate Rate'!H26</f>
        <v>121.0006148828019</v>
      </c>
      <c r="I2" s="8">
        <f>'Corporate Rate'!I26</f>
        <v>124.75832142872736</v>
      </c>
      <c r="J2" s="8">
        <f>'Corporate Rate'!J26</f>
        <v>129.19335683444655</v>
      </c>
      <c r="K2" s="8">
        <f>'Corporate Rate'!K26</f>
        <v>132.72439654972621</v>
      </c>
      <c r="L2" s="8">
        <f t="shared" ref="L2:L14" si="0">SUM(B2:K2)</f>
        <v>1023.8975288508459</v>
      </c>
    </row>
    <row r="3" spans="1:12" x14ac:dyDescent="0.35">
      <c r="A3" t="s">
        <v>52</v>
      </c>
      <c r="B3" s="8">
        <f>GILTI!B47</f>
        <v>41.555172413793109</v>
      </c>
      <c r="C3" s="8">
        <f>GILTI!C47</f>
        <v>41.861021058326173</v>
      </c>
      <c r="D3" s="8">
        <f>GILTI!D47</f>
        <v>43.54318860325796</v>
      </c>
      <c r="E3" s="8">
        <f>GILTI!E47</f>
        <v>45.764615600392737</v>
      </c>
      <c r="F3" s="8">
        <f>GILTI!F47</f>
        <v>48.00213989460822</v>
      </c>
      <c r="G3" s="8">
        <f>GILTI!G47</f>
        <v>39.823084012903522</v>
      </c>
      <c r="H3" s="8">
        <f>GILTI!H47</f>
        <v>41.377468905020066</v>
      </c>
      <c r="I3" s="8">
        <f>GILTI!I47</f>
        <v>43.182353841733928</v>
      </c>
      <c r="J3" s="8">
        <f>GILTI!J47</f>
        <v>45.19920035464547</v>
      </c>
      <c r="K3" s="8">
        <f>GILTI!K47</f>
        <v>47.267431492089813</v>
      </c>
      <c r="L3" s="8">
        <f t="shared" si="0"/>
        <v>437.57567617677103</v>
      </c>
    </row>
    <row r="4" spans="1:12" x14ac:dyDescent="0.35">
      <c r="A4" t="s">
        <v>33</v>
      </c>
      <c r="B4" s="8">
        <f>GILTI!B50</f>
        <v>0.50555172413793115</v>
      </c>
      <c r="C4" s="8">
        <f>GILTI!C50</f>
        <v>0.50927261616141406</v>
      </c>
      <c r="D4" s="8">
        <f>GILTI!D50</f>
        <v>0.52973752229056925</v>
      </c>
      <c r="E4" s="8">
        <f>GILTI!E50</f>
        <v>0.55676294856639108</v>
      </c>
      <c r="F4" s="8">
        <f>GILTI!F50</f>
        <v>0.58398421126450184</v>
      </c>
      <c r="G4" s="8">
        <f>GILTI!G50</f>
        <v>0.60709290909455249</v>
      </c>
      <c r="H4" s="8">
        <f>GILTI!H50</f>
        <v>0.63078911619146871</v>
      </c>
      <c r="I4" s="8">
        <f>GILTI!I50</f>
        <v>0.65830413352301242</v>
      </c>
      <c r="J4" s="8">
        <f>GILTI!J50</f>
        <v>0.68905045182231683</v>
      </c>
      <c r="K4" s="8">
        <f>GILTI!K50</f>
        <v>0.72058011581077575</v>
      </c>
      <c r="L4" s="8">
        <f t="shared" si="0"/>
        <v>5.9911257488629346</v>
      </c>
    </row>
    <row r="5" spans="1:12" x14ac:dyDescent="0.35">
      <c r="A5" t="s">
        <v>75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2" x14ac:dyDescent="0.35">
      <c r="A6" t="s">
        <v>7</v>
      </c>
      <c r="B6" s="8">
        <f>'Minimum Tax'!D16</f>
        <v>7.838519607656881</v>
      </c>
      <c r="C6" s="8">
        <f>'Minimum Tax'!E16</f>
        <v>8.1675253816741602</v>
      </c>
      <c r="D6" s="8">
        <f>'Minimum Tax'!F16</f>
        <v>8.5007721457776686</v>
      </c>
      <c r="E6" s="8">
        <f>'Minimum Tax'!G16</f>
        <v>8.8251713271150738</v>
      </c>
      <c r="F6" s="8">
        <f>'Minimum Tax'!H16</f>
        <v>9.1530437330920638</v>
      </c>
      <c r="G6" s="8">
        <f>'Minimum Tax'!I16</f>
        <v>9.48914219742597</v>
      </c>
      <c r="H6" s="8">
        <f>'Minimum Tax'!J16</f>
        <v>9.8303590980708488</v>
      </c>
      <c r="I6" s="8">
        <f>'Minimum Tax'!K16</f>
        <v>10.188137796207648</v>
      </c>
      <c r="J6" s="8">
        <f>'Minimum Tax'!L16</f>
        <v>10.574543177426518</v>
      </c>
      <c r="K6" s="8">
        <f>'Minimum Tax'!M16</f>
        <v>10.971733835157789</v>
      </c>
      <c r="L6" s="8">
        <f t="shared" si="0"/>
        <v>93.538948299604627</v>
      </c>
    </row>
    <row r="7" spans="1:12" x14ac:dyDescent="0.35">
      <c r="A7" t="s">
        <v>8</v>
      </c>
      <c r="B7" s="8">
        <f>'Drug advertising'!E13</f>
        <v>1.2498086741088967</v>
      </c>
      <c r="C7" s="8">
        <f>'Drug advertising'!F13</f>
        <v>1.3075697374973105</v>
      </c>
      <c r="D7" s="8">
        <f>'Drug advertising'!G13</f>
        <v>1.3609620707106616</v>
      </c>
      <c r="E7" s="8">
        <f>'Drug advertising'!H13</f>
        <v>1.4199076757035891</v>
      </c>
      <c r="F7" s="8">
        <f>'Drug advertising'!I13</f>
        <v>1.482823254291842</v>
      </c>
      <c r="G7" s="8">
        <f>'Drug advertising'!J13</f>
        <v>1.5490109824608804</v>
      </c>
      <c r="H7" s="8">
        <f>'Drug advertising'!K13</f>
        <v>1.6174739687613604</v>
      </c>
      <c r="I7" s="8">
        <f>'Drug advertising'!L13</f>
        <v>1.6857317127046232</v>
      </c>
      <c r="J7" s="8">
        <f>'Drug advertising'!M13</f>
        <v>1.7518021595266802</v>
      </c>
      <c r="K7" s="8">
        <f>'Drug advertising'!N13</f>
        <v>1.8191685652328831</v>
      </c>
      <c r="L7" s="8">
        <f t="shared" si="0"/>
        <v>15.244258800998725</v>
      </c>
    </row>
    <row r="8" spans="1:12" x14ac:dyDescent="0.35">
      <c r="A8" t="s">
        <v>11</v>
      </c>
      <c r="B8" s="8">
        <f>'Energy Investment Credit'!E21</f>
        <v>0</v>
      </c>
      <c r="C8" s="8">
        <f>'Energy Investment Credit'!F21</f>
        <v>-0.17666663491350207</v>
      </c>
      <c r="D8" s="8">
        <f>'Energy Investment Credit'!G21</f>
        <v>-1.2988643043389576</v>
      </c>
      <c r="E8" s="8">
        <f>'Energy Investment Credit'!H21</f>
        <v>-2.5613141741144592</v>
      </c>
      <c r="F8" s="8">
        <f>'Energy Investment Credit'!I21</f>
        <v>-3.4727277779648893</v>
      </c>
      <c r="G8" s="8">
        <f>'Energy Investment Credit'!J21</f>
        <v>-4.1319075966361627</v>
      </c>
      <c r="H8" s="8">
        <f>'Energy Investment Credit'!K21</f>
        <v>-4.5497454410260021</v>
      </c>
      <c r="I8" s="8">
        <f>'Energy Investment Credit'!L21</f>
        <v>-4.8362794835800997</v>
      </c>
      <c r="J8" s="8">
        <f>'Energy Investment Credit'!M21</f>
        <v>-5.9914202425373126</v>
      </c>
      <c r="K8" s="8">
        <f>'Energy Investment Credit'!N21</f>
        <v>-6.2218232276119396</v>
      </c>
      <c r="L8" s="8">
        <f t="shared" si="0"/>
        <v>-33.240748882723324</v>
      </c>
    </row>
    <row r="9" spans="1:12" x14ac:dyDescent="0.35">
      <c r="A9" t="s">
        <v>64</v>
      </c>
      <c r="B9" s="8">
        <f>'Carbon Dioxide Sequestration'!C12</f>
        <v>-0.18198652234874024</v>
      </c>
      <c r="C9" s="8">
        <f>'Carbon Dioxide Sequestration'!D12</f>
        <v>-0.4203008416848627</v>
      </c>
      <c r="D9" s="8">
        <f>'Carbon Dioxide Sequestration'!E12</f>
        <v>-0.72686670009980792</v>
      </c>
      <c r="E9" s="8">
        <f>'Carbon Dioxide Sequestration'!F12</f>
        <v>-1.0383954300192373</v>
      </c>
      <c r="F9" s="8">
        <f>'Carbon Dioxide Sequestration'!G12</f>
        <v>-1.3007323616467845</v>
      </c>
      <c r="G9" s="8">
        <f>'Carbon Dioxide Sequestration'!H12</f>
        <v>-1.1324826464441908</v>
      </c>
      <c r="H9" s="8">
        <f>'Carbon Dioxide Sequestration'!I12</f>
        <v>-0.94092983724090073</v>
      </c>
      <c r="I9" s="8">
        <f>'Carbon Dioxide Sequestration'!J12</f>
        <v>-0.77953583204753762</v>
      </c>
      <c r="J9" s="8">
        <f>'Carbon Dioxide Sequestration'!K12</f>
        <v>-0.64376081915859518</v>
      </c>
      <c r="K9" s="8">
        <f>'Carbon Dioxide Sequestration'!L12</f>
        <v>-0.53147958839149001</v>
      </c>
      <c r="L9" s="8">
        <f t="shared" si="0"/>
        <v>-7.6964705790821482</v>
      </c>
    </row>
    <row r="10" spans="1:12" x14ac:dyDescent="0.35">
      <c r="A10" t="s">
        <v>74</v>
      </c>
      <c r="B10" s="8">
        <f>'Manufacturing tax credit'!D10</f>
        <v>-4.362278053523001E-3</v>
      </c>
      <c r="C10" s="8">
        <f>'Manufacturing tax credit'!E10</f>
        <v>-2.1636045197191912E-2</v>
      </c>
      <c r="D10" s="8">
        <f>'Manufacturing tax credit'!F10</f>
        <v>-7.3632402067820027E-2</v>
      </c>
      <c r="E10" s="8">
        <f>'Manufacturing tax credit'!G10</f>
        <v>-0.16547950990948471</v>
      </c>
      <c r="F10" s="8">
        <f>'Manufacturing tax credit'!H10</f>
        <v>-0.24796600197062824</v>
      </c>
      <c r="G10" s="8">
        <f>'Manufacturing tax credit'!I10</f>
        <v>-0.30445475378957754</v>
      </c>
      <c r="H10" s="8">
        <f>'Manufacturing tax credit'!J10</f>
        <v>-0.34109328909666714</v>
      </c>
      <c r="I10" s="8">
        <f>'Manufacturing tax credit'!K10</f>
        <v>-0.36328693260426947</v>
      </c>
      <c r="J10" s="8">
        <f>'Manufacturing tax credit'!L10</f>
        <v>-0.35323754478656677</v>
      </c>
      <c r="K10" s="8">
        <f>'Manufacturing tax credit'!M10</f>
        <v>-0.34346614713709456</v>
      </c>
      <c r="L10" s="8">
        <f t="shared" si="0"/>
        <v>-2.2186149046128234</v>
      </c>
    </row>
    <row r="11" spans="1:12" x14ac:dyDescent="0.35">
      <c r="A11" t="s">
        <v>82</v>
      </c>
      <c r="B11" s="8">
        <f>'Worker Classification'!C16</f>
        <v>0.18173443897818781</v>
      </c>
      <c r="C11" s="8">
        <f>'Worker Classification'!D16</f>
        <v>0.6286751266438112</v>
      </c>
      <c r="D11" s="8">
        <f>'Worker Classification'!E16</f>
        <v>1.1180939408788126</v>
      </c>
      <c r="E11" s="8">
        <f>'Worker Classification'!F16</f>
        <v>1.3364689873653959</v>
      </c>
      <c r="F11" s="8">
        <f>'Worker Classification'!G16</f>
        <v>1.5590363585409386</v>
      </c>
      <c r="G11" s="8">
        <f>'Worker Classification'!H16</f>
        <v>1.5827118706892505</v>
      </c>
      <c r="H11" s="8">
        <f>'Worker Classification'!I16</f>
        <v>1.6155321912279128</v>
      </c>
      <c r="I11" s="8">
        <f>'Worker Classification'!J16</f>
        <v>1.6535742508132796</v>
      </c>
      <c r="J11" s="8">
        <f>'Worker Classification'!K16</f>
        <v>1.6766576979148167</v>
      </c>
      <c r="K11" s="8">
        <f>'Worker Classification'!L16</f>
        <v>1.6905684987305529</v>
      </c>
      <c r="L11" s="8">
        <f t="shared" si="0"/>
        <v>13.04305336178296</v>
      </c>
    </row>
    <row r="12" spans="1:12" x14ac:dyDescent="0.35">
      <c r="A12" t="s">
        <v>14</v>
      </c>
      <c r="B12" s="8">
        <f>'Fossil Fuel Subsidies'!G16*28/21</f>
        <v>1.2221773025853639</v>
      </c>
      <c r="C12" s="8">
        <f>'Fossil Fuel Subsidies'!H16*28/21</f>
        <v>1.2316598104565146</v>
      </c>
      <c r="D12" s="8">
        <f>'Fossil Fuel Subsidies'!I16*28/21</f>
        <v>1.2360315019339205</v>
      </c>
      <c r="E12" s="8">
        <f>'Fossil Fuel Subsidies'!J16*28/21</f>
        <v>1.1195015950806788</v>
      </c>
      <c r="F12" s="8">
        <f>'Fossil Fuel Subsidies'!K16*28/21</f>
        <v>1.1285260022091557</v>
      </c>
      <c r="G12" s="8">
        <f>'Fossil Fuel Subsidies'!L16*28/21</f>
        <v>0.88472190822738228</v>
      </c>
      <c r="H12" s="8">
        <f>'Fossil Fuel Subsidies'!M16*28/21</f>
        <v>0.8900671654519724</v>
      </c>
      <c r="I12" s="8">
        <f>'Fossil Fuel Subsidies'!N16*28/21</f>
        <v>0.8940468732644673</v>
      </c>
      <c r="J12" s="8">
        <f>'Fossil Fuel Subsidies'!O16*28/21</f>
        <v>0.92908808175052759</v>
      </c>
      <c r="K12" s="8">
        <f>'Fossil Fuel Subsidies'!P16*28/21</f>
        <v>0.96481661668332763</v>
      </c>
      <c r="L12" s="8">
        <f t="shared" si="0"/>
        <v>10.500636857643309</v>
      </c>
    </row>
    <row r="13" spans="1:12" x14ac:dyDescent="0.35">
      <c r="A13" t="s">
        <v>20</v>
      </c>
      <c r="B13" s="8">
        <f>'Real Estate'!B42</f>
        <v>16.308571428571426</v>
      </c>
      <c r="C13" s="8">
        <f>'Real Estate'!C42</f>
        <v>17.760000000000002</v>
      </c>
      <c r="D13" s="8">
        <f>'Real Estate'!D42</f>
        <v>19.1447619047619</v>
      </c>
      <c r="E13" s="8">
        <f>'Real Estate'!E42</f>
        <v>20.481904761904762</v>
      </c>
      <c r="F13" s="8">
        <f>'Real Estate'!F42</f>
        <v>22.219047619047618</v>
      </c>
      <c r="G13" s="8">
        <f>'Real Estate'!G42</f>
        <v>23.240595238095235</v>
      </c>
      <c r="H13" s="8">
        <f>'Real Estate'!H42</f>
        <v>25.016309523809518</v>
      </c>
      <c r="I13" s="8">
        <f>'Real Estate'!I42</f>
        <v>26.559761904761903</v>
      </c>
      <c r="J13" s="8">
        <f>'Real Estate'!J42</f>
        <v>27.555598095872806</v>
      </c>
      <c r="K13" s="8">
        <f>'Real Estate'!K42</f>
        <v>28.583560890020788</v>
      </c>
      <c r="L13" s="8">
        <f t="shared" si="0"/>
        <v>226.87011136684595</v>
      </c>
    </row>
    <row r="14" spans="1:12" x14ac:dyDescent="0.35">
      <c r="A14" t="s">
        <v>60</v>
      </c>
      <c r="B14" s="8">
        <f>'Bank Tax'!C10</f>
        <v>3.6226128531716228</v>
      </c>
      <c r="C14" s="8">
        <f>'Bank Tax'!D10</f>
        <v>8.921531493563652</v>
      </c>
      <c r="D14" s="8">
        <f>'Bank Tax'!E10</f>
        <v>10.925559023691347</v>
      </c>
      <c r="E14" s="8">
        <f>'Bank Tax'!F10</f>
        <v>11.512488416885391</v>
      </c>
      <c r="F14" s="8">
        <f>'Bank Tax'!G10</f>
        <v>12.151800944329358</v>
      </c>
      <c r="G14" s="8">
        <f>'Bank Tax'!H10</f>
        <v>14.026443647949025</v>
      </c>
      <c r="H14" s="8">
        <f>'Bank Tax'!I10</f>
        <v>14.624203068549711</v>
      </c>
      <c r="I14" s="8">
        <f>'Bank Tax'!J10</f>
        <v>15.341596555744909</v>
      </c>
      <c r="J14" s="8">
        <f>'Bank Tax'!K10</f>
        <v>16.089740827713982</v>
      </c>
      <c r="K14" s="8">
        <f>'Bank Tax'!L10</f>
        <v>16.70847965185169</v>
      </c>
      <c r="L14" s="8">
        <f t="shared" si="0"/>
        <v>123.92445648345068</v>
      </c>
    </row>
    <row r="16" spans="1:12" x14ac:dyDescent="0.35">
      <c r="A16" s="22" t="s">
        <v>22</v>
      </c>
      <c r="B16" s="8">
        <f>SUM(B2:B14)</f>
        <v>114.0377331235742</v>
      </c>
      <c r="C16" s="8">
        <f t="shared" ref="C16:L20" si="1">SUM(C2:C14)</f>
        <v>154.48631421628838</v>
      </c>
      <c r="D16" s="8">
        <f t="shared" si="1"/>
        <v>171.78470627287228</v>
      </c>
      <c r="E16" s="8">
        <f t="shared" si="1"/>
        <v>183.00889925908484</v>
      </c>
      <c r="F16" s="8">
        <f t="shared" si="1"/>
        <v>195.04521272923077</v>
      </c>
      <c r="G16" s="8">
        <f t="shared" si="1"/>
        <v>198.32873405076629</v>
      </c>
      <c r="H16" s="8">
        <f t="shared" si="1"/>
        <v>210.7710493525212</v>
      </c>
      <c r="I16" s="8">
        <f t="shared" si="1"/>
        <v>218.9427262492492</v>
      </c>
      <c r="J16" s="8">
        <f t="shared" si="1"/>
        <v>226.67061907463716</v>
      </c>
      <c r="K16" s="8">
        <f t="shared" si="1"/>
        <v>234.35396725216327</v>
      </c>
      <c r="L16" s="8">
        <f t="shared" si="1"/>
        <v>1907.4299615803882</v>
      </c>
    </row>
    <row r="18" spans="1:12" x14ac:dyDescent="0.35">
      <c r="A18" s="22" t="s">
        <v>83</v>
      </c>
      <c r="B18" s="8">
        <v>123</v>
      </c>
      <c r="C18" s="8">
        <v>234</v>
      </c>
      <c r="D18" s="8">
        <v>289</v>
      </c>
      <c r="E18" s="8">
        <v>319</v>
      </c>
      <c r="F18" s="8">
        <v>347</v>
      </c>
      <c r="G18" s="8">
        <v>352</v>
      </c>
      <c r="H18" s="8">
        <v>356</v>
      </c>
      <c r="I18" s="8">
        <v>368</v>
      </c>
      <c r="J18" s="8">
        <v>378</v>
      </c>
      <c r="K18" s="8">
        <v>387</v>
      </c>
      <c r="L18" s="8">
        <f t="shared" si="1"/>
        <v>2353.3867181331589</v>
      </c>
    </row>
    <row r="20" spans="1:12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L22" s="7"/>
    </row>
    <row r="23" spans="1:12" x14ac:dyDescent="0.35">
      <c r="B23" t="s">
        <v>77</v>
      </c>
    </row>
    <row r="24" spans="1:12" x14ac:dyDescent="0.35">
      <c r="B24" t="s">
        <v>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B563-987C-41F7-B5AA-302508510691}">
  <dimension ref="A3:Q12"/>
  <sheetViews>
    <sheetView workbookViewId="0">
      <selection activeCell="D7" sqref="D7:Q7"/>
    </sheetView>
  </sheetViews>
  <sheetFormatPr defaultRowHeight="14.5" x14ac:dyDescent="0.35"/>
  <sheetData>
    <row r="3" spans="1:17" x14ac:dyDescent="0.35">
      <c r="B3" t="s">
        <v>61</v>
      </c>
    </row>
    <row r="5" spans="1:17" x14ac:dyDescent="0.35"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</row>
    <row r="6" spans="1:17" x14ac:dyDescent="0.35">
      <c r="A6" t="s">
        <v>62</v>
      </c>
      <c r="B6">
        <v>0</v>
      </c>
      <c r="C6">
        <v>0</v>
      </c>
      <c r="D6">
        <v>0</v>
      </c>
      <c r="E6">
        <v>-0.17599999999999999</v>
      </c>
      <c r="F6">
        <v>-0.40400000000000003</v>
      </c>
      <c r="G6">
        <v>-0.63700000000000001</v>
      </c>
      <c r="H6">
        <v>-0.91400000000000003</v>
      </c>
      <c r="I6">
        <v>-1.147</v>
      </c>
      <c r="J6">
        <v>-0.995</v>
      </c>
      <c r="K6">
        <v>-0.82599999999999996</v>
      </c>
      <c r="L6">
        <f>K6*K6/J6</f>
        <v>-0.68570452261306525</v>
      </c>
      <c r="M6">
        <f t="shared" ref="M6:N6" si="0">L6*L6/K6</f>
        <v>-0.56923812630994153</v>
      </c>
      <c r="N6">
        <f t="shared" si="0"/>
        <v>-0.47255345963016249</v>
      </c>
    </row>
    <row r="7" spans="1:17" x14ac:dyDescent="0.35">
      <c r="A7" t="s">
        <v>57</v>
      </c>
      <c r="B7" s="2">
        <v>18238.3</v>
      </c>
      <c r="C7" s="2">
        <v>18745.099999999999</v>
      </c>
      <c r="D7" s="2">
        <v>19543</v>
      </c>
      <c r="E7" s="2">
        <v>20611.900000000001</v>
      </c>
      <c r="F7" s="2">
        <v>21433.200000000001</v>
      </c>
      <c r="G7">
        <v>20339.099999999999</v>
      </c>
      <c r="H7">
        <v>21313</v>
      </c>
      <c r="I7">
        <v>22298</v>
      </c>
      <c r="J7">
        <v>23208.5</v>
      </c>
      <c r="K7">
        <v>24213.7</v>
      </c>
      <c r="L7">
        <v>25286.6</v>
      </c>
      <c r="M7">
        <v>26415.3</v>
      </c>
      <c r="N7">
        <v>27582.799999999999</v>
      </c>
      <c r="O7">
        <v>28746.799999999999</v>
      </c>
      <c r="P7">
        <v>29873.5</v>
      </c>
      <c r="Q7">
        <v>31022.3</v>
      </c>
    </row>
    <row r="11" spans="1:17" x14ac:dyDescent="0.35">
      <c r="C11">
        <v>2021</v>
      </c>
      <c r="D11">
        <v>2022</v>
      </c>
      <c r="E11">
        <v>2023</v>
      </c>
      <c r="F11">
        <v>2024</v>
      </c>
      <c r="G11">
        <v>2025</v>
      </c>
      <c r="H11">
        <v>2026</v>
      </c>
      <c r="I11">
        <v>2027</v>
      </c>
      <c r="J11">
        <v>2028</v>
      </c>
      <c r="K11">
        <v>2029</v>
      </c>
      <c r="L11">
        <v>2030</v>
      </c>
    </row>
    <row r="12" spans="1:17" x14ac:dyDescent="0.35">
      <c r="B12" t="s">
        <v>63</v>
      </c>
      <c r="C12" s="4">
        <f>E6/E7*H7</f>
        <v>-0.18198652234874024</v>
      </c>
      <c r="D12" s="4">
        <f t="shared" ref="D12:L12" si="1">F6/F7*I7</f>
        <v>-0.4203008416848627</v>
      </c>
      <c r="E12" s="4">
        <f t="shared" si="1"/>
        <v>-0.72686670009980792</v>
      </c>
      <c r="F12" s="4">
        <f t="shared" si="1"/>
        <v>-1.0383954300192373</v>
      </c>
      <c r="G12" s="4">
        <f t="shared" si="1"/>
        <v>-1.3007323616467845</v>
      </c>
      <c r="H12" s="4">
        <f t="shared" si="1"/>
        <v>-1.1324826464441908</v>
      </c>
      <c r="I12" s="4">
        <f t="shared" si="1"/>
        <v>-0.94092983724090073</v>
      </c>
      <c r="J12" s="4">
        <f t="shared" si="1"/>
        <v>-0.77953583204753762</v>
      </c>
      <c r="K12" s="4">
        <f t="shared" si="1"/>
        <v>-0.64376081915859518</v>
      </c>
      <c r="L12" s="4">
        <f t="shared" si="1"/>
        <v>-0.53147958839149001</v>
      </c>
      <c r="M12">
        <f>SUM(C12:L12)</f>
        <v>-7.6964705790821482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B73E-3370-413B-BA30-C9F99C5E8940}">
  <dimension ref="B3:Q10"/>
  <sheetViews>
    <sheetView workbookViewId="0">
      <selection activeCell="D3" sqref="D3:Q3"/>
    </sheetView>
  </sheetViews>
  <sheetFormatPr defaultRowHeight="14.5" x14ac:dyDescent="0.35"/>
  <cols>
    <col min="4" max="4" width="12.453125" bestFit="1" customWidth="1"/>
  </cols>
  <sheetData>
    <row r="3" spans="2:17" x14ac:dyDescent="0.35">
      <c r="D3">
        <v>19543</v>
      </c>
      <c r="E3">
        <v>20611.900000000001</v>
      </c>
      <c r="F3">
        <v>21433.200000000001</v>
      </c>
      <c r="G3">
        <v>20339.099999999999</v>
      </c>
      <c r="H3">
        <v>21313</v>
      </c>
      <c r="I3">
        <v>22298</v>
      </c>
      <c r="J3">
        <v>23208.5</v>
      </c>
      <c r="K3">
        <v>24213.7</v>
      </c>
      <c r="L3">
        <v>25286.6</v>
      </c>
      <c r="M3">
        <v>26415.3</v>
      </c>
      <c r="N3">
        <v>27582.799999999999</v>
      </c>
      <c r="O3">
        <v>28746.799999999999</v>
      </c>
      <c r="P3">
        <v>29873.5</v>
      </c>
      <c r="Q3">
        <v>31022.3</v>
      </c>
    </row>
    <row r="4" spans="2:17" x14ac:dyDescent="0.35">
      <c r="B4" t="s">
        <v>73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</row>
    <row r="5" spans="2:17" x14ac:dyDescent="0.35">
      <c r="D5">
        <v>-4.0000000000000001E-3</v>
      </c>
      <c r="E5">
        <v>-0.02</v>
      </c>
      <c r="F5">
        <v>-6.8000000000000005E-2</v>
      </c>
      <c r="G5">
        <v>-0.13900000000000001</v>
      </c>
      <c r="H5">
        <v>-0.20899999999999999</v>
      </c>
      <c r="I5">
        <v>-0.25700000000000001</v>
      </c>
      <c r="J5">
        <v>-0.28699999999999998</v>
      </c>
      <c r="K5">
        <v>-0.30599999999999999</v>
      </c>
      <c r="L5">
        <v>-0.29899999999999999</v>
      </c>
    </row>
    <row r="6" spans="2:17" x14ac:dyDescent="0.35">
      <c r="D6" s="14">
        <f>D5/D3</f>
        <v>-2.0467686639717546E-7</v>
      </c>
      <c r="E6" s="14">
        <f t="shared" ref="E6:L6" si="0">E5/E3</f>
        <v>-9.7031326563781115E-7</v>
      </c>
      <c r="F6" s="14">
        <f t="shared" si="0"/>
        <v>-3.1726480413564006E-6</v>
      </c>
      <c r="G6" s="14">
        <f t="shared" si="0"/>
        <v>-6.8341273704342877E-6</v>
      </c>
      <c r="H6" s="14">
        <f t="shared" si="0"/>
        <v>-9.8062215549195325E-6</v>
      </c>
      <c r="I6" s="14">
        <f t="shared" si="0"/>
        <v>-1.1525697371961611E-5</v>
      </c>
      <c r="J6" s="14">
        <f t="shared" si="0"/>
        <v>-1.2366158950384557E-5</v>
      </c>
      <c r="K6" s="14">
        <f t="shared" si="0"/>
        <v>-1.263747382680053E-5</v>
      </c>
      <c r="L6" s="14">
        <f t="shared" si="0"/>
        <v>-1.1824444567478427E-5</v>
      </c>
    </row>
    <row r="9" spans="2:17" x14ac:dyDescent="0.35"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</row>
    <row r="10" spans="2:17" x14ac:dyDescent="0.35">
      <c r="D10" s="7">
        <f>D6*H3</f>
        <v>-4.362278053523001E-3</v>
      </c>
      <c r="E10" s="7">
        <f t="shared" ref="E10:L10" si="1">E6*I3</f>
        <v>-2.1636045197191912E-2</v>
      </c>
      <c r="F10" s="7">
        <f t="shared" si="1"/>
        <v>-7.3632402067820027E-2</v>
      </c>
      <c r="G10" s="7">
        <f t="shared" si="1"/>
        <v>-0.16547950990948471</v>
      </c>
      <c r="H10" s="7">
        <f t="shared" si="1"/>
        <v>-0.24796600197062824</v>
      </c>
      <c r="I10" s="7">
        <f t="shared" si="1"/>
        <v>-0.30445475378957754</v>
      </c>
      <c r="J10" s="7">
        <f t="shared" si="1"/>
        <v>-0.34109328909666714</v>
      </c>
      <c r="K10" s="7">
        <f t="shared" si="1"/>
        <v>-0.36328693260426947</v>
      </c>
      <c r="L10" s="7">
        <f t="shared" si="1"/>
        <v>-0.35323754478656677</v>
      </c>
      <c r="M10" s="7">
        <f>L10*L10/K10</f>
        <v>-0.34346614713709456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B41D-8D0D-47A4-B349-D9D28FBB1338}">
  <dimension ref="B4:Q16"/>
  <sheetViews>
    <sheetView workbookViewId="0">
      <selection activeCell="G19" sqref="G19"/>
    </sheetView>
  </sheetViews>
  <sheetFormatPr defaultRowHeight="14.5" x14ac:dyDescent="0.35"/>
  <cols>
    <col min="3" max="3" width="11.81640625" bestFit="1" customWidth="1"/>
  </cols>
  <sheetData>
    <row r="4" spans="2:17" x14ac:dyDescent="0.35">
      <c r="B4" t="s">
        <v>81</v>
      </c>
    </row>
    <row r="5" spans="2:17" x14ac:dyDescent="0.35">
      <c r="B5" t="s">
        <v>79</v>
      </c>
    </row>
    <row r="6" spans="2:17" x14ac:dyDescent="0.35">
      <c r="B6" t="s">
        <v>80</v>
      </c>
    </row>
    <row r="8" spans="2:17" x14ac:dyDescent="0.35">
      <c r="C8">
        <f>D8*D8/E8</f>
        <v>18529.53143572402</v>
      </c>
      <c r="D8">
        <v>19543</v>
      </c>
      <c r="E8">
        <v>20611.900000000001</v>
      </c>
      <c r="F8">
        <v>21433.200000000001</v>
      </c>
      <c r="G8">
        <v>20339.099999999999</v>
      </c>
      <c r="H8">
        <v>21313</v>
      </c>
      <c r="I8">
        <v>22298</v>
      </c>
      <c r="J8">
        <v>23208.5</v>
      </c>
      <c r="K8">
        <v>24213.7</v>
      </c>
      <c r="L8">
        <v>25286.6</v>
      </c>
      <c r="M8">
        <v>26415.3</v>
      </c>
      <c r="N8">
        <v>27582.799999999999</v>
      </c>
      <c r="O8">
        <v>28746.799999999999</v>
      </c>
      <c r="P8">
        <v>29873.5</v>
      </c>
      <c r="Q8">
        <v>31022.3</v>
      </c>
    </row>
    <row r="9" spans="2:17" x14ac:dyDescent="0.35">
      <c r="C9">
        <v>2016</v>
      </c>
      <c r="D9">
        <v>2017</v>
      </c>
      <c r="E9">
        <v>2018</v>
      </c>
      <c r="F9">
        <v>2019</v>
      </c>
      <c r="G9">
        <v>2020</v>
      </c>
      <c r="H9">
        <v>2021</v>
      </c>
      <c r="I9">
        <v>2022</v>
      </c>
      <c r="J9">
        <v>2023</v>
      </c>
      <c r="K9">
        <v>2024</v>
      </c>
      <c r="L9">
        <v>2025</v>
      </c>
      <c r="M9">
        <v>2026</v>
      </c>
      <c r="N9">
        <v>2027</v>
      </c>
      <c r="O9">
        <v>2028</v>
      </c>
      <c r="P9">
        <v>2029</v>
      </c>
      <c r="Q9">
        <v>2030</v>
      </c>
    </row>
    <row r="10" spans="2:17" x14ac:dyDescent="0.35">
      <c r="C10">
        <v>0.158</v>
      </c>
      <c r="D10">
        <v>0.55100000000000005</v>
      </c>
      <c r="E10">
        <v>0.99299999999999999</v>
      </c>
      <c r="F10">
        <v>1.1830000000000001</v>
      </c>
      <c r="G10">
        <v>1.254</v>
      </c>
      <c r="H10">
        <v>1.2769999999999999</v>
      </c>
      <c r="I10">
        <v>1.306</v>
      </c>
      <c r="J10">
        <v>1.335</v>
      </c>
      <c r="K10">
        <v>1.359</v>
      </c>
      <c r="L10">
        <v>1.3779999999999999</v>
      </c>
    </row>
    <row r="11" spans="2:17" x14ac:dyDescent="0.35">
      <c r="C11" s="12">
        <f>C10/C8</f>
        <v>8.5269290563593961E-6</v>
      </c>
      <c r="D11" s="12">
        <f t="shared" ref="D11:L11" si="0">D10/D8</f>
        <v>2.8194238346210923E-5</v>
      </c>
      <c r="E11" s="12">
        <f t="shared" si="0"/>
        <v>4.8176053638917324E-5</v>
      </c>
      <c r="F11" s="12">
        <f t="shared" si="0"/>
        <v>5.5194744601832673E-5</v>
      </c>
      <c r="G11" s="12">
        <f t="shared" si="0"/>
        <v>6.1654645485788466E-5</v>
      </c>
      <c r="H11" s="12">
        <f t="shared" si="0"/>
        <v>5.9916482897761925E-5</v>
      </c>
      <c r="I11" s="12">
        <f t="shared" si="0"/>
        <v>5.8570275361018929E-5</v>
      </c>
      <c r="J11" s="12">
        <f t="shared" si="0"/>
        <v>5.7522028567119803E-5</v>
      </c>
      <c r="K11" s="12">
        <f t="shared" si="0"/>
        <v>5.6125251407261175E-5</v>
      </c>
      <c r="L11" s="12">
        <f t="shared" si="0"/>
        <v>5.4495266267509275E-5</v>
      </c>
    </row>
    <row r="15" spans="2:17" x14ac:dyDescent="0.35">
      <c r="B15" t="s">
        <v>63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</row>
    <row r="16" spans="2:17" x14ac:dyDescent="0.35">
      <c r="C16" s="8">
        <f>C11*H8</f>
        <v>0.18173443897818781</v>
      </c>
      <c r="D16" s="8">
        <f t="shared" ref="D16:L16" si="1">D11*I8</f>
        <v>0.6286751266438112</v>
      </c>
      <c r="E16" s="8">
        <f t="shared" si="1"/>
        <v>1.1180939408788126</v>
      </c>
      <c r="F16" s="8">
        <f t="shared" si="1"/>
        <v>1.3364689873653959</v>
      </c>
      <c r="G16" s="8">
        <f t="shared" si="1"/>
        <v>1.5590363585409386</v>
      </c>
      <c r="H16" s="8">
        <f t="shared" si="1"/>
        <v>1.5827118706892505</v>
      </c>
      <c r="I16" s="8">
        <f t="shared" si="1"/>
        <v>1.6155321912279128</v>
      </c>
      <c r="J16" s="8">
        <f t="shared" si="1"/>
        <v>1.6535742508132796</v>
      </c>
      <c r="K16" s="8">
        <f t="shared" si="1"/>
        <v>1.6766576979148167</v>
      </c>
      <c r="L16" s="8">
        <f t="shared" si="1"/>
        <v>1.6905684987305529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1"/>
  <sheetViews>
    <sheetView workbookViewId="0">
      <selection activeCell="K24" sqref="B24:K24"/>
    </sheetView>
  </sheetViews>
  <sheetFormatPr defaultRowHeight="14.5" x14ac:dyDescent="0.35"/>
  <cols>
    <col min="1" max="1" width="42.1796875" customWidth="1"/>
  </cols>
  <sheetData>
    <row r="3" spans="1:12" x14ac:dyDescent="0.35">
      <c r="A3" t="s">
        <v>5</v>
      </c>
      <c r="B3">
        <v>1258</v>
      </c>
    </row>
    <row r="4" spans="1:12" x14ac:dyDescent="0.35">
      <c r="B4">
        <v>2021</v>
      </c>
      <c r="C4">
        <v>2022</v>
      </c>
      <c r="D4">
        <v>2023</v>
      </c>
      <c r="E4">
        <v>2024</v>
      </c>
      <c r="F4">
        <v>2025</v>
      </c>
      <c r="G4">
        <v>2026</v>
      </c>
      <c r="H4">
        <v>2027</v>
      </c>
      <c r="I4">
        <v>2028</v>
      </c>
      <c r="J4">
        <v>2029</v>
      </c>
      <c r="K4">
        <v>2030</v>
      </c>
    </row>
    <row r="5" spans="1:12" x14ac:dyDescent="0.35">
      <c r="A5" t="s">
        <v>0</v>
      </c>
      <c r="B5" s="1">
        <v>1109.0999999999999</v>
      </c>
      <c r="C5" s="1">
        <v>1229.2</v>
      </c>
      <c r="D5" s="1">
        <v>1367.9</v>
      </c>
      <c r="E5" s="1">
        <v>1492.7</v>
      </c>
      <c r="F5" s="1">
        <v>1598.2</v>
      </c>
      <c r="G5" s="1">
        <v>1734.4</v>
      </c>
      <c r="H5" s="1">
        <v>1814.9</v>
      </c>
      <c r="I5" s="1">
        <v>1804.8</v>
      </c>
      <c r="J5" s="1">
        <v>1830.9</v>
      </c>
      <c r="K5" s="1">
        <v>1887.5</v>
      </c>
    </row>
    <row r="6" spans="1:12" x14ac:dyDescent="0.35">
      <c r="A6" t="s">
        <v>1</v>
      </c>
      <c r="B6" s="1">
        <v>1466.4</v>
      </c>
      <c r="C6" s="1">
        <v>1567.7</v>
      </c>
      <c r="D6" s="1">
        <v>1700.8</v>
      </c>
      <c r="E6" s="1">
        <v>1827.1</v>
      </c>
      <c r="F6" s="1">
        <v>1941.2</v>
      </c>
      <c r="G6" s="1">
        <v>2072.5</v>
      </c>
      <c r="H6" s="1">
        <v>2183.1</v>
      </c>
      <c r="I6" s="1">
        <v>2223.1</v>
      </c>
      <c r="J6" s="1">
        <v>2287.1999999999998</v>
      </c>
      <c r="K6" s="1">
        <v>2341.1999999999998</v>
      </c>
    </row>
    <row r="7" spans="1:12" x14ac:dyDescent="0.35">
      <c r="A7" t="s">
        <v>53</v>
      </c>
      <c r="B7" s="1">
        <f>B6*(1+$B$20)</f>
        <v>1318.8948240000002</v>
      </c>
      <c r="C7" s="1">
        <f t="shared" ref="C7:K7" si="0">C6*(1+$B$20)</f>
        <v>1410.0050570000001</v>
      </c>
      <c r="D7" s="1">
        <f t="shared" si="0"/>
        <v>1529.7165279999999</v>
      </c>
      <c r="E7" s="1">
        <f t="shared" si="0"/>
        <v>1643.312011</v>
      </c>
      <c r="F7" s="1">
        <f t="shared" si="0"/>
        <v>1745.934692</v>
      </c>
      <c r="G7" s="1">
        <f t="shared" si="0"/>
        <v>1864.027225</v>
      </c>
      <c r="H7" s="1">
        <f t="shared" si="0"/>
        <v>1963.5019709999999</v>
      </c>
      <c r="I7" s="1">
        <f t="shared" si="0"/>
        <v>1999.4783709999999</v>
      </c>
      <c r="J7" s="1">
        <f t="shared" si="0"/>
        <v>2057.1305520000001</v>
      </c>
      <c r="K7" s="1">
        <f t="shared" si="0"/>
        <v>2105.6986919999999</v>
      </c>
    </row>
    <row r="9" spans="1:12" x14ac:dyDescent="0.35">
      <c r="A9" t="s">
        <v>31</v>
      </c>
    </row>
    <row r="10" spans="1:12" x14ac:dyDescent="0.35">
      <c r="A10" t="s">
        <v>2</v>
      </c>
      <c r="B10">
        <v>141.3724</v>
      </c>
    </row>
    <row r="11" spans="1:12" x14ac:dyDescent="0.35">
      <c r="A11" t="s">
        <v>3</v>
      </c>
      <c r="B11">
        <v>224.55840000000001</v>
      </c>
    </row>
    <row r="14" spans="1:12" x14ac:dyDescent="0.35">
      <c r="B14">
        <v>2021</v>
      </c>
      <c r="C14">
        <v>2022</v>
      </c>
      <c r="D14">
        <v>2023</v>
      </c>
      <c r="E14">
        <v>2024</v>
      </c>
      <c r="F14">
        <v>2025</v>
      </c>
      <c r="G14">
        <v>2026</v>
      </c>
      <c r="H14">
        <v>2027</v>
      </c>
      <c r="I14">
        <v>2028</v>
      </c>
      <c r="J14">
        <v>2029</v>
      </c>
      <c r="K14">
        <v>2030</v>
      </c>
    </row>
    <row r="15" spans="1:12" x14ac:dyDescent="0.35">
      <c r="B15">
        <f>B6/B3*(B11-B10)</f>
        <v>96.966574244833083</v>
      </c>
      <c r="C15">
        <f>B15*C6/B6</f>
        <v>103.66509713831479</v>
      </c>
      <c r="D15">
        <f t="shared" ref="D15:K15" si="1">C15*D6/C6</f>
        <v>112.46641399046104</v>
      </c>
      <c r="E15">
        <f t="shared" si="1"/>
        <v>120.81807678855324</v>
      </c>
      <c r="F15">
        <f t="shared" si="1"/>
        <v>128.36300731319554</v>
      </c>
      <c r="G15">
        <f t="shared" si="1"/>
        <v>137.04529809220986</v>
      </c>
      <c r="H15">
        <f t="shared" si="1"/>
        <v>144.35878903020668</v>
      </c>
      <c r="I15">
        <f t="shared" si="1"/>
        <v>147.00381287758347</v>
      </c>
      <c r="J15">
        <f t="shared" si="1"/>
        <v>151.24246359300477</v>
      </c>
      <c r="K15">
        <f t="shared" si="1"/>
        <v>154.81324578696345</v>
      </c>
      <c r="L15">
        <f>SUM(B15:K15)</f>
        <v>1296.7427788553259</v>
      </c>
    </row>
    <row r="16" spans="1:12" x14ac:dyDescent="0.35">
      <c r="B16">
        <f>B7/B3*(B11-B10)</f>
        <v>87.21270654154533</v>
      </c>
      <c r="C16">
        <f>B16*C7/B7</f>
        <v>93.237425017171716</v>
      </c>
      <c r="D16">
        <f t="shared" ref="D16:K16" si="2">C16*D7/C7</f>
        <v>101.15341740716057</v>
      </c>
      <c r="E16">
        <f t="shared" si="2"/>
        <v>108.66498644439271</v>
      </c>
      <c r="F16">
        <f t="shared" si="2"/>
        <v>115.45097240756124</v>
      </c>
      <c r="G16">
        <f t="shared" si="2"/>
        <v>123.25991155711449</v>
      </c>
      <c r="H16">
        <f t="shared" si="2"/>
        <v>129.83773844165822</v>
      </c>
      <c r="I16">
        <f t="shared" si="2"/>
        <v>132.21669934022736</v>
      </c>
      <c r="J16">
        <f t="shared" si="2"/>
        <v>136.02898418018447</v>
      </c>
      <c r="K16">
        <f t="shared" si="2"/>
        <v>139.24058139325282</v>
      </c>
      <c r="L16">
        <f>SUM(B16:K16)</f>
        <v>1166.3034227302687</v>
      </c>
    </row>
    <row r="20" spans="1:12" x14ac:dyDescent="0.35">
      <c r="A20" t="s">
        <v>54</v>
      </c>
      <c r="B20" s="14">
        <f>1.437*(-0.07)</f>
        <v>-0.10059000000000001</v>
      </c>
    </row>
    <row r="21" spans="1:12" x14ac:dyDescent="0.35">
      <c r="B21" s="14"/>
    </row>
    <row r="22" spans="1:12" x14ac:dyDescent="0.35">
      <c r="A22" t="s">
        <v>55</v>
      </c>
    </row>
    <row r="23" spans="1:12" x14ac:dyDescent="0.35">
      <c r="A23" s="20">
        <v>43831</v>
      </c>
      <c r="B23">
        <v>257</v>
      </c>
      <c r="C23">
        <v>292</v>
      </c>
      <c r="D23">
        <v>334</v>
      </c>
      <c r="E23">
        <v>362</v>
      </c>
      <c r="F23">
        <v>386</v>
      </c>
      <c r="G23">
        <v>385</v>
      </c>
      <c r="H23">
        <v>382</v>
      </c>
      <c r="I23">
        <v>390</v>
      </c>
      <c r="J23">
        <v>398</v>
      </c>
      <c r="K23">
        <v>406</v>
      </c>
    </row>
    <row r="24" spans="1:12" x14ac:dyDescent="0.35">
      <c r="A24" s="21">
        <v>44094</v>
      </c>
      <c r="B24">
        <v>123</v>
      </c>
      <c r="C24">
        <v>234</v>
      </c>
      <c r="D24">
        <v>289</v>
      </c>
      <c r="E24">
        <v>319</v>
      </c>
      <c r="F24">
        <v>347</v>
      </c>
      <c r="G24">
        <v>352</v>
      </c>
      <c r="H24">
        <v>356</v>
      </c>
      <c r="I24">
        <v>368</v>
      </c>
      <c r="J24">
        <v>378</v>
      </c>
      <c r="K24">
        <v>387</v>
      </c>
    </row>
    <row r="26" spans="1:12" x14ac:dyDescent="0.35">
      <c r="B26">
        <f>B16*B24/B23</f>
        <v>41.739933480973058</v>
      </c>
      <c r="C26">
        <f t="shared" ref="C26:K26" si="3">C16*C24/C23</f>
        <v>74.717662513760899</v>
      </c>
      <c r="D26">
        <f t="shared" si="3"/>
        <v>87.52496296607606</v>
      </c>
      <c r="E26">
        <f t="shared" si="3"/>
        <v>95.757267060114017</v>
      </c>
      <c r="F26">
        <f t="shared" si="3"/>
        <v>103.7862368534294</v>
      </c>
      <c r="G26">
        <f t="shared" si="3"/>
        <v>112.69477628079039</v>
      </c>
      <c r="H26">
        <f t="shared" si="3"/>
        <v>121.0006148828019</v>
      </c>
      <c r="I26">
        <f t="shared" si="3"/>
        <v>124.75832142872736</v>
      </c>
      <c r="J26">
        <f t="shared" si="3"/>
        <v>129.19335683444655</v>
      </c>
      <c r="K26">
        <f t="shared" si="3"/>
        <v>132.72439654972621</v>
      </c>
      <c r="L26">
        <f>SUM(B26:K26)</f>
        <v>1023.8975288508459</v>
      </c>
    </row>
    <row r="27" spans="1:12" x14ac:dyDescent="0.35">
      <c r="B27" s="1"/>
      <c r="C27" s="1"/>
      <c r="D27" s="1"/>
      <c r="E27" s="1"/>
      <c r="F27" s="1"/>
      <c r="G27" s="1"/>
      <c r="H27" s="1"/>
    </row>
    <row r="29" spans="1:12" x14ac:dyDescent="0.35">
      <c r="A29" s="22" t="s">
        <v>65</v>
      </c>
    </row>
    <row r="31" spans="1:12" x14ac:dyDescent="0.35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0"/>
  <sheetViews>
    <sheetView topLeftCell="A7" workbookViewId="0">
      <selection activeCell="A31" sqref="A31"/>
    </sheetView>
  </sheetViews>
  <sheetFormatPr defaultRowHeight="14.5" x14ac:dyDescent="0.35"/>
  <cols>
    <col min="1" max="1" width="43.6328125" bestFit="1" customWidth="1"/>
    <col min="2" max="2" width="12.6328125" customWidth="1"/>
    <col min="3" max="11" width="10.36328125" bestFit="1" customWidth="1"/>
  </cols>
  <sheetData>
    <row r="2" spans="1:14" x14ac:dyDescent="0.35">
      <c r="B2" s="6">
        <v>2021</v>
      </c>
      <c r="C2" s="6">
        <v>2022</v>
      </c>
      <c r="D2" s="6">
        <v>2023</v>
      </c>
      <c r="E2" s="6">
        <v>2024</v>
      </c>
      <c r="F2" s="6">
        <v>2025</v>
      </c>
      <c r="G2" s="6">
        <v>2026</v>
      </c>
      <c r="H2" s="6">
        <v>2027</v>
      </c>
      <c r="I2" s="6">
        <v>2028</v>
      </c>
      <c r="J2" s="6">
        <v>2029</v>
      </c>
      <c r="K2" s="6">
        <v>2030</v>
      </c>
    </row>
    <row r="3" spans="1:14" x14ac:dyDescent="0.35">
      <c r="A3" t="s">
        <v>51</v>
      </c>
      <c r="B3" s="2">
        <v>516.29999999999973</v>
      </c>
      <c r="C3" s="2">
        <v>520.09999999999991</v>
      </c>
      <c r="D3" s="2">
        <v>541</v>
      </c>
      <c r="E3" s="2">
        <v>568.59999999999991</v>
      </c>
      <c r="F3" s="2">
        <v>596.40000000000009</v>
      </c>
      <c r="G3" s="2">
        <v>620</v>
      </c>
      <c r="H3" s="2">
        <v>644.19999999999982</v>
      </c>
      <c r="I3" s="2">
        <v>672.30000000000018</v>
      </c>
      <c r="J3" s="2">
        <v>703.69999999999982</v>
      </c>
      <c r="K3" s="2">
        <v>735.89999999999964</v>
      </c>
    </row>
    <row r="4" spans="1:14" x14ac:dyDescent="0.35">
      <c r="A4" t="s">
        <v>24</v>
      </c>
      <c r="B4" s="4">
        <f>C14</f>
        <v>8.4744525547445253</v>
      </c>
      <c r="C4" s="4">
        <f>D14</f>
        <v>8.5368250507895205</v>
      </c>
      <c r="D4" s="4">
        <f>E14</f>
        <v>8.8798737790369771</v>
      </c>
      <c r="E4" s="4">
        <f>F14</f>
        <v>9.3328950661005994</v>
      </c>
      <c r="F4" s="4">
        <f>G14</f>
        <v>9.7891991161139629</v>
      </c>
      <c r="G4" s="4">
        <f t="shared" ref="G4:K5" si="0">H15</f>
        <v>18.044662254216536</v>
      </c>
      <c r="H4" s="4">
        <f t="shared" si="0"/>
        <v>18.748986168010145</v>
      </c>
      <c r="I4" s="4">
        <f t="shared" si="0"/>
        <v>19.566816828241581</v>
      </c>
      <c r="J4" s="4">
        <f t="shared" si="0"/>
        <v>20.480691658535761</v>
      </c>
      <c r="K4" s="4">
        <f t="shared" si="0"/>
        <v>21.41784992399668</v>
      </c>
    </row>
    <row r="5" spans="1:14" x14ac:dyDescent="0.35">
      <c r="A5" t="s">
        <v>46</v>
      </c>
      <c r="B5" s="4">
        <f>C16</f>
        <v>36.375405001434139</v>
      </c>
      <c r="C5" s="4">
        <f>D16</f>
        <v>36.643130236773011</v>
      </c>
      <c r="D5" s="4">
        <f>E16</f>
        <v>38.115619031136703</v>
      </c>
      <c r="E5" s="4">
        <f>F16</f>
        <v>40.060149687808369</v>
      </c>
      <c r="F5" s="4">
        <f>G16</f>
        <v>42.018771146339994</v>
      </c>
      <c r="G5" s="4">
        <f t="shared" si="0"/>
        <v>43.681485765812866</v>
      </c>
      <c r="H5" s="4">
        <f t="shared" si="0"/>
        <v>45.386472790865547</v>
      </c>
      <c r="I5" s="4">
        <f t="shared" si="0"/>
        <v>47.366230452187089</v>
      </c>
      <c r="J5" s="4">
        <f t="shared" si="0"/>
        <v>49.578486344197579</v>
      </c>
      <c r="K5" s="4">
        <f t="shared" si="0"/>
        <v>51.847105443647855</v>
      </c>
    </row>
    <row r="6" spans="1:14" x14ac:dyDescent="0.35">
      <c r="A6" t="s">
        <v>47</v>
      </c>
      <c r="B6" s="4">
        <f>B5-B4</f>
        <v>27.900952446689615</v>
      </c>
      <c r="C6" s="4">
        <f t="shared" ref="C6:K6" si="1">C5-C4</f>
        <v>28.106305185983491</v>
      </c>
      <c r="D6" s="4">
        <f t="shared" si="1"/>
        <v>29.235745252099726</v>
      </c>
      <c r="E6" s="4">
        <f t="shared" si="1"/>
        <v>30.727254621707772</v>
      </c>
      <c r="F6" s="4">
        <f t="shared" si="1"/>
        <v>32.229572030226031</v>
      </c>
      <c r="G6" s="4">
        <f t="shared" si="1"/>
        <v>25.636823511596329</v>
      </c>
      <c r="H6" s="4">
        <f t="shared" si="1"/>
        <v>26.637486622855402</v>
      </c>
      <c r="I6" s="4">
        <f t="shared" si="1"/>
        <v>27.799413623945508</v>
      </c>
      <c r="J6" s="4">
        <f t="shared" si="1"/>
        <v>29.097794685661817</v>
      </c>
      <c r="K6" s="4">
        <f t="shared" si="1"/>
        <v>30.429255519651175</v>
      </c>
      <c r="L6" s="4">
        <f>SUM(B6:K6)</f>
        <v>287.80060350041686</v>
      </c>
    </row>
    <row r="7" spans="1:14" x14ac:dyDescent="0.35">
      <c r="A7" t="s">
        <v>48</v>
      </c>
      <c r="B7" s="4">
        <f>A8*B3/A9</f>
        <v>42.068046685752023</v>
      </c>
      <c r="C7" s="4">
        <f>B7*C3/B3</f>
        <v>42.377670116714377</v>
      </c>
      <c r="D7" s="4">
        <f t="shared" ref="D7:K7" si="2">C7*D3/C3</f>
        <v>44.080598987007278</v>
      </c>
      <c r="E7" s="4">
        <f t="shared" si="2"/>
        <v>46.329442853996916</v>
      </c>
      <c r="F7" s="4">
        <f t="shared" si="2"/>
        <v>48.594582691037232</v>
      </c>
      <c r="G7" s="4">
        <f t="shared" si="2"/>
        <v>50.517507157013881</v>
      </c>
      <c r="H7" s="4">
        <f t="shared" si="2"/>
        <v>52.489319533142471</v>
      </c>
      <c r="I7" s="4">
        <f t="shared" si="2"/>
        <v>54.778903325258774</v>
      </c>
      <c r="J7" s="4">
        <f t="shared" si="2"/>
        <v>57.337370623210738</v>
      </c>
      <c r="K7" s="4">
        <f t="shared" si="2"/>
        <v>59.961021801365312</v>
      </c>
      <c r="L7" s="4">
        <f>SUM(B7:K7)</f>
        <v>498.53446377449899</v>
      </c>
    </row>
    <row r="8" spans="1:14" x14ac:dyDescent="0.35">
      <c r="A8" s="16">
        <f>AVERAGE(30,24,41,53)</f>
        <v>37</v>
      </c>
    </row>
    <row r="9" spans="1:14" x14ac:dyDescent="0.35">
      <c r="A9" s="17">
        <v>454.09999999999991</v>
      </c>
    </row>
    <row r="10" spans="1:14" x14ac:dyDescent="0.35">
      <c r="B10" s="4">
        <f>B7-B4</f>
        <v>33.593594131007499</v>
      </c>
      <c r="C10" s="4">
        <f t="shared" ref="C10:K10" si="3">C7-C4</f>
        <v>33.840845065924853</v>
      </c>
      <c r="D10" s="4">
        <f t="shared" si="3"/>
        <v>35.200725207970301</v>
      </c>
      <c r="E10" s="4">
        <f t="shared" si="3"/>
        <v>36.996547787896318</v>
      </c>
      <c r="F10" s="4">
        <f t="shared" si="3"/>
        <v>38.805383574923269</v>
      </c>
      <c r="G10" s="4">
        <f t="shared" si="3"/>
        <v>32.472844902797348</v>
      </c>
      <c r="H10" s="4">
        <f t="shared" si="3"/>
        <v>33.740333365132329</v>
      </c>
      <c r="I10" s="4">
        <f t="shared" si="3"/>
        <v>35.212086497017197</v>
      </c>
      <c r="J10" s="4">
        <f t="shared" si="3"/>
        <v>36.856678964674977</v>
      </c>
      <c r="K10" s="4">
        <f t="shared" si="3"/>
        <v>38.543171877368636</v>
      </c>
      <c r="L10" s="4">
        <f>SUM(B10:K10)</f>
        <v>355.26221137471271</v>
      </c>
      <c r="N10" s="4"/>
    </row>
    <row r="11" spans="1:14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 x14ac:dyDescent="0.35">
      <c r="C12" s="6">
        <v>2021</v>
      </c>
      <c r="D12" s="6">
        <v>2022</v>
      </c>
      <c r="E12" s="6">
        <v>2023</v>
      </c>
      <c r="F12" s="6">
        <v>2024</v>
      </c>
      <c r="G12" s="6">
        <v>2025</v>
      </c>
      <c r="H12" s="6">
        <v>2026</v>
      </c>
      <c r="I12" s="6">
        <v>2027</v>
      </c>
      <c r="J12" s="6">
        <v>2028</v>
      </c>
      <c r="K12" s="6">
        <v>2029</v>
      </c>
      <c r="L12" s="6">
        <v>2030</v>
      </c>
    </row>
    <row r="13" spans="1:14" x14ac:dyDescent="0.35">
      <c r="A13" s="18" t="s">
        <v>23</v>
      </c>
    </row>
    <row r="14" spans="1:14" x14ac:dyDescent="0.35">
      <c r="A14" s="19">
        <v>22054150893.455002</v>
      </c>
      <c r="B14" t="s">
        <v>24</v>
      </c>
      <c r="C14" s="4">
        <f>9*516/548</f>
        <v>8.4744525547445253</v>
      </c>
      <c r="D14" s="4">
        <f t="shared" ref="D14:L14" si="4">C14*C3/B3</f>
        <v>8.5368250507895205</v>
      </c>
      <c r="E14" s="4">
        <f t="shared" si="4"/>
        <v>8.8798737790369771</v>
      </c>
      <c r="F14" s="4">
        <f t="shared" si="4"/>
        <v>9.3328950661005994</v>
      </c>
      <c r="G14" s="4">
        <f t="shared" si="4"/>
        <v>9.7891991161139629</v>
      </c>
      <c r="H14" s="4">
        <f t="shared" si="4"/>
        <v>10.176565144182858</v>
      </c>
      <c r="I14" s="4">
        <f t="shared" si="4"/>
        <v>10.57377946110096</v>
      </c>
      <c r="J14" s="4">
        <f t="shared" si="4"/>
        <v>11.03500765553893</v>
      </c>
      <c r="K14" s="4">
        <f t="shared" si="4"/>
        <v>11.550401438647539</v>
      </c>
      <c r="L14" s="4">
        <f t="shared" si="4"/>
        <v>12.078926273555098</v>
      </c>
    </row>
    <row r="15" spans="1:14" x14ac:dyDescent="0.35">
      <c r="A15" s="19">
        <v>39105503530.668762</v>
      </c>
      <c r="B15" s="5" t="s">
        <v>25</v>
      </c>
      <c r="C15" s="4">
        <f t="shared" ref="C15:L15" si="5">C14*$A$15/$A$14</f>
        <v>15.026546970729019</v>
      </c>
      <c r="D15" s="4">
        <f t="shared" si="5"/>
        <v>15.137143287770998</v>
      </c>
      <c r="E15" s="4">
        <f t="shared" si="5"/>
        <v>15.745423031501851</v>
      </c>
      <c r="F15" s="4">
        <f t="shared" si="5"/>
        <v>16.548701544754067</v>
      </c>
      <c r="G15" s="4">
        <f t="shared" si="5"/>
        <v>17.357800916797974</v>
      </c>
      <c r="H15" s="4">
        <f t="shared" si="5"/>
        <v>18.044662254216536</v>
      </c>
      <c r="I15" s="4">
        <f t="shared" si="5"/>
        <v>18.748986168010145</v>
      </c>
      <c r="J15" s="4">
        <f t="shared" si="5"/>
        <v>19.566816828241581</v>
      </c>
      <c r="K15" s="4">
        <f t="shared" si="5"/>
        <v>20.480691658535761</v>
      </c>
      <c r="L15" s="4">
        <f t="shared" si="5"/>
        <v>21.41784992399668</v>
      </c>
    </row>
    <row r="16" spans="1:14" x14ac:dyDescent="0.35">
      <c r="A16" s="19">
        <v>57318912360.747498</v>
      </c>
      <c r="B16" s="3" t="s">
        <v>26</v>
      </c>
      <c r="C16" s="4">
        <f t="shared" ref="C16:L16" si="6">C14*$A$17/$A$14</f>
        <v>36.375405001434139</v>
      </c>
      <c r="D16" s="4">
        <f t="shared" si="6"/>
        <v>36.643130236773011</v>
      </c>
      <c r="E16" s="4">
        <f t="shared" si="6"/>
        <v>38.115619031136703</v>
      </c>
      <c r="F16" s="4">
        <f t="shared" si="6"/>
        <v>40.060149687808369</v>
      </c>
      <c r="G16" s="4">
        <f t="shared" si="6"/>
        <v>42.018771146339994</v>
      </c>
      <c r="H16" s="4">
        <f t="shared" si="6"/>
        <v>43.681485765812866</v>
      </c>
      <c r="I16" s="4">
        <f t="shared" si="6"/>
        <v>45.386472790865547</v>
      </c>
      <c r="J16" s="4">
        <f t="shared" si="6"/>
        <v>47.366230452187089</v>
      </c>
      <c r="K16" s="4">
        <f t="shared" si="6"/>
        <v>49.578486344197579</v>
      </c>
      <c r="L16" s="4">
        <f t="shared" si="6"/>
        <v>51.847105443647855</v>
      </c>
    </row>
    <row r="17" spans="1:13" x14ac:dyDescent="0.35">
      <c r="A17" s="19">
        <v>94664365105.570007</v>
      </c>
      <c r="C17" s="4">
        <f>C16-C14</f>
        <v>27.900952446689615</v>
      </c>
      <c r="D17" s="4">
        <f t="shared" ref="D17:G17" si="7">D16-D14</f>
        <v>28.106305185983491</v>
      </c>
      <c r="E17" s="4">
        <f t="shared" si="7"/>
        <v>29.235745252099726</v>
      </c>
      <c r="F17" s="4">
        <f t="shared" si="7"/>
        <v>30.727254621707772</v>
      </c>
      <c r="G17" s="4">
        <f t="shared" si="7"/>
        <v>32.229572030226031</v>
      </c>
      <c r="H17" s="4">
        <f>H16-H15</f>
        <v>25.636823511596329</v>
      </c>
      <c r="I17" s="4">
        <f t="shared" ref="I17:L17" si="8">I16-I15</f>
        <v>26.637486622855402</v>
      </c>
      <c r="J17" s="4">
        <f>J16-J15</f>
        <v>27.799413623945508</v>
      </c>
      <c r="K17" s="4">
        <f t="shared" si="8"/>
        <v>29.097794685661817</v>
      </c>
      <c r="L17" s="4">
        <f t="shared" si="8"/>
        <v>30.429255519651175</v>
      </c>
    </row>
    <row r="20" spans="1:13" x14ac:dyDescent="0.35">
      <c r="A20" t="s">
        <v>49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 x14ac:dyDescent="0.35"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>
        <v>2026</v>
      </c>
      <c r="K21">
        <v>2027</v>
      </c>
      <c r="L21" s="6"/>
    </row>
    <row r="22" spans="1:13" x14ac:dyDescent="0.35">
      <c r="A22" t="s">
        <v>6</v>
      </c>
      <c r="B22">
        <v>7.7</v>
      </c>
      <c r="C22">
        <v>12.5</v>
      </c>
      <c r="D22">
        <v>9.6</v>
      </c>
      <c r="E22">
        <v>9.5</v>
      </c>
      <c r="F22">
        <v>9.3000000000000007</v>
      </c>
      <c r="G22">
        <v>9</v>
      </c>
      <c r="H22">
        <v>9.1999999999999993</v>
      </c>
      <c r="I22">
        <v>9.3000000000000007</v>
      </c>
      <c r="J22">
        <v>15.1</v>
      </c>
      <c r="K22">
        <v>21.2</v>
      </c>
      <c r="L22" s="4">
        <f>SUM(B22:K22)</f>
        <v>112.39999999999999</v>
      </c>
    </row>
    <row r="23" spans="1:13" x14ac:dyDescent="0.35">
      <c r="B23">
        <v>2016</v>
      </c>
      <c r="C23">
        <v>2017</v>
      </c>
      <c r="D23">
        <v>2018</v>
      </c>
      <c r="E23">
        <v>2019</v>
      </c>
      <c r="F23">
        <v>2020</v>
      </c>
      <c r="G23">
        <v>2021</v>
      </c>
      <c r="H23">
        <v>2022</v>
      </c>
      <c r="I23">
        <v>2023</v>
      </c>
      <c r="J23">
        <v>2024</v>
      </c>
      <c r="K23">
        <v>2025</v>
      </c>
      <c r="L23" s="4"/>
    </row>
    <row r="24" spans="1:13" x14ac:dyDescent="0.35">
      <c r="A24" t="s">
        <v>50</v>
      </c>
      <c r="B24">
        <v>15.3</v>
      </c>
      <c r="C24">
        <v>29.9</v>
      </c>
      <c r="D24">
        <v>28.33</v>
      </c>
      <c r="E24">
        <v>28.1</v>
      </c>
      <c r="F24">
        <v>28.88</v>
      </c>
      <c r="G24">
        <v>29.73</v>
      </c>
      <c r="H24">
        <v>28.2</v>
      </c>
      <c r="I24">
        <v>26.1</v>
      </c>
      <c r="J24">
        <v>24.788</v>
      </c>
      <c r="K24">
        <v>22.72</v>
      </c>
      <c r="L24" s="4">
        <f>SUM(B24:K24)</f>
        <v>262.048</v>
      </c>
      <c r="M24" s="4"/>
    </row>
    <row r="25" spans="1:13" x14ac:dyDescent="0.35">
      <c r="B25" s="6">
        <v>2021</v>
      </c>
      <c r="C25" s="6">
        <v>2022</v>
      </c>
      <c r="D25" s="6">
        <v>2023</v>
      </c>
      <c r="E25" s="6">
        <v>2024</v>
      </c>
      <c r="F25" s="6">
        <v>2025</v>
      </c>
      <c r="G25" s="6">
        <v>2026</v>
      </c>
      <c r="H25" s="6">
        <v>2027</v>
      </c>
      <c r="I25" s="6">
        <v>2028</v>
      </c>
      <c r="J25" s="6">
        <v>2029</v>
      </c>
      <c r="K25" s="6">
        <v>2030</v>
      </c>
    </row>
    <row r="26" spans="1:13" x14ac:dyDescent="0.35">
      <c r="A26" t="s">
        <v>71</v>
      </c>
      <c r="B26" s="8">
        <f t="shared" ref="B26:K26" si="9">53*B3/$A$9</f>
        <v>60.259634441752901</v>
      </c>
      <c r="C26" s="8">
        <f t="shared" si="9"/>
        <v>60.703149086104382</v>
      </c>
      <c r="D26" s="8">
        <f t="shared" si="9"/>
        <v>63.14247963003745</v>
      </c>
      <c r="E26" s="8">
        <f t="shared" si="9"/>
        <v>66.363796520590185</v>
      </c>
      <c r="F26" s="8">
        <f t="shared" si="9"/>
        <v>69.608456287161445</v>
      </c>
      <c r="G26" s="8">
        <f t="shared" si="9"/>
        <v>72.362915657344217</v>
      </c>
      <c r="H26" s="8">
        <f t="shared" si="9"/>
        <v>75.187403655582472</v>
      </c>
      <c r="I26" s="8">
        <f t="shared" si="9"/>
        <v>78.467077736181494</v>
      </c>
      <c r="J26" s="8">
        <f t="shared" si="9"/>
        <v>82.131909271085661</v>
      </c>
      <c r="K26" s="8">
        <f t="shared" si="9"/>
        <v>85.890112310063842</v>
      </c>
      <c r="L26" s="4">
        <f>SUM(B26:K26)</f>
        <v>714.11693459590413</v>
      </c>
    </row>
    <row r="27" spans="1:13" x14ac:dyDescent="0.35">
      <c r="B27" s="6">
        <v>2021</v>
      </c>
      <c r="C27" s="6">
        <v>2022</v>
      </c>
      <c r="D27" s="6">
        <v>2023</v>
      </c>
      <c r="E27" s="6">
        <v>2024</v>
      </c>
      <c r="F27" s="6">
        <v>2025</v>
      </c>
      <c r="G27" s="6">
        <v>2026</v>
      </c>
      <c r="H27" s="6">
        <v>2027</v>
      </c>
      <c r="I27" s="6">
        <v>2028</v>
      </c>
      <c r="J27" s="6">
        <v>2029</v>
      </c>
      <c r="K27" s="6">
        <v>2030</v>
      </c>
    </row>
    <row r="28" spans="1:13" x14ac:dyDescent="0.35">
      <c r="A28" t="s">
        <v>72</v>
      </c>
      <c r="B28" s="8">
        <f t="shared" ref="B28:K28" si="10">43*B3/$A$9</f>
        <v>48.889892094252346</v>
      </c>
      <c r="C28" s="8">
        <f t="shared" si="10"/>
        <v>49.249724730235634</v>
      </c>
      <c r="D28" s="8">
        <f t="shared" si="10"/>
        <v>51.228804228143588</v>
      </c>
      <c r="E28" s="8">
        <f t="shared" si="10"/>
        <v>53.842325478969393</v>
      </c>
      <c r="F28" s="8">
        <f t="shared" si="10"/>
        <v>56.474785289583814</v>
      </c>
      <c r="G28" s="8">
        <f t="shared" si="10"/>
        <v>58.709535344637757</v>
      </c>
      <c r="H28" s="8">
        <f t="shared" si="10"/>
        <v>61.00110107905747</v>
      </c>
      <c r="I28" s="8">
        <f t="shared" si="10"/>
        <v>63.661968729354797</v>
      </c>
      <c r="J28" s="8">
        <f t="shared" si="10"/>
        <v>66.635322616163833</v>
      </c>
      <c r="K28" s="8">
        <f t="shared" si="10"/>
        <v>69.684430742127262</v>
      </c>
      <c r="L28" s="4">
        <f>SUM(B28:K28)</f>
        <v>579.37789033252591</v>
      </c>
    </row>
    <row r="29" spans="1:13" x14ac:dyDescent="0.35">
      <c r="M29" s="4"/>
    </row>
    <row r="30" spans="1:13" x14ac:dyDescent="0.35">
      <c r="B30" s="8">
        <f>AVERAGE(B28,B26)-B33</f>
        <v>40.074763268002627</v>
      </c>
      <c r="C30" s="8">
        <f t="shared" ref="C30:K30" si="11">AVERAGE(C28,C26)-C33</f>
        <v>40.369716009467695</v>
      </c>
      <c r="D30" s="8">
        <f t="shared" si="11"/>
        <v>41.99195608752553</v>
      </c>
      <c r="E30" s="8">
        <f t="shared" si="11"/>
        <v>44.134244420271742</v>
      </c>
      <c r="F30" s="8">
        <f t="shared" si="11"/>
        <v>46.292056581516135</v>
      </c>
      <c r="G30" s="8">
        <f t="shared" si="11"/>
        <v>31.886225500990982</v>
      </c>
      <c r="H30" s="8">
        <f t="shared" si="11"/>
        <v>33.130816883449008</v>
      </c>
      <c r="I30" s="8">
        <f t="shared" si="11"/>
        <v>34.575982910187491</v>
      </c>
      <c r="J30" s="8">
        <f t="shared" si="11"/>
        <v>36.19086594362475</v>
      </c>
      <c r="K30" s="8">
        <f t="shared" si="11"/>
        <v>37.846892493837501</v>
      </c>
    </row>
    <row r="32" spans="1:13" x14ac:dyDescent="0.35">
      <c r="A32" s="22" t="s">
        <v>65</v>
      </c>
      <c r="B32" s="6">
        <v>2021</v>
      </c>
      <c r="C32" s="6">
        <v>2022</v>
      </c>
      <c r="D32" s="6">
        <v>2023</v>
      </c>
      <c r="E32" s="6">
        <v>2024</v>
      </c>
      <c r="F32" s="6">
        <v>2025</v>
      </c>
      <c r="G32" s="6">
        <v>2026</v>
      </c>
      <c r="H32" s="6">
        <v>2027</v>
      </c>
      <c r="I32" s="6">
        <v>2028</v>
      </c>
      <c r="J32" s="6">
        <v>2029</v>
      </c>
      <c r="K32" s="6">
        <v>2030</v>
      </c>
    </row>
    <row r="33" spans="1:11" x14ac:dyDescent="0.35">
      <c r="B33" s="8">
        <v>14.5</v>
      </c>
      <c r="C33" s="8">
        <f>B33*C3/B3</f>
        <v>14.60672089870231</v>
      </c>
      <c r="D33" s="8">
        <f>C33*D3/C3</f>
        <v>15.19368584156499</v>
      </c>
      <c r="E33" s="8">
        <f>D33*E3/D3</f>
        <v>15.968816579508045</v>
      </c>
      <c r="F33" s="8">
        <f>E33*F3/E3</f>
        <v>16.749564206856494</v>
      </c>
      <c r="G33" s="8">
        <v>33.65</v>
      </c>
      <c r="H33" s="8">
        <f>G33*H3/G3</f>
        <v>34.96343548387096</v>
      </c>
      <c r="I33" s="8">
        <f>H33*I3/H3</f>
        <v>36.488540322580661</v>
      </c>
      <c r="J33" s="8">
        <f>I33*J3/I3</f>
        <v>38.192749999999997</v>
      </c>
      <c r="K33" s="8">
        <f>J33*K3/J3</f>
        <v>39.940379032258051</v>
      </c>
    </row>
    <row r="34" spans="1:11" x14ac:dyDescent="0.35">
      <c r="B34" s="8">
        <v>55.02</v>
      </c>
      <c r="C34" s="8">
        <f t="shared" ref="C34:K34" si="12">B34*C3/B3</f>
        <v>55.424950610110429</v>
      </c>
      <c r="D34" s="8">
        <f t="shared" si="12"/>
        <v>57.652178965717646</v>
      </c>
      <c r="E34" s="8">
        <f t="shared" si="12"/>
        <v>60.593399186519491</v>
      </c>
      <c r="F34" s="8">
        <f t="shared" si="12"/>
        <v>63.555932597327185</v>
      </c>
      <c r="G34" s="8">
        <f t="shared" si="12"/>
        <v>66.070889018012821</v>
      </c>
      <c r="H34" s="8">
        <f t="shared" si="12"/>
        <v>68.649785008715881</v>
      </c>
      <c r="I34" s="8">
        <f t="shared" si="12"/>
        <v>71.644288204532302</v>
      </c>
      <c r="J34" s="8">
        <f t="shared" si="12"/>
        <v>74.99045903544453</v>
      </c>
      <c r="K34" s="8">
        <f t="shared" si="12"/>
        <v>78.421882626380011</v>
      </c>
    </row>
    <row r="35" spans="1:11" x14ac:dyDescent="0.35">
      <c r="B35" s="8">
        <v>81.45</v>
      </c>
      <c r="C35" s="8">
        <f t="shared" ref="C35:K35" si="13">B35*C3/B3</f>
        <v>82.049477048227814</v>
      </c>
      <c r="D35" s="8">
        <f t="shared" si="13"/>
        <v>85.346600813480592</v>
      </c>
      <c r="E35" s="8">
        <f t="shared" si="13"/>
        <v>89.700697269029675</v>
      </c>
      <c r="F35" s="8">
        <f t="shared" si="13"/>
        <v>94.086345148169741</v>
      </c>
      <c r="G35" s="8">
        <f t="shared" si="13"/>
        <v>97.809413131900115</v>
      </c>
      <c r="H35" s="8">
        <f t="shared" si="13"/>
        <v>101.62713538640328</v>
      </c>
      <c r="I35" s="8">
        <f t="shared" si="13"/>
        <v>106.06011040092977</v>
      </c>
      <c r="J35" s="8">
        <f t="shared" si="13"/>
        <v>111.01368390470658</v>
      </c>
      <c r="K35" s="8">
        <f t="shared" si="13"/>
        <v>116.09346310284718</v>
      </c>
    </row>
    <row r="36" spans="1:11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35">
      <c r="B37" s="8">
        <f>B34-B33</f>
        <v>40.520000000000003</v>
      </c>
      <c r="C37" s="8">
        <f t="shared" ref="C37:K37" si="14">C34-C33</f>
        <v>40.818229711408122</v>
      </c>
      <c r="D37" s="8">
        <f t="shared" si="14"/>
        <v>42.458493124152653</v>
      </c>
      <c r="E37" s="8">
        <f t="shared" si="14"/>
        <v>44.624582607011448</v>
      </c>
      <c r="F37" s="8">
        <f t="shared" si="14"/>
        <v>46.806368390470695</v>
      </c>
      <c r="G37" s="8">
        <f t="shared" si="14"/>
        <v>32.420889018012822</v>
      </c>
      <c r="H37" s="8">
        <f t="shared" si="14"/>
        <v>33.686349524844921</v>
      </c>
      <c r="I37" s="8">
        <f t="shared" si="14"/>
        <v>35.15574788195164</v>
      </c>
      <c r="J37" s="8">
        <f t="shared" si="14"/>
        <v>36.797709035444534</v>
      </c>
      <c r="K37" s="8">
        <f t="shared" si="14"/>
        <v>38.481503594121961</v>
      </c>
    </row>
    <row r="38" spans="1:11" x14ac:dyDescent="0.35">
      <c r="B38" s="8">
        <f>B35-B33</f>
        <v>66.95</v>
      </c>
      <c r="C38" s="8">
        <f t="shared" ref="C38:K38" si="15">C35-C33</f>
        <v>67.442756149525508</v>
      </c>
      <c r="D38" s="8">
        <f t="shared" si="15"/>
        <v>70.152914971915607</v>
      </c>
      <c r="E38" s="8">
        <f t="shared" si="15"/>
        <v>73.731880689521631</v>
      </c>
      <c r="F38" s="8">
        <f t="shared" si="15"/>
        <v>77.336780941313251</v>
      </c>
      <c r="G38" s="8">
        <f t="shared" si="15"/>
        <v>64.159413131900124</v>
      </c>
      <c r="H38" s="8">
        <f t="shared" si="15"/>
        <v>66.663699902532329</v>
      </c>
      <c r="I38" s="8">
        <f t="shared" si="15"/>
        <v>69.571570078349112</v>
      </c>
      <c r="J38" s="8">
        <f t="shared" si="15"/>
        <v>72.820933904706578</v>
      </c>
      <c r="K38" s="8">
        <f t="shared" si="15"/>
        <v>76.153084070589131</v>
      </c>
    </row>
    <row r="39" spans="1:11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35">
      <c r="B40" s="8">
        <f>B33*9/14.5</f>
        <v>9</v>
      </c>
      <c r="C40" s="8">
        <f t="shared" ref="C40:F40" si="16">C33*9/14.5</f>
        <v>9.0662405578152274</v>
      </c>
      <c r="D40" s="8">
        <f t="shared" si="16"/>
        <v>9.4305636257989605</v>
      </c>
      <c r="E40" s="8">
        <f t="shared" si="16"/>
        <v>9.9116792562463729</v>
      </c>
      <c r="F40" s="8">
        <f t="shared" si="16"/>
        <v>10.396281231841961</v>
      </c>
      <c r="G40" s="8">
        <f>G33*21.2/34.9</f>
        <v>20.440687679083094</v>
      </c>
      <c r="H40" s="8">
        <f t="shared" ref="H40:K40" si="17">H33*21.2/34.9</f>
        <v>21.238533875589237</v>
      </c>
      <c r="I40" s="8">
        <f t="shared" si="17"/>
        <v>22.16495859136705</v>
      </c>
      <c r="J40" s="8">
        <f t="shared" si="17"/>
        <v>23.20018051575931</v>
      </c>
      <c r="K40" s="8">
        <f t="shared" si="17"/>
        <v>24.261777521027813</v>
      </c>
    </row>
    <row r="41" spans="1:11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35">
      <c r="B42" s="8">
        <f>B33*9/14.5</f>
        <v>9</v>
      </c>
      <c r="C42" s="8">
        <f t="shared" ref="C42:K42" si="18">C33*9/14.5</f>
        <v>9.0662405578152274</v>
      </c>
      <c r="D42" s="8">
        <f t="shared" si="18"/>
        <v>9.4305636257989605</v>
      </c>
      <c r="E42" s="8">
        <f t="shared" si="18"/>
        <v>9.9116792562463729</v>
      </c>
      <c r="F42" s="8">
        <f t="shared" si="18"/>
        <v>10.396281231841961</v>
      </c>
      <c r="G42" s="8">
        <f t="shared" si="18"/>
        <v>20.886206896551723</v>
      </c>
      <c r="H42" s="8">
        <f t="shared" si="18"/>
        <v>21.701442714126802</v>
      </c>
      <c r="I42" s="8">
        <f t="shared" si="18"/>
        <v>22.648059510567307</v>
      </c>
      <c r="J42" s="8">
        <f t="shared" si="18"/>
        <v>23.705844827586205</v>
      </c>
      <c r="K42" s="8">
        <f t="shared" si="18"/>
        <v>24.790580088987756</v>
      </c>
    </row>
    <row r="43" spans="1:11" x14ac:dyDescent="0.35">
      <c r="B43" s="8">
        <f t="shared" ref="B43:K44" si="19">B34*9/14.5</f>
        <v>34.15034482758621</v>
      </c>
      <c r="C43" s="8">
        <f t="shared" si="19"/>
        <v>34.40169348213751</v>
      </c>
      <c r="D43" s="8">
        <f t="shared" si="19"/>
        <v>35.784111082169574</v>
      </c>
      <c r="E43" s="8">
        <f t="shared" si="19"/>
        <v>37.609696046805205</v>
      </c>
      <c r="F43" s="8">
        <f t="shared" si="19"/>
        <v>39.448509887996188</v>
      </c>
      <c r="G43" s="8">
        <f t="shared" si="19"/>
        <v>41.009517321525202</v>
      </c>
      <c r="H43" s="8">
        <f t="shared" si="19"/>
        <v>42.610211384720202</v>
      </c>
      <c r="I43" s="8">
        <f t="shared" si="19"/>
        <v>44.468868540744189</v>
      </c>
      <c r="J43" s="8">
        <f t="shared" si="19"/>
        <v>46.545802159931085</v>
      </c>
      <c r="K43" s="8">
        <f t="shared" si="19"/>
        <v>48.67565128533932</v>
      </c>
    </row>
    <row r="44" spans="1:11" x14ac:dyDescent="0.35">
      <c r="B44" s="8">
        <f t="shared" si="19"/>
        <v>50.555172413793109</v>
      </c>
      <c r="C44" s="8">
        <f t="shared" si="19"/>
        <v>50.927261616141401</v>
      </c>
      <c r="D44" s="8">
        <f t="shared" si="19"/>
        <v>52.97375222905692</v>
      </c>
      <c r="E44" s="8">
        <f t="shared" si="19"/>
        <v>55.67629485663911</v>
      </c>
      <c r="F44" s="8">
        <f t="shared" si="19"/>
        <v>58.398421126450181</v>
      </c>
      <c r="G44" s="8">
        <f t="shared" si="19"/>
        <v>60.709290909455241</v>
      </c>
      <c r="H44" s="8">
        <f t="shared" si="19"/>
        <v>63.078911619146865</v>
      </c>
      <c r="I44" s="8">
        <f t="shared" si="19"/>
        <v>65.830413352301235</v>
      </c>
      <c r="J44" s="8">
        <f t="shared" si="19"/>
        <v>68.905045182231675</v>
      </c>
      <c r="K44" s="8">
        <f t="shared" si="19"/>
        <v>72.058011581077565</v>
      </c>
    </row>
    <row r="45" spans="1:11" x14ac:dyDescent="0.35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35">
      <c r="B46" s="8">
        <f>B43-B42</f>
        <v>25.15034482758621</v>
      </c>
      <c r="C46" s="8">
        <f t="shared" ref="C46:K46" si="20">C43-C42</f>
        <v>25.335452924322283</v>
      </c>
      <c r="D46" s="8">
        <f t="shared" si="20"/>
        <v>26.353547456370613</v>
      </c>
      <c r="E46" s="8">
        <f t="shared" si="20"/>
        <v>27.698016790558832</v>
      </c>
      <c r="F46" s="8">
        <f t="shared" si="20"/>
        <v>29.052228656154227</v>
      </c>
      <c r="G46" s="8">
        <f t="shared" si="20"/>
        <v>20.123310424973479</v>
      </c>
      <c r="H46" s="8">
        <f t="shared" si="20"/>
        <v>20.9087686705934</v>
      </c>
      <c r="I46" s="8">
        <f t="shared" si="20"/>
        <v>21.820809030176882</v>
      </c>
      <c r="J46" s="8">
        <f t="shared" si="20"/>
        <v>22.839957332344881</v>
      </c>
      <c r="K46" s="8">
        <f t="shared" si="20"/>
        <v>23.885071196351564</v>
      </c>
    </row>
    <row r="47" spans="1:11" x14ac:dyDescent="0.35">
      <c r="A47" t="s">
        <v>59</v>
      </c>
      <c r="B47" s="24">
        <f>B44-B42</f>
        <v>41.555172413793109</v>
      </c>
      <c r="C47" s="24">
        <f t="shared" ref="C47:K47" si="21">C44-C42</f>
        <v>41.861021058326173</v>
      </c>
      <c r="D47" s="24">
        <f t="shared" si="21"/>
        <v>43.54318860325796</v>
      </c>
      <c r="E47" s="24">
        <f t="shared" si="21"/>
        <v>45.764615600392737</v>
      </c>
      <c r="F47" s="24">
        <f t="shared" si="21"/>
        <v>48.00213989460822</v>
      </c>
      <c r="G47" s="24">
        <f t="shared" si="21"/>
        <v>39.823084012903522</v>
      </c>
      <c r="H47" s="24">
        <f t="shared" si="21"/>
        <v>41.377468905020066</v>
      </c>
      <c r="I47" s="24">
        <f t="shared" si="21"/>
        <v>43.182353841733928</v>
      </c>
      <c r="J47" s="24">
        <f t="shared" si="21"/>
        <v>45.19920035464547</v>
      </c>
      <c r="K47" s="24">
        <f t="shared" si="21"/>
        <v>47.267431492089813</v>
      </c>
    </row>
    <row r="50" spans="2:11" x14ac:dyDescent="0.35">
      <c r="B50" s="7">
        <f>B44*0.1*0.1</f>
        <v>0.50555172413793115</v>
      </c>
      <c r="C50" s="7">
        <f t="shared" ref="C50:K50" si="22">C44*0.1*0.1</f>
        <v>0.50927261616141406</v>
      </c>
      <c r="D50" s="7">
        <f t="shared" si="22"/>
        <v>0.52973752229056925</v>
      </c>
      <c r="E50" s="7">
        <f t="shared" si="22"/>
        <v>0.55676294856639108</v>
      </c>
      <c r="F50" s="7">
        <f t="shared" si="22"/>
        <v>0.58398421126450184</v>
      </c>
      <c r="G50" s="7">
        <f t="shared" si="22"/>
        <v>0.60709290909455249</v>
      </c>
      <c r="H50" s="7">
        <f t="shared" si="22"/>
        <v>0.63078911619146871</v>
      </c>
      <c r="I50" s="7">
        <f t="shared" si="22"/>
        <v>0.65830413352301242</v>
      </c>
      <c r="J50" s="7">
        <f t="shared" si="22"/>
        <v>0.68905045182231683</v>
      </c>
      <c r="K50" s="7">
        <f t="shared" si="22"/>
        <v>0.72058011581077575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16"/>
  <sheetViews>
    <sheetView workbookViewId="0">
      <selection activeCell="D22" sqref="D22"/>
    </sheetView>
  </sheetViews>
  <sheetFormatPr defaultRowHeight="14.5" x14ac:dyDescent="0.35"/>
  <sheetData>
    <row r="3" spans="2:13" x14ac:dyDescent="0.35">
      <c r="B3" t="s">
        <v>21</v>
      </c>
    </row>
    <row r="4" spans="2:13" x14ac:dyDescent="0.35">
      <c r="B4">
        <v>21440</v>
      </c>
      <c r="C4">
        <v>22339.9</v>
      </c>
      <c r="D4">
        <v>23251.4</v>
      </c>
      <c r="E4">
        <v>24138.7</v>
      </c>
      <c r="F4">
        <v>25035.5</v>
      </c>
      <c r="G4">
        <v>25954.799999999999</v>
      </c>
      <c r="H4">
        <v>26888.1</v>
      </c>
      <c r="I4">
        <v>27866.7</v>
      </c>
      <c r="J4">
        <v>28923.599999999999</v>
      </c>
      <c r="K4">
        <v>30010</v>
      </c>
      <c r="L4">
        <v>31135.200000000001</v>
      </c>
      <c r="M4">
        <v>32296.7</v>
      </c>
    </row>
    <row r="5" spans="2:13" x14ac:dyDescent="0.35"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</row>
    <row r="6" spans="2:13" x14ac:dyDescent="0.35">
      <c r="B6" s="11">
        <f>B4*C6/C4</f>
        <v>13.436049400400179</v>
      </c>
      <c r="C6" s="11">
        <v>14</v>
      </c>
      <c r="D6" s="11">
        <f>C6/C4*D4</f>
        <v>14.57122010393959</v>
      </c>
      <c r="E6" s="11">
        <f t="shared" ref="E6:J6" si="0">D6/D4*E4</f>
        <v>15.127274517791038</v>
      </c>
      <c r="F6" s="11">
        <f t="shared" si="0"/>
        <v>15.689282405024194</v>
      </c>
      <c r="G6" s="11">
        <f t="shared" si="0"/>
        <v>16.265390623950868</v>
      </c>
      <c r="H6" s="11">
        <f t="shared" si="0"/>
        <v>16.85027238259795</v>
      </c>
      <c r="I6" s="11">
        <f t="shared" si="0"/>
        <v>17.463542809054648</v>
      </c>
      <c r="J6" s="11">
        <f t="shared" si="0"/>
        <v>18.125882389804786</v>
      </c>
      <c r="K6" s="11">
        <f>J6/J4*K4</f>
        <v>18.806709072108649</v>
      </c>
    </row>
    <row r="9" spans="2:13" x14ac:dyDescent="0.35">
      <c r="B9" s="10"/>
      <c r="C9" s="10"/>
      <c r="D9" s="10"/>
      <c r="E9" s="10"/>
      <c r="F9" s="10"/>
      <c r="G9" s="10"/>
      <c r="H9" s="10"/>
      <c r="I9" s="10"/>
      <c r="J9" s="10"/>
      <c r="K9" s="11"/>
    </row>
    <row r="13" spans="2:13" x14ac:dyDescent="0.35">
      <c r="B13" s="1">
        <v>16784.900000000001</v>
      </c>
    </row>
    <row r="14" spans="2:13" x14ac:dyDescent="0.35">
      <c r="B14">
        <v>2013</v>
      </c>
      <c r="D14">
        <v>2021</v>
      </c>
      <c r="E14">
        <v>2022</v>
      </c>
      <c r="F14">
        <v>2023</v>
      </c>
      <c r="G14">
        <v>2024</v>
      </c>
      <c r="H14">
        <v>2025</v>
      </c>
      <c r="I14">
        <v>2026</v>
      </c>
      <c r="J14">
        <v>2027</v>
      </c>
      <c r="K14">
        <v>2028</v>
      </c>
      <c r="L14">
        <v>2029</v>
      </c>
      <c r="M14">
        <v>2030</v>
      </c>
    </row>
    <row r="15" spans="2:13" x14ac:dyDescent="0.35">
      <c r="B15">
        <v>9.4483473880000002</v>
      </c>
      <c r="D15" s="8">
        <f>$B$15*B4/$B$13</f>
        <v>12.068738449363416</v>
      </c>
      <c r="E15" s="8">
        <f t="shared" ref="E15:M15" si="1">$B$15*C4/$B$13</f>
        <v>12.575298977842062</v>
      </c>
      <c r="F15" s="8">
        <f t="shared" si="1"/>
        <v>13.088389234213084</v>
      </c>
      <c r="G15" s="8">
        <f t="shared" si="1"/>
        <v>13.587857127222419</v>
      </c>
      <c r="H15" s="8">
        <f t="shared" si="1"/>
        <v>14.092672642212584</v>
      </c>
      <c r="I15" s="8">
        <f t="shared" si="1"/>
        <v>14.610153577683654</v>
      </c>
      <c r="J15" s="8">
        <f t="shared" si="1"/>
        <v>15.135515219231735</v>
      </c>
      <c r="K15" s="8">
        <f t="shared" si="1"/>
        <v>15.686376574014714</v>
      </c>
      <c r="L15" s="8">
        <f t="shared" si="1"/>
        <v>16.281313592071253</v>
      </c>
      <c r="M15" s="8">
        <f t="shared" si="1"/>
        <v>16.892856383647207</v>
      </c>
    </row>
    <row r="16" spans="2:13" x14ac:dyDescent="0.35">
      <c r="B16">
        <v>6.1366029739999997</v>
      </c>
      <c r="D16" s="8">
        <f>$B$16*B4/$B$13</f>
        <v>7.838519607656881</v>
      </c>
      <c r="E16" s="8">
        <f t="shared" ref="E16:M16" si="2">$B$16*C4/$B$13</f>
        <v>8.1675253816741602</v>
      </c>
      <c r="F16" s="8">
        <f t="shared" si="2"/>
        <v>8.5007721457776686</v>
      </c>
      <c r="G16" s="8">
        <f t="shared" si="2"/>
        <v>8.8251713271150738</v>
      </c>
      <c r="H16" s="8">
        <f t="shared" si="2"/>
        <v>9.1530437330920638</v>
      </c>
      <c r="I16" s="8">
        <f t="shared" si="2"/>
        <v>9.48914219742597</v>
      </c>
      <c r="J16" s="8">
        <f t="shared" si="2"/>
        <v>9.8303590980708488</v>
      </c>
      <c r="K16" s="8">
        <f t="shared" si="2"/>
        <v>10.188137796207648</v>
      </c>
      <c r="L16" s="8">
        <f t="shared" si="2"/>
        <v>10.574543177426518</v>
      </c>
      <c r="M16" s="8">
        <f t="shared" si="2"/>
        <v>10.971733835157789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N16"/>
  <sheetViews>
    <sheetView workbookViewId="0">
      <selection activeCell="G51" sqref="G51"/>
    </sheetView>
  </sheetViews>
  <sheetFormatPr defaultRowHeight="14.5" x14ac:dyDescent="0.35"/>
  <sheetData>
    <row r="4" spans="2:14" x14ac:dyDescent="0.35">
      <c r="B4" t="s">
        <v>9</v>
      </c>
      <c r="F4" s="13" t="s">
        <v>32</v>
      </c>
    </row>
    <row r="5" spans="2:14" x14ac:dyDescent="0.35">
      <c r="B5" t="s">
        <v>10</v>
      </c>
    </row>
    <row r="6" spans="2:14" x14ac:dyDescent="0.35">
      <c r="B6" t="s">
        <v>27</v>
      </c>
    </row>
    <row r="9" spans="2:14" x14ac:dyDescent="0.35">
      <c r="C9">
        <v>21427.7</v>
      </c>
      <c r="D9">
        <v>20339.099999999999</v>
      </c>
      <c r="E9">
        <v>21313</v>
      </c>
      <c r="F9">
        <v>22298</v>
      </c>
      <c r="G9">
        <v>23208.5</v>
      </c>
      <c r="H9">
        <v>24213.7</v>
      </c>
      <c r="I9">
        <v>25286.6</v>
      </c>
      <c r="J9">
        <v>26415.3</v>
      </c>
      <c r="K9">
        <v>27582.799999999999</v>
      </c>
      <c r="L9">
        <v>28746.799999999999</v>
      </c>
      <c r="M9">
        <v>29873.5</v>
      </c>
      <c r="N9">
        <v>31022.3</v>
      </c>
    </row>
    <row r="11" spans="2:14" x14ac:dyDescent="0.35">
      <c r="B11">
        <v>2016</v>
      </c>
      <c r="C11">
        <v>2019</v>
      </c>
      <c r="D11">
        <v>2020</v>
      </c>
      <c r="E11">
        <v>2021</v>
      </c>
      <c r="F11">
        <v>2022</v>
      </c>
      <c r="G11">
        <v>2023</v>
      </c>
      <c r="H11">
        <v>2024</v>
      </c>
      <c r="I11">
        <v>2025</v>
      </c>
      <c r="J11">
        <v>2026</v>
      </c>
      <c r="K11">
        <v>2027</v>
      </c>
      <c r="L11">
        <v>2028</v>
      </c>
      <c r="M11">
        <v>2029</v>
      </c>
      <c r="N11">
        <v>2030</v>
      </c>
    </row>
    <row r="12" spans="2:14" x14ac:dyDescent="0.35">
      <c r="B12" s="9">
        <v>6</v>
      </c>
      <c r="C12" s="10">
        <f>B12*21.4/18.7</f>
        <v>6.8663101604278065</v>
      </c>
      <c r="D12" s="10">
        <f>C12*D9/C9</f>
        <v>6.5174782633673791</v>
      </c>
      <c r="E12" s="10">
        <f t="shared" ref="E12:N12" si="0">D12*E9/D9</f>
        <v>6.8295555962234795</v>
      </c>
      <c r="F12" s="10">
        <f t="shared" si="0"/>
        <v>7.1451898223896748</v>
      </c>
      <c r="G12" s="10">
        <f t="shared" si="0"/>
        <v>7.4369512060691889</v>
      </c>
      <c r="H12" s="10">
        <f t="shared" si="0"/>
        <v>7.7590583371780824</v>
      </c>
      <c r="I12" s="10">
        <f t="shared" si="0"/>
        <v>8.1028593130701747</v>
      </c>
      <c r="J12" s="10">
        <f t="shared" si="0"/>
        <v>8.4645408877643735</v>
      </c>
      <c r="K12" s="10">
        <f t="shared" si="0"/>
        <v>8.83865556700197</v>
      </c>
      <c r="L12" s="10">
        <f t="shared" si="0"/>
        <v>9.2116487033039522</v>
      </c>
      <c r="M12" s="10">
        <f t="shared" si="0"/>
        <v>9.5726893963206567</v>
      </c>
      <c r="N12" s="10">
        <f t="shared" si="0"/>
        <v>9.9408118318736776</v>
      </c>
    </row>
    <row r="13" spans="2:14" x14ac:dyDescent="0.35">
      <c r="B13" s="11">
        <f>B12*0.183</f>
        <v>1.0979999999999999</v>
      </c>
      <c r="C13" s="11">
        <f t="shared" ref="C13:N13" si="1">C12*0.183</f>
        <v>1.2565347593582885</v>
      </c>
      <c r="D13" s="11">
        <f t="shared" si="1"/>
        <v>1.1926985221962303</v>
      </c>
      <c r="E13" s="11">
        <f t="shared" si="1"/>
        <v>1.2498086741088967</v>
      </c>
      <c r="F13" s="11">
        <f t="shared" si="1"/>
        <v>1.3075697374973105</v>
      </c>
      <c r="G13" s="11">
        <f t="shared" si="1"/>
        <v>1.3609620707106616</v>
      </c>
      <c r="H13" s="11">
        <f t="shared" si="1"/>
        <v>1.4199076757035891</v>
      </c>
      <c r="I13" s="11">
        <f t="shared" si="1"/>
        <v>1.482823254291842</v>
      </c>
      <c r="J13" s="11">
        <f t="shared" si="1"/>
        <v>1.5490109824608804</v>
      </c>
      <c r="K13" s="11">
        <f t="shared" si="1"/>
        <v>1.6174739687613604</v>
      </c>
      <c r="L13" s="11">
        <f t="shared" si="1"/>
        <v>1.6857317127046232</v>
      </c>
      <c r="M13" s="11">
        <f t="shared" si="1"/>
        <v>1.7518021595266802</v>
      </c>
      <c r="N13" s="11">
        <f t="shared" si="1"/>
        <v>1.8191685652328831</v>
      </c>
    </row>
    <row r="16" spans="2:14" x14ac:dyDescent="0.35">
      <c r="B16" s="22" t="s">
        <v>65</v>
      </c>
    </row>
  </sheetData>
  <hyperlinks>
    <hyperlink ref="F4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3"/>
  <sheetViews>
    <sheetView workbookViewId="0">
      <selection activeCell="A59" sqref="A59"/>
    </sheetView>
  </sheetViews>
  <sheetFormatPr defaultRowHeight="14.5" x14ac:dyDescent="0.35"/>
  <cols>
    <col min="1" max="1" width="13" bestFit="1" customWidth="1"/>
  </cols>
  <sheetData>
    <row r="2" spans="1:14" x14ac:dyDescent="0.35">
      <c r="B2" t="s">
        <v>13</v>
      </c>
    </row>
    <row r="5" spans="1:14" x14ac:dyDescent="0.35">
      <c r="B5" t="s">
        <v>12</v>
      </c>
    </row>
    <row r="6" spans="1:14" x14ac:dyDescent="0.35">
      <c r="C6">
        <v>21440</v>
      </c>
      <c r="D6">
        <v>22339.9</v>
      </c>
      <c r="E6">
        <v>23251.4</v>
      </c>
      <c r="F6">
        <v>24138.7</v>
      </c>
      <c r="G6">
        <v>25035.5</v>
      </c>
      <c r="H6">
        <v>25954.799999999999</v>
      </c>
      <c r="I6">
        <v>26888.1</v>
      </c>
      <c r="J6">
        <v>27866.7</v>
      </c>
      <c r="K6">
        <v>28923.599999999999</v>
      </c>
      <c r="L6">
        <v>30010</v>
      </c>
      <c r="M6">
        <v>31135.200000000001</v>
      </c>
      <c r="N6">
        <v>32296.7</v>
      </c>
    </row>
    <row r="7" spans="1:14" x14ac:dyDescent="0.35">
      <c r="B7">
        <v>2018</v>
      </c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  <c r="J7">
        <v>2026</v>
      </c>
      <c r="K7">
        <v>2027</v>
      </c>
      <c r="L7">
        <v>2028</v>
      </c>
    </row>
    <row r="8" spans="1:14" x14ac:dyDescent="0.35">
      <c r="A8" t="s">
        <v>28</v>
      </c>
      <c r="B8">
        <v>3180</v>
      </c>
      <c r="C8">
        <v>4300</v>
      </c>
      <c r="D8">
        <v>5100</v>
      </c>
      <c r="E8">
        <v>5250</v>
      </c>
      <c r="F8">
        <v>4650</v>
      </c>
      <c r="G8">
        <v>3620</v>
      </c>
      <c r="H8">
        <v>2460</v>
      </c>
      <c r="I8">
        <v>1700</v>
      </c>
      <c r="J8">
        <v>1230</v>
      </c>
      <c r="K8">
        <v>1030</v>
      </c>
      <c r="L8">
        <v>970</v>
      </c>
    </row>
    <row r="9" spans="1:14" x14ac:dyDescent="0.35">
      <c r="A9" t="s">
        <v>29</v>
      </c>
      <c r="B9">
        <f>B8/1000</f>
        <v>3.18</v>
      </c>
      <c r="C9">
        <f>C8/1000</f>
        <v>4.3</v>
      </c>
      <c r="D9">
        <f t="shared" ref="D9:L9" si="0">D8/1000</f>
        <v>5.0999999999999996</v>
      </c>
      <c r="E9">
        <f t="shared" si="0"/>
        <v>5.25</v>
      </c>
      <c r="F9">
        <f t="shared" si="0"/>
        <v>4.6500000000000004</v>
      </c>
      <c r="G9">
        <f t="shared" si="0"/>
        <v>3.62</v>
      </c>
      <c r="H9">
        <f t="shared" si="0"/>
        <v>2.46</v>
      </c>
      <c r="I9">
        <f t="shared" si="0"/>
        <v>1.7</v>
      </c>
      <c r="J9">
        <f t="shared" si="0"/>
        <v>1.23</v>
      </c>
      <c r="K9">
        <f t="shared" si="0"/>
        <v>1.03</v>
      </c>
      <c r="L9">
        <f t="shared" si="0"/>
        <v>0.97</v>
      </c>
    </row>
    <row r="10" spans="1:14" x14ac:dyDescent="0.35">
      <c r="C10" s="12">
        <f>C9/C6</f>
        <v>2.0055970149253729E-4</v>
      </c>
      <c r="D10" s="12">
        <f>D9/D6</f>
        <v>2.2829108456170346E-4</v>
      </c>
      <c r="E10" s="12">
        <f t="shared" ref="E10:L10" si="1">E9/E6</f>
        <v>2.2579285548397085E-4</v>
      </c>
      <c r="F10" s="12">
        <f t="shared" si="1"/>
        <v>1.9263672028733942E-4</v>
      </c>
      <c r="G10" s="12">
        <f t="shared" si="1"/>
        <v>1.4459467556070379E-4</v>
      </c>
      <c r="H10" s="12">
        <f t="shared" si="1"/>
        <v>9.478015627167229E-5</v>
      </c>
      <c r="I10" s="12">
        <f t="shared" si="1"/>
        <v>6.3224995444081212E-5</v>
      </c>
      <c r="J10" s="12">
        <f t="shared" si="1"/>
        <v>4.4138703183369399E-5</v>
      </c>
      <c r="K10" s="12">
        <f t="shared" si="1"/>
        <v>3.5611058097885466E-5</v>
      </c>
      <c r="L10" s="12">
        <f t="shared" si="1"/>
        <v>3.2322559146951017E-5</v>
      </c>
    </row>
    <row r="13" spans="1:14" x14ac:dyDescent="0.35">
      <c r="E13">
        <f>$C$10*E6</f>
        <v>4.663293843283582</v>
      </c>
      <c r="F13">
        <f t="shared" ref="F13:N13" si="2">$C$10*F6</f>
        <v>4.8412504664179101</v>
      </c>
      <c r="G13">
        <f t="shared" si="2"/>
        <v>5.0211124067164175</v>
      </c>
      <c r="H13">
        <f t="shared" si="2"/>
        <v>5.2054869402985071</v>
      </c>
      <c r="I13">
        <f t="shared" si="2"/>
        <v>5.3926693097014917</v>
      </c>
      <c r="J13">
        <f t="shared" si="2"/>
        <v>5.5889370335820887</v>
      </c>
      <c r="K13">
        <f t="shared" si="2"/>
        <v>5.8009085820895514</v>
      </c>
      <c r="L13">
        <f t="shared" si="2"/>
        <v>6.0187966417910443</v>
      </c>
      <c r="M13">
        <f t="shared" si="2"/>
        <v>6.2444664179104477</v>
      </c>
      <c r="N13">
        <f t="shared" si="2"/>
        <v>6.4774165111940292</v>
      </c>
    </row>
    <row r="14" spans="1:14" x14ac:dyDescent="0.35">
      <c r="E14" s="7">
        <v>0</v>
      </c>
      <c r="F14" s="7">
        <f>F13-F9</f>
        <v>0.19125046641790977</v>
      </c>
      <c r="G14" s="7">
        <f t="shared" ref="G14:N14" si="3">G13-G9</f>
        <v>1.4011124067164173</v>
      </c>
      <c r="H14" s="7">
        <f t="shared" si="3"/>
        <v>2.7454869402985072</v>
      </c>
      <c r="I14" s="7">
        <f t="shared" si="3"/>
        <v>3.6926693097014915</v>
      </c>
      <c r="J14" s="7">
        <f t="shared" si="3"/>
        <v>4.3589370335820892</v>
      </c>
      <c r="K14" s="7">
        <f t="shared" si="3"/>
        <v>4.7709085820895512</v>
      </c>
      <c r="L14" s="7">
        <f t="shared" si="3"/>
        <v>5.0487966417910446</v>
      </c>
      <c r="M14" s="7">
        <f t="shared" si="3"/>
        <v>6.2444664179104477</v>
      </c>
      <c r="N14" s="7">
        <f t="shared" si="3"/>
        <v>6.4774165111940292</v>
      </c>
    </row>
    <row r="17" spans="1:14" x14ac:dyDescent="0.35">
      <c r="C17" t="s">
        <v>66</v>
      </c>
    </row>
    <row r="18" spans="1:14" x14ac:dyDescent="0.35">
      <c r="C18" t="s">
        <v>67</v>
      </c>
      <c r="E18">
        <v>21313</v>
      </c>
      <c r="F18">
        <v>22298</v>
      </c>
      <c r="G18">
        <v>23208.5</v>
      </c>
      <c r="H18">
        <v>24213.7</v>
      </c>
      <c r="I18">
        <v>25286.6</v>
      </c>
      <c r="J18">
        <v>26415.3</v>
      </c>
      <c r="K18">
        <v>27582.799999999999</v>
      </c>
      <c r="L18">
        <v>28746.799999999999</v>
      </c>
      <c r="M18">
        <v>29873.5</v>
      </c>
      <c r="N18">
        <v>31022.3</v>
      </c>
    </row>
    <row r="19" spans="1:14" x14ac:dyDescent="0.35">
      <c r="E19" s="14">
        <f>E14/E6</f>
        <v>0</v>
      </c>
      <c r="F19" s="14">
        <f t="shared" ref="F19:N19" si="4">F14/F6</f>
        <v>7.9229812051978683E-6</v>
      </c>
      <c r="G19" s="14">
        <f t="shared" si="4"/>
        <v>5.5965025931833494E-5</v>
      </c>
      <c r="H19" s="14">
        <f t="shared" si="4"/>
        <v>1.0577954522086502E-4</v>
      </c>
      <c r="I19" s="14">
        <f t="shared" si="4"/>
        <v>1.3733470604845608E-4</v>
      </c>
      <c r="J19" s="14">
        <f t="shared" si="4"/>
        <v>1.5642099830916789E-4</v>
      </c>
      <c r="K19" s="14">
        <f t="shared" si="4"/>
        <v>1.6494864339465181E-4</v>
      </c>
      <c r="L19" s="14">
        <f t="shared" si="4"/>
        <v>1.6823714234558628E-4</v>
      </c>
      <c r="M19" s="14">
        <f t="shared" si="4"/>
        <v>2.0055970149253729E-4</v>
      </c>
      <c r="N19" s="14">
        <f t="shared" si="4"/>
        <v>2.0055970149253729E-4</v>
      </c>
    </row>
    <row r="21" spans="1:14" x14ac:dyDescent="0.35">
      <c r="D21" t="s">
        <v>68</v>
      </c>
      <c r="E21" s="7">
        <f>-E19*E18</f>
        <v>0</v>
      </c>
      <c r="F21" s="7">
        <f t="shared" ref="F21:N21" si="5">-F19*F18</f>
        <v>-0.17666663491350207</v>
      </c>
      <c r="G21" s="7">
        <f t="shared" si="5"/>
        <v>-1.2988643043389576</v>
      </c>
      <c r="H21" s="7">
        <f t="shared" si="5"/>
        <v>-2.5613141741144592</v>
      </c>
      <c r="I21" s="7">
        <f t="shared" si="5"/>
        <v>-3.4727277779648893</v>
      </c>
      <c r="J21" s="7">
        <f t="shared" si="5"/>
        <v>-4.1319075966361627</v>
      </c>
      <c r="K21" s="7">
        <f t="shared" si="5"/>
        <v>-4.5497454410260021</v>
      </c>
      <c r="L21" s="7">
        <f t="shared" si="5"/>
        <v>-4.8362794835800997</v>
      </c>
      <c r="M21" s="7">
        <f t="shared" si="5"/>
        <v>-5.9914202425373126</v>
      </c>
      <c r="N21" s="7">
        <f t="shared" si="5"/>
        <v>-6.2218232276119396</v>
      </c>
    </row>
    <row r="23" spans="1:14" x14ac:dyDescent="0.35">
      <c r="A23" s="2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Q21"/>
  <sheetViews>
    <sheetView topLeftCell="D1" workbookViewId="0">
      <selection activeCell="K59" sqref="K59"/>
    </sheetView>
  </sheetViews>
  <sheetFormatPr defaultRowHeight="14.5" x14ac:dyDescent="0.35"/>
  <cols>
    <col min="4" max="4" width="51.26953125" bestFit="1" customWidth="1"/>
    <col min="7" max="7" width="11.81640625" bestFit="1" customWidth="1"/>
  </cols>
  <sheetData>
    <row r="4" spans="3:17" x14ac:dyDescent="0.35">
      <c r="C4" t="s">
        <v>19</v>
      </c>
    </row>
    <row r="5" spans="3:17" x14ac:dyDescent="0.35">
      <c r="E5">
        <v>21440</v>
      </c>
      <c r="F5">
        <v>22339.9</v>
      </c>
      <c r="G5">
        <v>23251.4</v>
      </c>
      <c r="H5">
        <v>24138.7</v>
      </c>
      <c r="I5">
        <v>25035.5</v>
      </c>
      <c r="J5">
        <v>25954.799999999999</v>
      </c>
      <c r="K5">
        <v>26888.1</v>
      </c>
      <c r="L5">
        <v>27866.7</v>
      </c>
      <c r="M5">
        <v>28923.599999999999</v>
      </c>
      <c r="N5">
        <v>30010</v>
      </c>
      <c r="O5">
        <v>31135.200000000001</v>
      </c>
      <c r="P5">
        <v>32296.7</v>
      </c>
    </row>
    <row r="6" spans="3:17" x14ac:dyDescent="0.35">
      <c r="C6" t="s">
        <v>15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</row>
    <row r="7" spans="3:17" x14ac:dyDescent="0.35">
      <c r="D7" t="s">
        <v>16</v>
      </c>
      <c r="E7">
        <v>0.3</v>
      </c>
      <c r="F7">
        <v>0.4</v>
      </c>
      <c r="G7">
        <v>0.4</v>
      </c>
      <c r="H7">
        <v>0.4</v>
      </c>
      <c r="I7">
        <v>0.4</v>
      </c>
      <c r="J7">
        <v>0.3</v>
      </c>
      <c r="K7">
        <v>0.2</v>
      </c>
      <c r="Q7">
        <v>2.2999999999999998</v>
      </c>
    </row>
    <row r="8" spans="3:17" x14ac:dyDescent="0.35">
      <c r="D8" t="s">
        <v>17</v>
      </c>
      <c r="E8">
        <v>0.4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0.7</v>
      </c>
      <c r="L8">
        <v>0.7</v>
      </c>
      <c r="M8">
        <v>0.7</v>
      </c>
      <c r="N8">
        <v>0.7</v>
      </c>
      <c r="Q8">
        <v>6.1</v>
      </c>
    </row>
    <row r="9" spans="3:17" x14ac:dyDescent="0.35">
      <c r="D9" t="s">
        <v>18</v>
      </c>
      <c r="E9">
        <v>0.7</v>
      </c>
      <c r="F9">
        <v>1</v>
      </c>
      <c r="G9">
        <v>1</v>
      </c>
      <c r="H9">
        <v>1</v>
      </c>
      <c r="I9">
        <v>1</v>
      </c>
      <c r="J9">
        <v>0.9</v>
      </c>
      <c r="K9">
        <v>0.9</v>
      </c>
      <c r="L9">
        <v>0.7</v>
      </c>
      <c r="M9">
        <v>0.7</v>
      </c>
      <c r="N9">
        <v>0.7</v>
      </c>
      <c r="O9">
        <f>O5*N9/N5</f>
        <v>0.72624591802732419</v>
      </c>
      <c r="P9">
        <f>P5*O9/O5</f>
        <v>0.75333855381539483</v>
      </c>
      <c r="Q9">
        <v>8.4</v>
      </c>
    </row>
    <row r="13" spans="3:17" x14ac:dyDescent="0.35">
      <c r="D13" t="s">
        <v>66</v>
      </c>
      <c r="F13" t="s">
        <v>69</v>
      </c>
      <c r="G13">
        <v>21313</v>
      </c>
      <c r="H13">
        <v>22298</v>
      </c>
      <c r="I13">
        <v>23208.5</v>
      </c>
      <c r="J13">
        <v>24213.7</v>
      </c>
      <c r="K13">
        <v>25286.6</v>
      </c>
      <c r="L13">
        <v>26415.3</v>
      </c>
      <c r="M13">
        <v>27582.799999999999</v>
      </c>
      <c r="N13">
        <v>28746.799999999999</v>
      </c>
      <c r="O13">
        <v>29873.5</v>
      </c>
      <c r="P13">
        <v>31022.3</v>
      </c>
    </row>
    <row r="14" spans="3:17" x14ac:dyDescent="0.35">
      <c r="G14" s="23">
        <f>G9/G5</f>
        <v>4.3008162949327777E-5</v>
      </c>
      <c r="H14" s="23">
        <f t="shared" ref="H14:P14" si="0">H9/H5</f>
        <v>4.1427251674696649E-5</v>
      </c>
      <c r="I14" s="23">
        <f t="shared" si="0"/>
        <v>3.9943280541630881E-5</v>
      </c>
      <c r="J14" s="23">
        <f t="shared" si="0"/>
        <v>3.4675666928660595E-5</v>
      </c>
      <c r="K14" s="23">
        <f t="shared" si="0"/>
        <v>3.3472056411572408E-5</v>
      </c>
      <c r="L14" s="23">
        <f t="shared" si="0"/>
        <v>2.5119587177527298E-5</v>
      </c>
      <c r="M14" s="23">
        <f t="shared" si="0"/>
        <v>2.4201689969436722E-5</v>
      </c>
      <c r="N14" s="23">
        <f t="shared" si="0"/>
        <v>2.3325558147284238E-5</v>
      </c>
      <c r="O14" s="23">
        <f t="shared" si="0"/>
        <v>2.3325558147284238E-5</v>
      </c>
      <c r="P14" s="23">
        <f t="shared" si="0"/>
        <v>2.3325558147284238E-5</v>
      </c>
    </row>
    <row r="16" spans="3:17" x14ac:dyDescent="0.35">
      <c r="F16" t="s">
        <v>70</v>
      </c>
      <c r="G16" s="7">
        <f>G14*G13</f>
        <v>0.9166329769390229</v>
      </c>
      <c r="H16" s="7">
        <f t="shared" ref="H16:P16" si="1">H14*H13</f>
        <v>0.92374485784238591</v>
      </c>
      <c r="I16" s="7">
        <f t="shared" si="1"/>
        <v>0.92702362645044034</v>
      </c>
      <c r="J16" s="7">
        <f t="shared" si="1"/>
        <v>0.83962619631050905</v>
      </c>
      <c r="K16" s="7">
        <f t="shared" si="1"/>
        <v>0.8463945016568668</v>
      </c>
      <c r="L16" s="7">
        <f t="shared" si="1"/>
        <v>0.66354143117053677</v>
      </c>
      <c r="M16" s="7">
        <f t="shared" si="1"/>
        <v>0.66755037408897921</v>
      </c>
      <c r="N16" s="7">
        <f t="shared" si="1"/>
        <v>0.67053515494835048</v>
      </c>
      <c r="O16" s="7">
        <f t="shared" si="1"/>
        <v>0.69681606131289564</v>
      </c>
      <c r="P16" s="7">
        <f t="shared" si="1"/>
        <v>0.72361246251249578</v>
      </c>
    </row>
    <row r="21" spans="4:4" x14ac:dyDescent="0.35">
      <c r="D21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42"/>
  <sheetViews>
    <sheetView workbookViewId="0">
      <selection activeCell="A10" sqref="A10"/>
    </sheetView>
  </sheetViews>
  <sheetFormatPr defaultRowHeight="14.5" x14ac:dyDescent="0.35"/>
  <cols>
    <col min="1" max="1" width="50" bestFit="1" customWidth="1"/>
    <col min="16" max="16" width="10.08984375" bestFit="1" customWidth="1"/>
  </cols>
  <sheetData>
    <row r="2" spans="1:13" x14ac:dyDescent="0.35">
      <c r="B2" t="s">
        <v>78</v>
      </c>
    </row>
    <row r="6" spans="1:13" x14ac:dyDescent="0.35">
      <c r="A6" t="s">
        <v>57</v>
      </c>
      <c r="B6">
        <v>21440</v>
      </c>
      <c r="C6">
        <v>22339.9</v>
      </c>
      <c r="D6">
        <v>23251.4</v>
      </c>
      <c r="E6">
        <v>24138.7</v>
      </c>
      <c r="F6">
        <v>25035.5</v>
      </c>
      <c r="G6">
        <v>25954.799999999999</v>
      </c>
      <c r="H6">
        <v>26888.1</v>
      </c>
      <c r="I6">
        <v>27866.7</v>
      </c>
      <c r="J6">
        <v>28923.599999999999</v>
      </c>
      <c r="K6">
        <v>30010</v>
      </c>
      <c r="L6">
        <v>31135.200000000001</v>
      </c>
      <c r="M6">
        <v>32296.7</v>
      </c>
    </row>
    <row r="7" spans="1:13" x14ac:dyDescent="0.35"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</row>
    <row r="13" spans="1:13" x14ac:dyDescent="0.35">
      <c r="B13" t="s">
        <v>34</v>
      </c>
    </row>
    <row r="15" spans="1:13" x14ac:dyDescent="0.35">
      <c r="A15" t="s">
        <v>38</v>
      </c>
      <c r="B15">
        <v>2018</v>
      </c>
      <c r="C15">
        <v>2019</v>
      </c>
      <c r="D15">
        <v>2020</v>
      </c>
      <c r="E15">
        <v>2021</v>
      </c>
      <c r="F15">
        <v>2022</v>
      </c>
      <c r="G15">
        <v>2023</v>
      </c>
      <c r="H15">
        <v>2024</v>
      </c>
      <c r="I15">
        <v>2025</v>
      </c>
      <c r="J15">
        <v>2026</v>
      </c>
      <c r="K15">
        <v>2027</v>
      </c>
      <c r="L15">
        <v>2028</v>
      </c>
    </row>
    <row r="16" spans="1:13" x14ac:dyDescent="0.35">
      <c r="A16" t="s">
        <v>35</v>
      </c>
      <c r="B16">
        <v>5720</v>
      </c>
      <c r="C16">
        <v>6030</v>
      </c>
      <c r="D16">
        <v>6090</v>
      </c>
      <c r="E16">
        <v>6750</v>
      </c>
      <c r="F16">
        <v>7090</v>
      </c>
      <c r="G16">
        <v>7400</v>
      </c>
      <c r="H16">
        <v>7720</v>
      </c>
      <c r="I16">
        <v>8380</v>
      </c>
      <c r="J16">
        <v>9330</v>
      </c>
      <c r="K16">
        <v>9630</v>
      </c>
      <c r="L16">
        <v>10060</v>
      </c>
    </row>
    <row r="17" spans="1:12" x14ac:dyDescent="0.35">
      <c r="A17" t="s">
        <v>36</v>
      </c>
      <c r="B17">
        <v>2170</v>
      </c>
      <c r="C17">
        <v>2530</v>
      </c>
      <c r="D17">
        <v>3080</v>
      </c>
      <c r="E17">
        <v>3730</v>
      </c>
      <c r="F17">
        <v>4420</v>
      </c>
      <c r="G17">
        <v>5060</v>
      </c>
      <c r="H17">
        <v>5660</v>
      </c>
      <c r="I17">
        <v>6260</v>
      </c>
      <c r="J17">
        <v>7780</v>
      </c>
      <c r="K17">
        <v>8910</v>
      </c>
      <c r="L17">
        <v>9650</v>
      </c>
    </row>
    <row r="18" spans="1:12" x14ac:dyDescent="0.35">
      <c r="A18" t="s">
        <v>37</v>
      </c>
      <c r="B18">
        <v>1750</v>
      </c>
      <c r="C18">
        <v>1850</v>
      </c>
      <c r="D18">
        <v>1940</v>
      </c>
      <c r="E18">
        <v>2040</v>
      </c>
      <c r="F18">
        <v>2140</v>
      </c>
      <c r="G18">
        <v>2250</v>
      </c>
      <c r="H18">
        <v>2360</v>
      </c>
      <c r="I18">
        <v>2480</v>
      </c>
      <c r="J18">
        <v>2600</v>
      </c>
      <c r="K18">
        <v>2730</v>
      </c>
      <c r="L18">
        <v>2870</v>
      </c>
    </row>
    <row r="19" spans="1:12" x14ac:dyDescent="0.35">
      <c r="A19" t="s">
        <v>39</v>
      </c>
      <c r="B19">
        <v>2018</v>
      </c>
      <c r="C19">
        <v>2019</v>
      </c>
      <c r="D19">
        <v>2020</v>
      </c>
      <c r="E19">
        <v>2021</v>
      </c>
      <c r="F19">
        <v>2022</v>
      </c>
      <c r="G19">
        <v>2023</v>
      </c>
      <c r="H19">
        <v>2024</v>
      </c>
      <c r="I19">
        <v>2025</v>
      </c>
      <c r="J19">
        <v>2026</v>
      </c>
      <c r="K19">
        <v>2027</v>
      </c>
      <c r="L19">
        <v>2028</v>
      </c>
    </row>
    <row r="20" spans="1:12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t="s">
        <v>36</v>
      </c>
      <c r="B21">
        <v>290</v>
      </c>
      <c r="C21">
        <v>280</v>
      </c>
      <c r="D21">
        <v>330</v>
      </c>
      <c r="E21">
        <v>400</v>
      </c>
      <c r="F21">
        <v>470</v>
      </c>
      <c r="G21">
        <v>540</v>
      </c>
      <c r="H21">
        <v>600</v>
      </c>
      <c r="I21">
        <v>660</v>
      </c>
      <c r="J21">
        <v>720</v>
      </c>
      <c r="K21">
        <v>780</v>
      </c>
      <c r="L21">
        <v>850</v>
      </c>
    </row>
    <row r="22" spans="1:12" x14ac:dyDescent="0.35">
      <c r="A22" t="s">
        <v>37</v>
      </c>
      <c r="B22">
        <v>5050</v>
      </c>
      <c r="C22">
        <v>1000</v>
      </c>
      <c r="D22">
        <v>1040</v>
      </c>
      <c r="E22">
        <v>1100</v>
      </c>
      <c r="F22">
        <v>1150</v>
      </c>
      <c r="G22">
        <v>1210</v>
      </c>
      <c r="H22">
        <v>1270</v>
      </c>
      <c r="I22">
        <v>1330</v>
      </c>
      <c r="J22">
        <v>1400</v>
      </c>
      <c r="K22">
        <v>1460</v>
      </c>
      <c r="L22">
        <v>1530</v>
      </c>
    </row>
    <row r="24" spans="1:12" x14ac:dyDescent="0.35">
      <c r="A24" t="s">
        <v>41</v>
      </c>
      <c r="B24" s="15">
        <v>0.21</v>
      </c>
      <c r="C24" s="15">
        <v>0.21</v>
      </c>
      <c r="D24" s="15">
        <v>0.21</v>
      </c>
      <c r="E24" s="15">
        <v>0.21</v>
      </c>
      <c r="F24" s="15">
        <v>0.21</v>
      </c>
      <c r="G24" s="15">
        <v>0.21</v>
      </c>
      <c r="H24" s="15">
        <v>0.21</v>
      </c>
      <c r="I24" s="15">
        <v>0.21</v>
      </c>
      <c r="J24" s="15">
        <v>0.28000000000000003</v>
      </c>
      <c r="K24" s="15">
        <v>0.28000000000000003</v>
      </c>
      <c r="L24" s="15">
        <v>0.28000000000000003</v>
      </c>
    </row>
    <row r="25" spans="1:12" x14ac:dyDescent="0.35">
      <c r="A25" t="s">
        <v>42</v>
      </c>
      <c r="B25" s="15">
        <v>0.21</v>
      </c>
      <c r="C25" s="15">
        <v>0.21</v>
      </c>
      <c r="D25" s="15">
        <v>0.21</v>
      </c>
      <c r="E25" s="15">
        <v>0.21</v>
      </c>
      <c r="F25" s="15">
        <v>0.21</v>
      </c>
      <c r="G25" s="15">
        <v>0.21</v>
      </c>
      <c r="H25" s="15">
        <v>0.21</v>
      </c>
      <c r="I25" s="15">
        <v>0.21</v>
      </c>
      <c r="J25" s="15">
        <v>0.21</v>
      </c>
      <c r="K25" s="15">
        <v>0.21</v>
      </c>
      <c r="L25" s="15">
        <v>0.21</v>
      </c>
    </row>
    <row r="26" spans="1:12" x14ac:dyDescent="0.35">
      <c r="A26" t="s">
        <v>43</v>
      </c>
      <c r="B26" s="15">
        <v>0.21</v>
      </c>
      <c r="C26" s="15">
        <v>0.21</v>
      </c>
      <c r="D26" s="15">
        <v>0.24</v>
      </c>
      <c r="E26" s="15">
        <v>0.24</v>
      </c>
      <c r="F26" s="15">
        <v>0.24</v>
      </c>
      <c r="G26" s="15">
        <v>0.24</v>
      </c>
      <c r="H26" s="15">
        <v>0.24</v>
      </c>
      <c r="I26" s="15">
        <v>0.24</v>
      </c>
      <c r="J26" s="15">
        <v>0.28999999999999998</v>
      </c>
      <c r="K26" s="15">
        <v>0.28999999999999998</v>
      </c>
      <c r="L26" s="15">
        <v>0.28999999999999998</v>
      </c>
    </row>
    <row r="27" spans="1:12" x14ac:dyDescent="0.35">
      <c r="A27" t="s">
        <v>44</v>
      </c>
      <c r="B27" s="15">
        <v>0.21</v>
      </c>
      <c r="C27" s="15">
        <v>0.21</v>
      </c>
      <c r="D27" s="15">
        <v>0.21</v>
      </c>
      <c r="E27" s="15">
        <v>0.28000000000000003</v>
      </c>
      <c r="F27" s="15">
        <v>0.28000000000000003</v>
      </c>
      <c r="G27" s="15">
        <v>0.28000000000000003</v>
      </c>
      <c r="H27" s="15">
        <v>0.28000000000000003</v>
      </c>
      <c r="I27" s="15">
        <v>0.28000000000000003</v>
      </c>
      <c r="J27" s="15">
        <v>0.28000000000000003</v>
      </c>
      <c r="K27" s="15">
        <v>0.28000000000000003</v>
      </c>
      <c r="L27" s="15">
        <v>0.28000000000000003</v>
      </c>
    </row>
    <row r="29" spans="1:12" x14ac:dyDescent="0.35">
      <c r="A29" t="s">
        <v>40</v>
      </c>
    </row>
    <row r="30" spans="1:12" x14ac:dyDescent="0.35">
      <c r="A30" t="s">
        <v>38</v>
      </c>
      <c r="B30">
        <v>2018</v>
      </c>
      <c r="C30">
        <v>2019</v>
      </c>
      <c r="D30">
        <v>2020</v>
      </c>
      <c r="E30">
        <v>2021</v>
      </c>
      <c r="F30">
        <v>2022</v>
      </c>
      <c r="G30">
        <v>2023</v>
      </c>
      <c r="H30">
        <v>2024</v>
      </c>
      <c r="I30">
        <v>2025</v>
      </c>
      <c r="J30">
        <v>2026</v>
      </c>
      <c r="K30">
        <v>2027</v>
      </c>
      <c r="L30">
        <v>2028</v>
      </c>
    </row>
    <row r="31" spans="1:12" x14ac:dyDescent="0.35">
      <c r="A31" t="s">
        <v>35</v>
      </c>
      <c r="B31" s="6">
        <f>B$26/B$24*B16</f>
        <v>5720</v>
      </c>
      <c r="C31" s="6">
        <f t="shared" ref="C31:L31" si="0">C$26/C$24*C16</f>
        <v>6030</v>
      </c>
      <c r="D31" s="6">
        <f t="shared" si="0"/>
        <v>6960</v>
      </c>
      <c r="E31" s="6">
        <f t="shared" si="0"/>
        <v>7714.2857142857138</v>
      </c>
      <c r="F31" s="6">
        <f t="shared" si="0"/>
        <v>8102.8571428571422</v>
      </c>
      <c r="G31" s="6">
        <f t="shared" si="0"/>
        <v>8457.1428571428569</v>
      </c>
      <c r="H31" s="6">
        <f t="shared" si="0"/>
        <v>8822.8571428571431</v>
      </c>
      <c r="I31" s="6">
        <f t="shared" si="0"/>
        <v>9577.1428571428569</v>
      </c>
      <c r="J31" s="6">
        <f t="shared" si="0"/>
        <v>9663.2142857142844</v>
      </c>
      <c r="K31" s="6">
        <f t="shared" si="0"/>
        <v>9973.9285714285706</v>
      </c>
      <c r="L31" s="6">
        <f t="shared" si="0"/>
        <v>10419.285714285714</v>
      </c>
    </row>
    <row r="32" spans="1:12" x14ac:dyDescent="0.35">
      <c r="A32" t="s">
        <v>36</v>
      </c>
      <c r="B32" s="6">
        <f t="shared" ref="B32:L33" si="1">B$26/B$24*B17</f>
        <v>2170</v>
      </c>
      <c r="C32" s="6">
        <f t="shared" si="1"/>
        <v>2530</v>
      </c>
      <c r="D32" s="6">
        <f t="shared" si="1"/>
        <v>3520</v>
      </c>
      <c r="E32" s="6">
        <f t="shared" si="1"/>
        <v>4262.8571428571422</v>
      </c>
      <c r="F32" s="6">
        <f t="shared" si="1"/>
        <v>5051.4285714285716</v>
      </c>
      <c r="G32" s="6">
        <f t="shared" si="1"/>
        <v>5782.8571428571422</v>
      </c>
      <c r="H32" s="6">
        <f t="shared" si="1"/>
        <v>6468.5714285714284</v>
      </c>
      <c r="I32" s="6">
        <f t="shared" si="1"/>
        <v>7154.2857142857138</v>
      </c>
      <c r="J32" s="6">
        <f t="shared" si="1"/>
        <v>8057.8571428571422</v>
      </c>
      <c r="K32" s="6">
        <f t="shared" si="1"/>
        <v>9228.2142857142844</v>
      </c>
      <c r="L32" s="6">
        <f t="shared" si="1"/>
        <v>9994.6428571428551</v>
      </c>
    </row>
    <row r="33" spans="1:12" x14ac:dyDescent="0.35">
      <c r="A33" t="s">
        <v>37</v>
      </c>
      <c r="B33" s="6">
        <f t="shared" si="1"/>
        <v>1750</v>
      </c>
      <c r="C33" s="6">
        <f t="shared" si="1"/>
        <v>1850</v>
      </c>
      <c r="D33" s="6">
        <f t="shared" si="1"/>
        <v>2217.1428571428569</v>
      </c>
      <c r="E33" s="6">
        <f t="shared" si="1"/>
        <v>2331.4285714285711</v>
      </c>
      <c r="F33" s="6">
        <f t="shared" si="1"/>
        <v>2445.7142857142858</v>
      </c>
      <c r="G33" s="6">
        <f t="shared" si="1"/>
        <v>2571.4285714285711</v>
      </c>
      <c r="H33" s="6">
        <f t="shared" si="1"/>
        <v>2697.1428571428569</v>
      </c>
      <c r="I33" s="6">
        <f t="shared" si="1"/>
        <v>2834.2857142857142</v>
      </c>
      <c r="J33" s="6">
        <f t="shared" si="1"/>
        <v>2692.8571428571427</v>
      </c>
      <c r="K33" s="6">
        <f t="shared" si="1"/>
        <v>2827.4999999999995</v>
      </c>
      <c r="L33" s="6">
        <f t="shared" si="1"/>
        <v>2972.4999999999995</v>
      </c>
    </row>
    <row r="34" spans="1:12" x14ac:dyDescent="0.35">
      <c r="A34" t="s">
        <v>39</v>
      </c>
      <c r="B34">
        <v>2018</v>
      </c>
      <c r="C34">
        <v>2019</v>
      </c>
      <c r="D34">
        <v>2020</v>
      </c>
      <c r="E34">
        <v>2021</v>
      </c>
      <c r="F34">
        <v>2022</v>
      </c>
      <c r="G34">
        <v>2023</v>
      </c>
      <c r="H34">
        <v>2024</v>
      </c>
      <c r="I34">
        <v>2025</v>
      </c>
      <c r="J34">
        <v>2026</v>
      </c>
      <c r="K34">
        <v>2027</v>
      </c>
      <c r="L34">
        <v>2028</v>
      </c>
    </row>
    <row r="35" spans="1:12" x14ac:dyDescent="0.35">
      <c r="A35" t="s">
        <v>35</v>
      </c>
      <c r="B35" s="6">
        <f>B$27/B$25*B20</f>
        <v>0</v>
      </c>
      <c r="C35" s="6">
        <f t="shared" ref="C35:L35" si="2">C$27/C$25*C20</f>
        <v>0</v>
      </c>
      <c r="D35" s="6">
        <f t="shared" si="2"/>
        <v>0</v>
      </c>
      <c r="E35" s="6">
        <f t="shared" si="2"/>
        <v>0</v>
      </c>
      <c r="F35" s="6">
        <f t="shared" si="2"/>
        <v>0</v>
      </c>
      <c r="G35" s="6">
        <f t="shared" si="2"/>
        <v>0</v>
      </c>
      <c r="H35" s="6">
        <f t="shared" si="2"/>
        <v>0</v>
      </c>
      <c r="I35" s="6">
        <f t="shared" si="2"/>
        <v>0</v>
      </c>
      <c r="J35" s="6">
        <f t="shared" si="2"/>
        <v>0</v>
      </c>
      <c r="K35" s="6">
        <f t="shared" si="2"/>
        <v>0</v>
      </c>
      <c r="L35" s="6">
        <f t="shared" si="2"/>
        <v>0</v>
      </c>
    </row>
    <row r="36" spans="1:12" x14ac:dyDescent="0.35">
      <c r="A36" t="s">
        <v>36</v>
      </c>
      <c r="B36" s="6">
        <f t="shared" ref="B36:L37" si="3">B$27/B$25*B21</f>
        <v>290</v>
      </c>
      <c r="C36" s="6">
        <f t="shared" si="3"/>
        <v>280</v>
      </c>
      <c r="D36" s="6">
        <f t="shared" si="3"/>
        <v>330</v>
      </c>
      <c r="E36" s="6">
        <f t="shared" si="3"/>
        <v>533.33333333333337</v>
      </c>
      <c r="F36" s="6">
        <f t="shared" si="3"/>
        <v>626.66666666666674</v>
      </c>
      <c r="G36" s="6">
        <f t="shared" si="3"/>
        <v>720.00000000000011</v>
      </c>
      <c r="H36" s="6">
        <f t="shared" si="3"/>
        <v>800.00000000000011</v>
      </c>
      <c r="I36" s="6">
        <f t="shared" si="3"/>
        <v>880.00000000000011</v>
      </c>
      <c r="J36" s="6">
        <f t="shared" si="3"/>
        <v>960.00000000000011</v>
      </c>
      <c r="K36" s="6">
        <f t="shared" si="3"/>
        <v>1040.0000000000002</v>
      </c>
      <c r="L36" s="6">
        <f t="shared" si="3"/>
        <v>1133.3333333333335</v>
      </c>
    </row>
    <row r="37" spans="1:12" x14ac:dyDescent="0.35">
      <c r="A37" t="s">
        <v>37</v>
      </c>
      <c r="B37" s="6">
        <f t="shared" si="3"/>
        <v>5050</v>
      </c>
      <c r="C37" s="6">
        <f t="shared" si="3"/>
        <v>1000</v>
      </c>
      <c r="D37" s="6">
        <f t="shared" si="3"/>
        <v>1040</v>
      </c>
      <c r="E37" s="6">
        <f t="shared" si="3"/>
        <v>1466.6666666666667</v>
      </c>
      <c r="F37" s="6">
        <f t="shared" si="3"/>
        <v>1533.3333333333335</v>
      </c>
      <c r="G37" s="6">
        <f t="shared" si="3"/>
        <v>1613.3333333333335</v>
      </c>
      <c r="H37" s="6">
        <f t="shared" si="3"/>
        <v>1693.3333333333335</v>
      </c>
      <c r="I37" s="6">
        <f t="shared" si="3"/>
        <v>1773.3333333333335</v>
      </c>
      <c r="J37" s="6">
        <f t="shared" si="3"/>
        <v>1866.666666666667</v>
      </c>
      <c r="K37" s="6">
        <f t="shared" si="3"/>
        <v>1946.666666666667</v>
      </c>
      <c r="L37" s="6">
        <f t="shared" si="3"/>
        <v>2040.0000000000002</v>
      </c>
    </row>
    <row r="39" spans="1:12" x14ac:dyDescent="0.35">
      <c r="A39" t="s">
        <v>22</v>
      </c>
      <c r="B39" s="6">
        <f>(B37+B36+B35+B33+B32+B31)/1000</f>
        <v>14.98</v>
      </c>
      <c r="C39" s="6">
        <f t="shared" ref="C39:L39" si="4">(C37+C36+C35+C33+C32+C31)/1000</f>
        <v>11.69</v>
      </c>
      <c r="D39" s="6">
        <f t="shared" si="4"/>
        <v>14.067142857142857</v>
      </c>
      <c r="E39" s="6">
        <f t="shared" si="4"/>
        <v>16.308571428571426</v>
      </c>
      <c r="F39" s="6">
        <f t="shared" si="4"/>
        <v>17.760000000000002</v>
      </c>
      <c r="G39" s="6">
        <f t="shared" si="4"/>
        <v>19.1447619047619</v>
      </c>
      <c r="H39" s="6">
        <f t="shared" si="4"/>
        <v>20.481904761904762</v>
      </c>
      <c r="I39" s="6">
        <f t="shared" si="4"/>
        <v>22.219047619047618</v>
      </c>
      <c r="J39" s="6">
        <f t="shared" si="4"/>
        <v>23.240595238095235</v>
      </c>
      <c r="K39" s="6">
        <f t="shared" si="4"/>
        <v>25.016309523809518</v>
      </c>
      <c r="L39" s="6">
        <f t="shared" si="4"/>
        <v>26.559761904761903</v>
      </c>
    </row>
    <row r="41" spans="1:12" x14ac:dyDescent="0.35">
      <c r="B41">
        <v>2021</v>
      </c>
      <c r="C41">
        <v>2022</v>
      </c>
      <c r="D41">
        <v>2023</v>
      </c>
      <c r="E41">
        <v>2024</v>
      </c>
      <c r="F41">
        <v>2025</v>
      </c>
      <c r="G41">
        <v>2026</v>
      </c>
      <c r="H41">
        <v>2027</v>
      </c>
      <c r="I41">
        <v>2028</v>
      </c>
      <c r="J41">
        <v>2029</v>
      </c>
      <c r="K41">
        <v>2030</v>
      </c>
      <c r="L41" t="s">
        <v>30</v>
      </c>
    </row>
    <row r="42" spans="1:12" x14ac:dyDescent="0.35">
      <c r="A42" t="s">
        <v>45</v>
      </c>
      <c r="B42" s="4">
        <f>E39</f>
        <v>16.308571428571426</v>
      </c>
      <c r="C42" s="4">
        <f t="shared" ref="C42:I42" si="5">F39</f>
        <v>17.760000000000002</v>
      </c>
      <c r="D42" s="4">
        <f t="shared" si="5"/>
        <v>19.1447619047619</v>
      </c>
      <c r="E42" s="4">
        <f t="shared" si="5"/>
        <v>20.481904761904762</v>
      </c>
      <c r="F42" s="4">
        <f t="shared" si="5"/>
        <v>22.219047619047618</v>
      </c>
      <c r="G42" s="4">
        <f t="shared" si="5"/>
        <v>23.240595238095235</v>
      </c>
      <c r="H42" s="4">
        <f t="shared" si="5"/>
        <v>25.016309523809518</v>
      </c>
      <c r="I42" s="4">
        <f t="shared" si="5"/>
        <v>26.559761904761903</v>
      </c>
      <c r="J42" s="4">
        <f>I42*L6/K6</f>
        <v>27.555598095872806</v>
      </c>
      <c r="K42" s="4">
        <f>J42*M6/L6</f>
        <v>28.583560890020788</v>
      </c>
      <c r="L42" s="6">
        <f>SUM(B42:K42)</f>
        <v>226.87011136684595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8D67-9F18-478D-80A7-852ECE83A138}">
  <dimension ref="B4:R10"/>
  <sheetViews>
    <sheetView workbookViewId="0">
      <selection activeCell="G19" sqref="G19"/>
    </sheetView>
  </sheetViews>
  <sheetFormatPr defaultRowHeight="14.5" x14ac:dyDescent="0.35"/>
  <sheetData>
    <row r="4" spans="2:18" x14ac:dyDescent="0.35">
      <c r="B4" t="s">
        <v>56</v>
      </c>
    </row>
    <row r="5" spans="2:18" x14ac:dyDescent="0.35"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</row>
    <row r="6" spans="2:18" x14ac:dyDescent="0.35">
      <c r="B6" t="s">
        <v>58</v>
      </c>
      <c r="C6">
        <v>3.1</v>
      </c>
      <c r="D6">
        <v>7.5</v>
      </c>
      <c r="E6">
        <v>9.1999999999999993</v>
      </c>
      <c r="F6">
        <v>9.8000000000000007</v>
      </c>
      <c r="G6">
        <v>10.3</v>
      </c>
      <c r="H6">
        <v>10.8</v>
      </c>
      <c r="I6">
        <v>11.3</v>
      </c>
      <c r="J6">
        <v>11.9</v>
      </c>
      <c r="K6">
        <v>12.5</v>
      </c>
    </row>
    <row r="7" spans="2:18" x14ac:dyDescent="0.35">
      <c r="B7" t="s">
        <v>57</v>
      </c>
      <c r="C7" s="2">
        <v>18238.3</v>
      </c>
      <c r="D7" s="2">
        <v>18745.099999999999</v>
      </c>
      <c r="E7" s="2">
        <v>19543</v>
      </c>
      <c r="F7" s="2">
        <v>20611.900000000001</v>
      </c>
      <c r="G7" s="2">
        <v>21433.200000000001</v>
      </c>
      <c r="H7">
        <v>20339.099999999999</v>
      </c>
      <c r="I7">
        <v>21313</v>
      </c>
      <c r="J7">
        <v>22298</v>
      </c>
      <c r="K7">
        <v>23208.5</v>
      </c>
      <c r="L7">
        <v>24213.7</v>
      </c>
      <c r="M7">
        <v>25286.6</v>
      </c>
      <c r="N7">
        <v>26415.3</v>
      </c>
      <c r="O7">
        <v>27582.799999999999</v>
      </c>
      <c r="P7">
        <v>28746.799999999999</v>
      </c>
      <c r="Q7">
        <v>29873.5</v>
      </c>
      <c r="R7">
        <v>31022.3</v>
      </c>
    </row>
    <row r="9" spans="2:18" x14ac:dyDescent="0.35">
      <c r="C9">
        <v>2021</v>
      </c>
      <c r="D9">
        <v>2022</v>
      </c>
      <c r="E9">
        <v>2023</v>
      </c>
      <c r="F9">
        <v>2024</v>
      </c>
      <c r="G9">
        <v>2025</v>
      </c>
      <c r="H9">
        <v>2026</v>
      </c>
      <c r="I9">
        <v>2027</v>
      </c>
      <c r="J9">
        <v>2028</v>
      </c>
      <c r="K9">
        <v>2029</v>
      </c>
      <c r="L9">
        <v>2030</v>
      </c>
    </row>
    <row r="10" spans="2:18" x14ac:dyDescent="0.35">
      <c r="B10" t="s">
        <v>59</v>
      </c>
      <c r="C10" s="4">
        <f>C6/C7*I7</f>
        <v>3.6226128531716228</v>
      </c>
      <c r="D10" s="4">
        <f t="shared" ref="D10:K10" si="0">D6/D7*J7</f>
        <v>8.921531493563652</v>
      </c>
      <c r="E10" s="4">
        <f t="shared" si="0"/>
        <v>10.925559023691347</v>
      </c>
      <c r="F10" s="4">
        <f t="shared" si="0"/>
        <v>11.512488416885391</v>
      </c>
      <c r="G10" s="4">
        <f t="shared" si="0"/>
        <v>12.151800944329358</v>
      </c>
      <c r="H10" s="4">
        <f t="shared" si="0"/>
        <v>14.026443647949025</v>
      </c>
      <c r="I10" s="4">
        <f t="shared" si="0"/>
        <v>14.624203068549711</v>
      </c>
      <c r="J10" s="4">
        <f t="shared" si="0"/>
        <v>15.341596555744909</v>
      </c>
      <c r="K10" s="4">
        <f t="shared" si="0"/>
        <v>16.089740827713982</v>
      </c>
      <c r="L10" s="4">
        <f>K6/K7*R7</f>
        <v>16.70847965185169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Results</vt:lpstr>
      <vt:lpstr>Corporate Rate</vt:lpstr>
      <vt:lpstr>GILTI</vt:lpstr>
      <vt:lpstr>Minimum Tax</vt:lpstr>
      <vt:lpstr>Drug advertising</vt:lpstr>
      <vt:lpstr>Energy Investment Credit</vt:lpstr>
      <vt:lpstr>Fossil Fuel Subsidies</vt:lpstr>
      <vt:lpstr>Real Estate</vt:lpstr>
      <vt:lpstr>Bank Tax</vt:lpstr>
      <vt:lpstr>Carbon Dioxide Sequestration</vt:lpstr>
      <vt:lpstr>Manufacturing tax credit</vt:lpstr>
      <vt:lpstr>Worker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Pomerleau</dc:creator>
  <cp:lastModifiedBy>Kyle Pomerleau</cp:lastModifiedBy>
  <dcterms:created xsi:type="dcterms:W3CDTF">2020-04-22T17:48:14Z</dcterms:created>
  <dcterms:modified xsi:type="dcterms:W3CDTF">2020-09-18T14:11:12Z</dcterms:modified>
</cp:coreProperties>
</file>