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Pivot Table, AVG Improvements" sheetId="2" r:id="rId5"/>
    <sheet state="visible" name="Combined" sheetId="3" r:id="rId6"/>
    <sheet state="visible" name="Spectrum" sheetId="4" r:id="rId7"/>
    <sheet state="visible" name="Grassets Tech" sheetId="5" r:id="rId8"/>
  </sheets>
  <definedNames>
    <definedName hidden="1" localSheetId="3" name="_xlnm._FilterDatabase">Spectrum!$B$2:$E$278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<sst xmlns="http://schemas.openxmlformats.org/spreadsheetml/2006/main" count="2148" uniqueCount="674">
  <si>
    <t>GRASSETS TECH: latency analysis DZ vs ANAFRA DC</t>
  </si>
  <si>
    <t>Script to measure latency:</t>
  </si>
  <si>
    <t>https://github.com/grassets-tech/solana-latency</t>
  </si>
  <si>
    <t>Source location:</t>
  </si>
  <si>
    <t>Chechia, ANAFRA DC</t>
  </si>
  <si>
    <t>Outcome:</t>
  </si>
  <si>
    <t>- Significant improvements (up to 50%) to Chile, Singapore, Hong Kong, Norway</t>
  </si>
  <si>
    <t>- But there is also some latency downgrade to multiple destinnations in Europe</t>
  </si>
  <si>
    <t>- DZ location should be carefully selected</t>
  </si>
  <si>
    <t>AVERAGE of % improvement</t>
  </si>
  <si>
    <t>Albania</t>
  </si>
  <si>
    <t>Norway</t>
  </si>
  <si>
    <t>Singapore</t>
  </si>
  <si>
    <t>Hong Kong</t>
  </si>
  <si>
    <t>Sweden</t>
  </si>
  <si>
    <t>Chile</t>
  </si>
  <si>
    <t>Germany</t>
  </si>
  <si>
    <t>Japan</t>
  </si>
  <si>
    <t>United Kingdom</t>
  </si>
  <si>
    <t>Canada</t>
  </si>
  <si>
    <t>Italy</t>
  </si>
  <si>
    <t>Russia</t>
  </si>
  <si>
    <t>South Africa</t>
  </si>
  <si>
    <t>United States</t>
  </si>
  <si>
    <t>Lithuania</t>
  </si>
  <si>
    <t>Switzerland</t>
  </si>
  <si>
    <t>France</t>
  </si>
  <si>
    <t>Spain</t>
  </si>
  <si>
    <t>Mexico</t>
  </si>
  <si>
    <t>Netherlands</t>
  </si>
  <si>
    <t>The Netherlands</t>
  </si>
  <si>
    <t>Ukraine</t>
  </si>
  <si>
    <t>Slovakia</t>
  </si>
  <si>
    <t>Czechia</t>
  </si>
  <si>
    <t>Latency</t>
  </si>
  <si>
    <t>Grassets Tech</t>
  </si>
  <si>
    <t>IP</t>
  </si>
  <si>
    <t>Status</t>
  </si>
  <si>
    <t>Validator name</t>
  </si>
  <si>
    <t xml:space="preserve"> </t>
  </si>
  <si>
    <t>Internet</t>
  </si>
  <si>
    <t xml:space="preserve"> fra-dz-001-x</t>
  </si>
  <si>
    <t>Anafra DC</t>
  </si>
  <si>
    <t>% improvement</t>
  </si>
  <si>
    <t>5.199.164.220</t>
  </si>
  <si>
    <t>validator</t>
  </si>
  <si>
    <t>Solana Japan Validator🇯🇵  paladin</t>
  </si>
  <si>
    <t>31.128.59.204</t>
  </si>
  <si>
    <t>Lazy Llama</t>
  </si>
  <si>
    <t>Moscow</t>
  </si>
  <si>
    <t>31.128.59.209</t>
  </si>
  <si>
    <t>⚡GorillaSol⚡ 0%Fee+Jito MEV</t>
  </si>
  <si>
    <t>37.72.171.250</t>
  </si>
  <si>
    <t>SunshineVR</t>
  </si>
  <si>
    <t>Amsterdam</t>
  </si>
  <si>
    <t>38.129.137.238</t>
  </si>
  <si>
    <t>gossip</t>
  </si>
  <si>
    <t>Draper</t>
  </si>
  <si>
    <t>38.244.189.66</t>
  </si>
  <si>
    <t>EONpool</t>
  </si>
  <si>
    <t>Haarlem</t>
  </si>
  <si>
    <t>45.32.145.112</t>
  </si>
  <si>
    <t>Reorder the Blocks</t>
  </si>
  <si>
    <t>Aubervilliers</t>
  </si>
  <si>
    <t>45.76.138.170</t>
  </si>
  <si>
    <t>OHara Nodes</t>
  </si>
  <si>
    <t>Tower Hamlets</t>
  </si>
  <si>
    <t>45.76.239.188</t>
  </si>
  <si>
    <t>IBRL</t>
  </si>
  <si>
    <t>Dallas</t>
  </si>
  <si>
    <t>45.77.64.138</t>
  </si>
  <si>
    <t>Frankfurt am Main</t>
  </si>
  <si>
    <t>45.77.241.154</t>
  </si>
  <si>
    <t>Grid Systems</t>
  </si>
  <si>
    <t>45.134.108.184</t>
  </si>
  <si>
    <t>Nebula Node</t>
  </si>
  <si>
    <t>45.135.201.200</t>
  </si>
  <si>
    <t>Bremen</t>
  </si>
  <si>
    <t>45.135.201.209</t>
  </si>
  <si>
    <t>Gojira</t>
  </si>
  <si>
    <t>45.139.132.37</t>
  </si>
  <si>
    <t>Staking Fund</t>
  </si>
  <si>
    <t>Fechenheim</t>
  </si>
  <si>
    <t>45.139.132.52</t>
  </si>
  <si>
    <t>45.139.132.64</t>
  </si>
  <si>
    <t>Asuga Nodes Validator</t>
  </si>
  <si>
    <t>45.139.132.84</t>
  </si>
  <si>
    <t>voin_drak0na 0% FEE, +MEV</t>
  </si>
  <si>
    <t>45.139.132.87</t>
  </si>
  <si>
    <t>Huisky Staking + Mev</t>
  </si>
  <si>
    <t>45.139.132.88</t>
  </si>
  <si>
    <t>Crypto Plant</t>
  </si>
  <si>
    <t>45.139.132.97</t>
  </si>
  <si>
    <t>45.139.132.116</t>
  </si>
  <si>
    <t>SolStack</t>
  </si>
  <si>
    <t>45.139.132.171</t>
  </si>
  <si>
    <t>Tyraen</t>
  </si>
  <si>
    <t>45.139.132.215</t>
  </si>
  <si>
    <t>GateOmega | SolCircl.app</t>
  </si>
  <si>
    <t>45.152.160.116</t>
  </si>
  <si>
    <t>Unknown</t>
  </si>
  <si>
    <t>46.229.232.134</t>
  </si>
  <si>
    <t>Stardust Staking - 0% fee forever + MEV 0% fee</t>
  </si>
  <si>
    <t>Bratislava</t>
  </si>
  <si>
    <t>62.197.45.92</t>
  </si>
  <si>
    <t>Trinity Mirror</t>
  </si>
  <si>
    <t>64.130.32.60</t>
  </si>
  <si>
    <t>Frankfurt</t>
  </si>
  <si>
    <t>64.130.32.77</t>
  </si>
  <si>
    <t>64.130.32.173</t>
  </si>
  <si>
    <t>Vortexlab</t>
  </si>
  <si>
    <t>64.130.32.184</t>
  </si>
  <si>
    <t>Reider Flash 🌩️ | Instant Performance, Zero Fee</t>
  </si>
  <si>
    <t>64.130.32.213</t>
  </si>
  <si>
    <t>Blue Sky</t>
  </si>
  <si>
    <t>64.130.34.46</t>
  </si>
  <si>
    <t>Temporal Topaz</t>
  </si>
  <si>
    <t>Newark</t>
  </si>
  <si>
    <t>64.130.40.157</t>
  </si>
  <si>
    <t>mrgn3</t>
  </si>
  <si>
    <t>64.130.40.185</t>
  </si>
  <si>
    <t>Skeleton Validator</t>
  </si>
  <si>
    <t>64.130.43.202</t>
  </si>
  <si>
    <t>Zero Ventures</t>
  </si>
  <si>
    <t>64.130.49.117</t>
  </si>
  <si>
    <t>Chainflow DoubleZero IBRL</t>
  </si>
  <si>
    <t>Tokyo</t>
  </si>
  <si>
    <t>64.130.50.133</t>
  </si>
  <si>
    <t>64.130.51.19</t>
  </si>
  <si>
    <t>64.130.52.111</t>
  </si>
  <si>
    <t>mrgn4</t>
  </si>
  <si>
    <t>64.130.52.115</t>
  </si>
  <si>
    <t>佛金疯 Solana Chinese Community</t>
  </si>
  <si>
    <t>64.130.55.254</t>
  </si>
  <si>
    <t>64.130.57.216</t>
  </si>
  <si>
    <t>Everstake</t>
  </si>
  <si>
    <t>64.176.7.65</t>
  </si>
  <si>
    <t>Mesh Validator</t>
  </si>
  <si>
    <t>Santiago</t>
  </si>
  <si>
    <t>64.176.12.167</t>
  </si>
  <si>
    <t>The Library</t>
  </si>
  <si>
    <t>65.20.105.212</t>
  </si>
  <si>
    <t>Madrid</t>
  </si>
  <si>
    <t>66.165.246.46</t>
  </si>
  <si>
    <t>BONK</t>
  </si>
  <si>
    <t>Staten Island</t>
  </si>
  <si>
    <t>67.213.112.35</t>
  </si>
  <si>
    <t>New York</t>
  </si>
  <si>
    <t>67.213.113.99</t>
  </si>
  <si>
    <t>Eyenotion</t>
  </si>
  <si>
    <t>67.213.113.103</t>
  </si>
  <si>
    <t>Sentinel Stake</t>
  </si>
  <si>
    <t>67.213.113.105</t>
  </si>
  <si>
    <t>Citizen Node</t>
  </si>
  <si>
    <t>67.213.117.59</t>
  </si>
  <si>
    <t>Hylo</t>
  </si>
  <si>
    <t>London</t>
  </si>
  <si>
    <t>67.213.122.45</t>
  </si>
  <si>
    <t>67.213.122.59</t>
  </si>
  <si>
    <t>DoubleZero x Temporal</t>
  </si>
  <si>
    <t>67.213.127.33</t>
  </si>
  <si>
    <t>Suzuko Stake</t>
  </si>
  <si>
    <t>69.67.148.121</t>
  </si>
  <si>
    <t>GUIDES</t>
  </si>
  <si>
    <t>Mexico City</t>
  </si>
  <si>
    <t>72.46.84.117</t>
  </si>
  <si>
    <t>DegenBot</t>
  </si>
  <si>
    <t>72.46.84.121</t>
  </si>
  <si>
    <t>BIG BERTY</t>
  </si>
  <si>
    <t>72.46.84.217</t>
  </si>
  <si>
    <t>Verafy</t>
  </si>
  <si>
    <t>72.46.85.217</t>
  </si>
  <si>
    <t>72.46.87.247</t>
  </si>
  <si>
    <t>Simpdigit</t>
  </si>
  <si>
    <t>77.81.119.154</t>
  </si>
  <si>
    <t>GPvalidator + MEV 3% to 7% 🔥</t>
  </si>
  <si>
    <t>Seville</t>
  </si>
  <si>
    <t>82.197.162.50</t>
  </si>
  <si>
    <t>SPDR</t>
  </si>
  <si>
    <t>Urdorf</t>
  </si>
  <si>
    <t>83.143.84.202</t>
  </si>
  <si>
    <t>TdrSys</t>
  </si>
  <si>
    <t>Oslo</t>
  </si>
  <si>
    <t>84.32.103.29</t>
  </si>
  <si>
    <t>Tinydancer</t>
  </si>
  <si>
    <t>84.32.186.110</t>
  </si>
  <si>
    <t>pico🙄.sol💎 + Paladin⚔️ + giveaways🎉</t>
  </si>
  <si>
    <t>84.32.186.112</t>
  </si>
  <si>
    <t>stake2earn 🌜</t>
  </si>
  <si>
    <t>85.195.104.157</t>
  </si>
  <si>
    <t>Luganodes</t>
  </si>
  <si>
    <t>86.105.224.73</t>
  </si>
  <si>
    <t>Easytoken.me</t>
  </si>
  <si>
    <t>Rotterdam</t>
  </si>
  <si>
    <t>88.216.197.27</t>
  </si>
  <si>
    <t>Valigator</t>
  </si>
  <si>
    <t>Šiauliai</t>
  </si>
  <si>
    <t>88.216.197.112</t>
  </si>
  <si>
    <t>Wave</t>
  </si>
  <si>
    <t>89.42.231.135</t>
  </si>
  <si>
    <t>Onchain Divers</t>
  </si>
  <si>
    <t>89.42.231.167</t>
  </si>
  <si>
    <t>Valid Blocks</t>
  </si>
  <si>
    <t>91.209.71.13</t>
  </si>
  <si>
    <t>Paris</t>
  </si>
  <si>
    <t>91.237.141.80</t>
  </si>
  <si>
    <t>LunaNova</t>
  </si>
  <si>
    <t>93.191.10.71</t>
  </si>
  <si>
    <t>MIKROTIK</t>
  </si>
  <si>
    <t>Privolzhskiy</t>
  </si>
  <si>
    <t>95.67.53.214</t>
  </si>
  <si>
    <t>Glory to Ukraine</t>
  </si>
  <si>
    <t>Kyiv</t>
  </si>
  <si>
    <t>95.179.209.177</t>
  </si>
  <si>
    <t>NeverBackDown</t>
  </si>
  <si>
    <t>102.211.135.167</t>
  </si>
  <si>
    <t>Mellow Yellow</t>
  </si>
  <si>
    <t>Port Elizabeth</t>
  </si>
  <si>
    <t>103.28.89.181</t>
  </si>
  <si>
    <t>Paragon</t>
  </si>
  <si>
    <t>Quarry Bay</t>
  </si>
  <si>
    <t>103.50.32.193</t>
  </si>
  <si>
    <t>Janitor</t>
  </si>
  <si>
    <t>City of London</t>
  </si>
  <si>
    <t>103.88.234.123</t>
  </si>
  <si>
    <t>Vandal</t>
  </si>
  <si>
    <t>103.88.234.127</t>
  </si>
  <si>
    <t>Somos Validator</t>
  </si>
  <si>
    <t>103.88.234.129</t>
  </si>
  <si>
    <t>Ded Monkes</t>
  </si>
  <si>
    <t>103.167.235.224</t>
  </si>
  <si>
    <t>Tirana</t>
  </si>
  <si>
    <t>103.219.171.217</t>
  </si>
  <si>
    <t>Adrena</t>
  </si>
  <si>
    <t>104.243.33.35</t>
  </si>
  <si>
    <t>4BLOCK 0% Fee + Jito All MEV</t>
  </si>
  <si>
    <t>Piscataway</t>
  </si>
  <si>
    <t>109.94.96.59</t>
  </si>
  <si>
    <t>109.94.97.181</t>
  </si>
  <si>
    <t>Love</t>
  </si>
  <si>
    <t>109.94.97.183</t>
  </si>
  <si>
    <t>Gleam</t>
  </si>
  <si>
    <t>109.94.99.211</t>
  </si>
  <si>
    <t>SoLyrae</t>
  </si>
  <si>
    <t>136.244.86.123</t>
  </si>
  <si>
    <t>le.SteakHaus</t>
  </si>
  <si>
    <t>139.84.228.251</t>
  </si>
  <si>
    <t>ILY♡ Validator ➕ Paladin⚔️ ||neochibi culture</t>
  </si>
  <si>
    <t>Isando</t>
  </si>
  <si>
    <t>139.84.238.57</t>
  </si>
  <si>
    <t>kuma🐻validator kumaSOL LST🚀🚀</t>
  </si>
  <si>
    <t>Johannesburg</t>
  </si>
  <si>
    <t>142.91.158.164</t>
  </si>
  <si>
    <t>dTelecom</t>
  </si>
  <si>
    <t>147.28.171.13</t>
  </si>
  <si>
    <t>Stockholm</t>
  </si>
  <si>
    <t>147.28.171.51</t>
  </si>
  <si>
    <t>149.248.51.171</t>
  </si>
  <si>
    <t>dogo validator</t>
  </si>
  <si>
    <t>Toronto</t>
  </si>
  <si>
    <t>149.255.37.170</t>
  </si>
  <si>
    <t>Starke Finance</t>
  </si>
  <si>
    <t>154.16.171.107</t>
  </si>
  <si>
    <t>Charlotte</t>
  </si>
  <si>
    <t>160.202.131.189</t>
  </si>
  <si>
    <t>Telemetry</t>
  </si>
  <si>
    <t>177.54.154.235</t>
  </si>
  <si>
    <t>Phase Labs</t>
  </si>
  <si>
    <t>177.54.154.239</t>
  </si>
  <si>
    <t>177.54.159.47</t>
  </si>
  <si>
    <t>Solayer Validator [0% Commission + 100% MEV Kickback]</t>
  </si>
  <si>
    <t>Ashburn</t>
  </si>
  <si>
    <t>185.26.8.37</t>
  </si>
  <si>
    <t>185.26.10.211</t>
  </si>
  <si>
    <t>185.26.10.229</t>
  </si>
  <si>
    <t>185.26.10.233</t>
  </si>
  <si>
    <t>Mice Stakin'</t>
  </si>
  <si>
    <t>185.26.10.239</t>
  </si>
  <si>
    <t>Kisetsu Stake</t>
  </si>
  <si>
    <t>185.26.11.139</t>
  </si>
  <si>
    <t>CH Dev</t>
  </si>
  <si>
    <t>185.26.11.167</t>
  </si>
  <si>
    <t>Hodl &amp; Hodl LLLP</t>
  </si>
  <si>
    <t>185.26.11.195</t>
  </si>
  <si>
    <t>Anderson &amp; Anderson</t>
  </si>
  <si>
    <t>185.32.162.192</t>
  </si>
  <si>
    <t>Dancing Dolphin Validator</t>
  </si>
  <si>
    <t>Prague</t>
  </si>
  <si>
    <t>185.52.237.102</t>
  </si>
  <si>
    <t>Staker Space</t>
  </si>
  <si>
    <t>Weesp</t>
  </si>
  <si>
    <t>185.92.120.151</t>
  </si>
  <si>
    <t>Staking Facilities | MEV 🔥</t>
  </si>
  <si>
    <t>Munich</t>
  </si>
  <si>
    <t>185.167.205.3</t>
  </si>
  <si>
    <t>T-STAKE Systems</t>
  </si>
  <si>
    <t>Eindhoven</t>
  </si>
  <si>
    <t>185.171.202.78</t>
  </si>
  <si>
    <t>Green House Crypto⚡️0% Fee + Jito MEV</t>
  </si>
  <si>
    <t>185.209.178.161</t>
  </si>
  <si>
    <t>Pumpkin's Pool ❤️  🐈</t>
  </si>
  <si>
    <t>189.1.171.173</t>
  </si>
  <si>
    <t>Mythx</t>
  </si>
  <si>
    <t>189.1.171.177</t>
  </si>
  <si>
    <t>Raposa Coffee</t>
  </si>
  <si>
    <t>192.69.194.82</t>
  </si>
  <si>
    <t>0base.vc 🇰🇷 | MEV 🔥</t>
  </si>
  <si>
    <t>195.231.30.71</t>
  </si>
  <si>
    <t>Arezzo</t>
  </si>
  <si>
    <t>202.8.8.21</t>
  </si>
  <si>
    <t>mrgn2</t>
  </si>
  <si>
    <t>207.246.84.247</t>
  </si>
  <si>
    <t>Digital Energy</t>
  </si>
  <si>
    <t>208.91.110.214</t>
  </si>
  <si>
    <t>DoubleZero x Asymmetric Research</t>
  </si>
  <si>
    <t>209.250.232.171</t>
  </si>
  <si>
    <t>🦬 Buffalo Steve</t>
  </si>
  <si>
    <t>212.83.42.33</t>
  </si>
  <si>
    <t>Münster</t>
  </si>
  <si>
    <t>212.83.42.39</t>
  </si>
  <si>
    <t>Denys Ivy: no commision</t>
  </si>
  <si>
    <t>212.83.42.92</t>
  </si>
  <si>
    <t>Bay3</t>
  </si>
  <si>
    <t>212.83.43.14</t>
  </si>
  <si>
    <t>Viking - Nordic Countries Validator - 0% fees</t>
  </si>
  <si>
    <t>212.83.43.115</t>
  </si>
  <si>
    <t>Quantix</t>
  </si>
  <si>
    <t>212.83.43.180</t>
  </si>
  <si>
    <t>BOOP Wizard</t>
  </si>
  <si>
    <t>212.83.43.186</t>
  </si>
  <si>
    <t>Lobster Season</t>
  </si>
  <si>
    <t>212.83.43.208</t>
  </si>
  <si>
    <t>🖥VVS</t>
  </si>
  <si>
    <t>213.163.64.140</t>
  </si>
  <si>
    <t>Lantern</t>
  </si>
  <si>
    <t>216.238.67.40</t>
  </si>
  <si>
    <t>The Chimpions</t>
  </si>
  <si>
    <t>Querétaro City</t>
  </si>
  <si>
    <t>217.170.192.106</t>
  </si>
  <si>
    <t>217.170.192.166</t>
  </si>
  <si>
    <t>Chainlayer</t>
  </si>
  <si>
    <t>5.39.216.186</t>
  </si>
  <si>
    <t>gossip_not_found</t>
  </si>
  <si>
    <t>5.199.172.136</t>
  </si>
  <si>
    <t>JB273 Solana Validator</t>
  </si>
  <si>
    <t>unreachable</t>
  </si>
  <si>
    <t>5.199.172.187</t>
  </si>
  <si>
    <t>TIEXO</t>
  </si>
  <si>
    <t>5.255.78.21</t>
  </si>
  <si>
    <t>Huizen</t>
  </si>
  <si>
    <t>8.52.192.204</t>
  </si>
  <si>
    <t>Monroe</t>
  </si>
  <si>
    <t>8.244.152.28</t>
  </si>
  <si>
    <t>Koto-ku</t>
  </si>
  <si>
    <t>8.245.26.220</t>
  </si>
  <si>
    <t>15.204.108.105</t>
  </si>
  <si>
    <t>Hillsboro</t>
  </si>
  <si>
    <t>15.235.228.93</t>
  </si>
  <si>
    <t>23.92.79.26</t>
  </si>
  <si>
    <t>23.109.62.84</t>
  </si>
  <si>
    <t>23.227.189.30</t>
  </si>
  <si>
    <t>Reston</t>
  </si>
  <si>
    <t>31.172.68.190</t>
  </si>
  <si>
    <t>37.122.252.22</t>
  </si>
  <si>
    <t>Kensington</t>
  </si>
  <si>
    <t>38.46.222.221</t>
  </si>
  <si>
    <t>38.46.223.227</t>
  </si>
  <si>
    <t>38.58.177.50</t>
  </si>
  <si>
    <t>38.92.24.98</t>
  </si>
  <si>
    <t>38.97.60.51</t>
  </si>
  <si>
    <t>45.63.111.115</t>
  </si>
  <si>
    <t>Miami</t>
  </si>
  <si>
    <t>45.76.33.214</t>
  </si>
  <si>
    <t>45.77.142.108</t>
  </si>
  <si>
    <t>45.134.108.121</t>
  </si>
  <si>
    <t>45.134.108.155</t>
  </si>
  <si>
    <t>45.135.201.224</t>
  </si>
  <si>
    <t>45.139.132.38</t>
  </si>
  <si>
    <t>45.139.132.107</t>
  </si>
  <si>
    <t>45.139.132.204</t>
  </si>
  <si>
    <t>Narniyski</t>
  </si>
  <si>
    <t>45.158.38.50</t>
  </si>
  <si>
    <t>46.17.103.70</t>
  </si>
  <si>
    <t>46.21.152.10</t>
  </si>
  <si>
    <t>Los Angeles</t>
  </si>
  <si>
    <t>46.31.195.185</t>
  </si>
  <si>
    <t>50.115.46.202</t>
  </si>
  <si>
    <t>Ogden</t>
  </si>
  <si>
    <t>64.20.53.122</t>
  </si>
  <si>
    <t>Secaucus</t>
  </si>
  <si>
    <t>64.130.32.133</t>
  </si>
  <si>
    <t>64.130.37.3</t>
  </si>
  <si>
    <t>Frankendancer-DoubleZero2</t>
  </si>
  <si>
    <t>64.130.44.108</t>
  </si>
  <si>
    <t>Frankendancer-DoubleZero4</t>
  </si>
  <si>
    <t>64.130.49.67</t>
  </si>
  <si>
    <t>64.130.51.81</t>
  </si>
  <si>
    <t>64.130.52.201</t>
  </si>
  <si>
    <t>64.130.52.205</t>
  </si>
  <si>
    <t>64.130.57.142</t>
  </si>
  <si>
    <t>64.130.63.76</t>
  </si>
  <si>
    <t>Frankendancer-DoubleZero3</t>
  </si>
  <si>
    <t>66.45.234.98</t>
  </si>
  <si>
    <t>Teterboro</t>
  </si>
  <si>
    <t>66.45.251.114</t>
  </si>
  <si>
    <t>66.206.2.170</t>
  </si>
  <si>
    <t>67.209.52.228</t>
  </si>
  <si>
    <t>67.213.120.195</t>
  </si>
  <si>
    <t>67.213.121.167</t>
  </si>
  <si>
    <t>Frankfurt (Oder)</t>
  </si>
  <si>
    <t>69.10.46.70</t>
  </si>
  <si>
    <t>69.67.149.97</t>
  </si>
  <si>
    <t>69.67.151.19</t>
  </si>
  <si>
    <t>72.46.87.231</t>
  </si>
  <si>
    <t>74.118.136.173</t>
  </si>
  <si>
    <t>77.81.119.214</t>
  </si>
  <si>
    <t>80.77.161.196</t>
  </si>
  <si>
    <t>82.197.162.51</t>
  </si>
  <si>
    <t>84.32.186.77</t>
  </si>
  <si>
    <t>84.32.186.78</t>
  </si>
  <si>
    <t>84.32.186.144</t>
  </si>
  <si>
    <t>85.195.100.119</t>
  </si>
  <si>
    <t>86.111.48.190</t>
  </si>
  <si>
    <t>88.211.249.212</t>
  </si>
  <si>
    <t>88.216.197.11</t>
  </si>
  <si>
    <t>P-OPS Team</t>
  </si>
  <si>
    <t>88.216.198.169</t>
  </si>
  <si>
    <t>Chicago</t>
  </si>
  <si>
    <t>89.42.231.104</t>
  </si>
  <si>
    <t>89.111.15.150</t>
  </si>
  <si>
    <t>Riga</t>
  </si>
  <si>
    <t>Latvia</t>
  </si>
  <si>
    <t>91.189.180.214</t>
  </si>
  <si>
    <t>Moonlet</t>
  </si>
  <si>
    <t>91.237.141.224</t>
  </si>
  <si>
    <t>93.100.241.247</t>
  </si>
  <si>
    <t>St Petersburg</t>
  </si>
  <si>
    <t>93.115.25.175</t>
  </si>
  <si>
    <t>93.115.25.190</t>
  </si>
  <si>
    <t>94.142.240.72</t>
  </si>
  <si>
    <t>94.158.242.131</t>
  </si>
  <si>
    <t>95.214.55.25</t>
  </si>
  <si>
    <t>Warsaw</t>
  </si>
  <si>
    <t>Poland</t>
  </si>
  <si>
    <t>103.50.32.128</t>
  </si>
  <si>
    <t>104.237.51.122</t>
  </si>
  <si>
    <t>El Segundo</t>
  </si>
  <si>
    <t>104.237.53.202</t>
  </si>
  <si>
    <t>104.238.221.184</t>
  </si>
  <si>
    <t>107.155.92.114</t>
  </si>
  <si>
    <t>Sunnyvale</t>
  </si>
  <si>
    <t>107.155.98.198</t>
  </si>
  <si>
    <t>107.155.109.202</t>
  </si>
  <si>
    <t>Tsuen Wan</t>
  </si>
  <si>
    <t>108.171.203.18</t>
  </si>
  <si>
    <t>Salt Lake City</t>
  </si>
  <si>
    <t>108.171.217.186</t>
  </si>
  <si>
    <t>109.94.97.111</t>
  </si>
  <si>
    <t>109.94.99.139</t>
  </si>
  <si>
    <t>136.244.108.105</t>
  </si>
  <si>
    <t>CatalystX - Innovation OnChain</t>
  </si>
  <si>
    <t>140.82.20.6</t>
  </si>
  <si>
    <t>142.4.55.162</t>
  </si>
  <si>
    <t>145.40.74.211</t>
  </si>
  <si>
    <t>147.28.165.79</t>
  </si>
  <si>
    <t>Espoo</t>
  </si>
  <si>
    <t>Finland</t>
  </si>
  <si>
    <t>147.75.84.157</t>
  </si>
  <si>
    <t>148.113.187.37</t>
  </si>
  <si>
    <t>Montreal</t>
  </si>
  <si>
    <t>149.28.34.6</t>
  </si>
  <si>
    <t>149.28.38.64</t>
  </si>
  <si>
    <t>149.28.111.64</t>
  </si>
  <si>
    <t>149.28.255.82</t>
  </si>
  <si>
    <t>149.50.108.223</t>
  </si>
  <si>
    <t>149.50.116.14</t>
  </si>
  <si>
    <t>149.50.116.145</t>
  </si>
  <si>
    <t>149.255.32.130</t>
  </si>
  <si>
    <t>159.148.20.196</t>
  </si>
  <si>
    <t>159.148.20.198</t>
  </si>
  <si>
    <t>SGTstake - 0% Fee</t>
  </si>
  <si>
    <t>162.250.124.6</t>
  </si>
  <si>
    <t>169.254.2.52/31</t>
  </si>
  <si>
    <t>173.201.36.4</t>
  </si>
  <si>
    <t>St Louis</t>
  </si>
  <si>
    <t>173.201.36.164</t>
  </si>
  <si>
    <t>173.231.11.118</t>
  </si>
  <si>
    <t>173.231.41.194</t>
  </si>
  <si>
    <t>177.54.154.15</t>
  </si>
  <si>
    <t>177.54.155.191</t>
  </si>
  <si>
    <t>178.239.19.42</t>
  </si>
  <si>
    <t>183.81.168.165</t>
  </si>
  <si>
    <t>185.8.106.250</t>
  </si>
  <si>
    <t>185.26.9.17</t>
  </si>
  <si>
    <t>185.26.10.193</t>
  </si>
  <si>
    <t>185.169.79.114</t>
  </si>
  <si>
    <t>185.171.202.77</t>
  </si>
  <si>
    <t>185.177.74.54</t>
  </si>
  <si>
    <t>185.189.45.221</t>
  </si>
  <si>
    <t>188.214.130.71</t>
  </si>
  <si>
    <t>188.214.130.97</t>
  </si>
  <si>
    <t>188.214.130.101</t>
  </si>
  <si>
    <t>189.1.171.175</t>
  </si>
  <si>
    <t>192.69.209.186</t>
  </si>
  <si>
    <t>192.69.209.194</t>
  </si>
  <si>
    <t>193.34.212.64</t>
  </si>
  <si>
    <t>193.221.135.102</t>
  </si>
  <si>
    <t>Hackney</t>
  </si>
  <si>
    <t>194.126.172.174</t>
  </si>
  <si>
    <t>194.126.172.242</t>
  </si>
  <si>
    <t>198.244.253.205</t>
  </si>
  <si>
    <t>202.8.11.195</t>
  </si>
  <si>
    <t>Frankendancer-DoubleZero1</t>
  </si>
  <si>
    <t>204.16.241.216</t>
  </si>
  <si>
    <t>Pittsburgh</t>
  </si>
  <si>
    <t>207.121.26.12</t>
  </si>
  <si>
    <t>Madison</t>
  </si>
  <si>
    <t>208.91.107.71</t>
  </si>
  <si>
    <t>209.38.103.172</t>
  </si>
  <si>
    <t>209.250.244.17</t>
  </si>
  <si>
    <t>212.7.200.110</t>
  </si>
  <si>
    <t>5.199.164.220,179.922,0</t>
  </si>
  <si>
    <t>5.199.172.136,N/A,100</t>
  </si>
  <si>
    <t>5.199.172.187,N/A,100</t>
  </si>
  <si>
    <t>31.128.59.204,57.855,0</t>
  </si>
  <si>
    <t>31.128.59.209,59.248,0</t>
  </si>
  <si>
    <t>37.72.171.250,23.891,0</t>
  </si>
  <si>
    <t>38.129.137.238,160.686,0</t>
  </si>
  <si>
    <t>38.244.189.66,19.674,0</t>
  </si>
  <si>
    <t>45.32.145.112,22.071,0</t>
  </si>
  <si>
    <t>45.76.33.214,21.300,0</t>
  </si>
  <si>
    <t>45.76.138.170,26.684,0</t>
  </si>
  <si>
    <t>45.76.239.188,132.741,0</t>
  </si>
  <si>
    <t>45.77.64.138,14.833,0</t>
  </si>
  <si>
    <t>45.77.241.154,276.944,0</t>
  </si>
  <si>
    <t>45.134.108.184,15.439,0</t>
  </si>
  <si>
    <t>45.135.201.200,17.807,0</t>
  </si>
  <si>
    <t>45.135.201.209,12.710,0</t>
  </si>
  <si>
    <t>45.139.132.37,19.175,0</t>
  </si>
  <si>
    <t>45.139.132.38,N/A,100</t>
  </si>
  <si>
    <t>45.139.132.52,18.143,0</t>
  </si>
  <si>
    <t>45.139.132.64,14.960,0</t>
  </si>
  <si>
    <t>45.139.132.84,20.350,0</t>
  </si>
  <si>
    <t>45.139.132.87,17.634,0</t>
  </si>
  <si>
    <t>45.139.132.88,18.403,0</t>
  </si>
  <si>
    <t>45.139.132.97,14.564,0</t>
  </si>
  <si>
    <t>45.139.132.116,20.047,0</t>
  </si>
  <si>
    <t>45.139.132.171,17.882,0</t>
  </si>
  <si>
    <t>45.139.132.204,N/A,100</t>
  </si>
  <si>
    <t>45.139.132.215,14.145,0</t>
  </si>
  <si>
    <t>45.152.160.116,18.163,0</t>
  </si>
  <si>
    <t>46.229.232.134,13.077,0</t>
  </si>
  <si>
    <t>62.197.45.92,21.907,0</t>
  </si>
  <si>
    <t>64.130.32.60,17.891,0</t>
  </si>
  <si>
    <t>64.130.32.77,13.870,0</t>
  </si>
  <si>
    <t>64.130.32.173,17.922,0</t>
  </si>
  <si>
    <t>64.130.32.184,15.585,0</t>
  </si>
  <si>
    <t>64.130.32.213,13.113,0</t>
  </si>
  <si>
    <t>64.130.34.46,98.276,0</t>
  </si>
  <si>
    <t>64.130.37.3,N/A,100</t>
  </si>
  <si>
    <t>64.130.40.157,17.611,0</t>
  </si>
  <si>
    <t>64.130.40.185,13.211,0</t>
  </si>
  <si>
    <t>64.130.43.202,22.197,0</t>
  </si>
  <si>
    <t>64.130.44.108,N/A,100</t>
  </si>
  <si>
    <t>64.130.49.117,264.084,0</t>
  </si>
  <si>
    <t>64.130.50.133,17.654,0</t>
  </si>
  <si>
    <t>64.130.51.19,99.286,0</t>
  </si>
  <si>
    <t>64.130.52.111,25.982,0</t>
  </si>
  <si>
    <t>64.130.52.115,26.631,0</t>
  </si>
  <si>
    <t>64.130.55.254,27.328,0</t>
  </si>
  <si>
    <t>64.130.57.216,13.480,0</t>
  </si>
  <si>
    <t>64.130.63.76,N/A,100</t>
  </si>
  <si>
    <t>64.176.7.65,257.687,0</t>
  </si>
  <si>
    <t>64.176.12.167,255.714,0</t>
  </si>
  <si>
    <t>65.20.105.212,43.510,0</t>
  </si>
  <si>
    <t>66.165.246.46,104.902,0</t>
  </si>
  <si>
    <t>67.209.52.228,N/A,100</t>
  </si>
  <si>
    <t>67.213.112.35,101.235,0</t>
  </si>
  <si>
    <t>67.213.113.99,20.384,0</t>
  </si>
  <si>
    <t>67.213.113.103,21.514,0</t>
  </si>
  <si>
    <t>67.213.113.105,13.964,0</t>
  </si>
  <si>
    <t>67.213.117.59,28.501,0</t>
  </si>
  <si>
    <t>67.213.122.45,273.832,0</t>
  </si>
  <si>
    <t>67.213.122.59,267.348,0</t>
  </si>
  <si>
    <t>67.213.127.33,24.697,0</t>
  </si>
  <si>
    <t>69.67.148.121,178.998,0</t>
  </si>
  <si>
    <t>72.46.84.117,26.897,0</t>
  </si>
  <si>
    <t>72.46.84.121,29.628,0</t>
  </si>
  <si>
    <t>72.46.84.217,30.315,0</t>
  </si>
  <si>
    <t>72.46.85.217,130.430,10</t>
  </si>
  <si>
    <t>72.46.87.247,270.367,0</t>
  </si>
  <si>
    <t>77.81.119.154,60.649,0</t>
  </si>
  <si>
    <t>82.197.162.50,19.908,0</t>
  </si>
  <si>
    <t>83.143.84.202,49.190,0</t>
  </si>
  <si>
    <t>84.32.103.29,21.493,0</t>
  </si>
  <si>
    <t>84.32.186.110,17.974,0</t>
  </si>
  <si>
    <t>84.32.186.112,21.946,0</t>
  </si>
  <si>
    <t>84.32.186.144,N/A,100</t>
  </si>
  <si>
    <t>85.195.104.157,24.660,0</t>
  </si>
  <si>
    <t>86.105.224.73,28.335,0</t>
  </si>
  <si>
    <t>88.216.197.11,N/A,100</t>
  </si>
  <si>
    <t>88.216.197.27,41.235,0</t>
  </si>
  <si>
    <t>88.216.197.112,37.842,0</t>
  </si>
  <si>
    <t>89.42.231.135,21.095,0</t>
  </si>
  <si>
    <t>89.42.231.167,23.373,0</t>
  </si>
  <si>
    <t>91.189.180.214,N/A,100</t>
  </si>
  <si>
    <t>91.209.71.13,23.928,0</t>
  </si>
  <si>
    <t>91.237.141.80,30.811,0</t>
  </si>
  <si>
    <t>93.191.10.71,50.368,0</t>
  </si>
  <si>
    <t>95.67.53.214,25.090,10</t>
  </si>
  <si>
    <t>95.179.209.177,22.945,0</t>
  </si>
  <si>
    <t>102.211.135.167,183.536,0</t>
  </si>
  <si>
    <t>103.28.89.181,262.331,0</t>
  </si>
  <si>
    <t>103.50.32.193,34.208,0</t>
  </si>
  <si>
    <t>103.88.234.123,185.749,0</t>
  </si>
  <si>
    <t>103.88.234.127,184.488,0</t>
  </si>
  <si>
    <t>103.88.234.129,184.611,0</t>
  </si>
  <si>
    <t>103.167.235.224,38.444,0</t>
  </si>
  <si>
    <t>103.219.171.217,20.414,0</t>
  </si>
  <si>
    <t>104.243.33.35,99.117,0</t>
  </si>
  <si>
    <t>109.94.96.59,13.460,0</t>
  </si>
  <si>
    <t>109.94.97.181,29.081,0</t>
  </si>
  <si>
    <t>109.94.97.183,28.155,0</t>
  </si>
  <si>
    <t>109.94.99.211,271.071,0</t>
  </si>
  <si>
    <t>136.244.86.123,13.845,0</t>
  </si>
  <si>
    <t>136.244.108.105,20.559,0</t>
  </si>
  <si>
    <t>139.84.228.251,186.954,0</t>
  </si>
  <si>
    <t>139.84.238.57,185.453,0</t>
  </si>
  <si>
    <t>142.91.158.164,22.877,0</t>
  </si>
  <si>
    <t>147.28.171.13,39.832,0</t>
  </si>
  <si>
    <t>147.28.171.51,43.284,0</t>
  </si>
  <si>
    <t>149.248.51.171,111.805,0</t>
  </si>
  <si>
    <t>149.255.37.170,21.334,0</t>
  </si>
  <si>
    <t>154.16.171.107,118.133,10</t>
  </si>
  <si>
    <t>159.148.20.198,N/A,100</t>
  </si>
  <si>
    <t>160.202.131.189,18.754,0</t>
  </si>
  <si>
    <t>177.54.154.235,272.430,0</t>
  </si>
  <si>
    <t>177.54.154.239,280.064,10</t>
  </si>
  <si>
    <t>177.54.159.47,109.130,0</t>
  </si>
  <si>
    <t>185.26.8.37,127.925,0</t>
  </si>
  <si>
    <t>185.26.10.211,19.330,0</t>
  </si>
  <si>
    <t>185.26.10.229,13.497,0</t>
  </si>
  <si>
    <t>185.26.10.233,13.258,0</t>
  </si>
  <si>
    <t>185.26.10.239,14.049,0</t>
  </si>
  <si>
    <t>185.26.11.139,28.309,0</t>
  </si>
  <si>
    <t>185.26.11.167,29.340,0</t>
  </si>
  <si>
    <t>185.26.11.195,28.634,0</t>
  </si>
  <si>
    <t>185.32.162.192,1.650,0</t>
  </si>
  <si>
    <t>185.52.237.102,23.854,0</t>
  </si>
  <si>
    <t>185.92.120.151,25.625,0</t>
  </si>
  <si>
    <t>185.167.205.3,31.542,0</t>
  </si>
  <si>
    <t>185.171.202.78,26.727,0</t>
  </si>
  <si>
    <t>185.209.178.161,106.203,0</t>
  </si>
  <si>
    <t>189.1.171.173,14.562,0</t>
  </si>
  <si>
    <t>189.1.171.177,22.003,0</t>
  </si>
  <si>
    <t>192.69.194.82,127.721,0</t>
  </si>
  <si>
    <t>195.231.30.71,26.137,0</t>
  </si>
  <si>
    <t>202.8.8.21,22.462,0</t>
  </si>
  <si>
    <t>202.8.11.195,N/A,100</t>
  </si>
  <si>
    <t>207.246.84.247,106.117,0</t>
  </si>
  <si>
    <t>208.91.110.214,98.002,0</t>
  </si>
  <si>
    <t>209.250.232.171,17.442,0</t>
  </si>
  <si>
    <t>212.83.42.33,19.325,0</t>
  </si>
  <si>
    <t>212.83.42.39,16.041,0</t>
  </si>
  <si>
    <t>212.83.42.92,12.955,0</t>
  </si>
  <si>
    <t>212.83.43.14,16.551,0</t>
  </si>
  <si>
    <t>212.83.43.115,15.655,0</t>
  </si>
  <si>
    <t>212.83.43.180,15.503,0</t>
  </si>
  <si>
    <t>212.83.43.186,12.634,0</t>
  </si>
  <si>
    <t>212.83.43.208,14.290,0</t>
  </si>
  <si>
    <t>213.163.64.140,26.251,0</t>
  </si>
  <si>
    <t>216.238.67.40,164.161,0</t>
  </si>
  <si>
    <t>217.170.192.106,50.424,0</t>
  </si>
  <si>
    <t>217.170.192.166,47.669,0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</si>
</sst>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color rgb="FF000000"/>
      <name val="Arial"/>
      <scheme val="minor"/>
    </font>
    <font>
      <u/>
      <color rgb="FF1155CC"/>
      <name val="Arial"/>
    </font>
    <font>
      <color theme="1"/>
      <name val="Courier New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</fills>
  <borders count="3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0" xfId="0" applyFont="1" applyNumberFormat="1"/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1" fillId="0" fontId="2" numFmtId="0" xfId="0" applyBorder="1" applyFont="1"/>
    <xf borderId="0" fillId="0" fontId="1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2" fillId="0" fontId="2" numFmtId="10" xfId="0" applyBorder="1" applyFont="1" applyNumberFormat="1"/>
    <xf borderId="0" fillId="0" fontId="6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7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16666"/>
          <bgColor rgb="FFE16666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theme="7"/>
          <bgColor theme="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J140" sheet="Combined"/>
  </cacheSource>
  <cacheFields>
    <cacheField name="IP" numFmtId="0">
      <sharedItems>
        <s v="5.199.164.220"/>
        <s v="31.128.59.204"/>
        <s v="31.128.59.209"/>
        <s v="37.72.171.250"/>
        <s v="38.129.137.238"/>
        <s v="38.244.189.66"/>
        <s v="45.32.145.112"/>
        <s v="45.76.138.170"/>
        <s v="45.76.239.188"/>
        <s v="45.77.64.138"/>
        <s v="45.77.241.154"/>
        <s v="45.134.108.184"/>
        <s v="45.135.201.200"/>
        <s v="45.135.201.209"/>
        <s v="45.139.132.37"/>
        <s v="45.139.132.52"/>
        <s v="45.139.132.64"/>
        <s v="45.139.132.84"/>
        <s v="45.139.132.87"/>
        <s v="45.139.132.88"/>
        <s v="45.139.132.97"/>
        <s v="45.139.132.116"/>
        <s v="45.139.132.171"/>
        <s v="45.139.132.215"/>
        <s v="45.152.160.116"/>
        <s v="46.229.232.134"/>
        <s v="62.197.45.92"/>
        <s v="64.130.32.60"/>
        <s v="64.130.32.77"/>
        <s v="64.130.32.173"/>
        <s v="64.130.32.184"/>
        <s v="64.130.32.213"/>
        <s v="64.130.34.46"/>
        <s v="64.130.40.157"/>
        <s v="64.130.40.185"/>
        <s v="64.130.43.202"/>
        <s v="64.130.49.117"/>
        <s v="64.130.50.133"/>
        <s v="64.130.51.19"/>
        <s v="64.130.52.111"/>
        <s v="64.130.52.115"/>
        <s v="64.130.55.254"/>
        <s v="64.130.57.216"/>
        <s v="64.176.7.65"/>
        <s v="64.176.12.167"/>
        <s v="65.20.105.212"/>
        <s v="66.165.246.46"/>
        <s v="67.213.112.35"/>
        <s v="67.213.113.99"/>
        <s v="67.213.113.103"/>
        <s v="67.213.113.105"/>
        <s v="67.213.117.59"/>
        <s v="67.213.122.45"/>
        <s v="67.213.122.59"/>
        <s v="67.213.127.33"/>
        <s v="69.67.148.121"/>
        <s v="72.46.84.117"/>
        <s v="72.46.84.121"/>
        <s v="72.46.84.217"/>
        <s v="72.46.85.217"/>
        <s v="72.46.87.247"/>
        <s v="77.81.119.154"/>
        <s v="82.197.162.50"/>
        <s v="83.143.84.202"/>
        <s v="84.32.103.29"/>
        <s v="84.32.186.110"/>
        <s v="84.32.186.112"/>
        <s v="85.195.104.157"/>
        <s v="86.105.224.73"/>
        <s v="88.216.197.27"/>
        <s v="88.216.197.112"/>
        <s v="89.42.231.135"/>
        <s v="89.42.231.167"/>
        <s v="91.209.71.13"/>
        <s v="91.237.141.80"/>
        <s v="93.191.10.71"/>
        <s v="95.67.53.214"/>
        <s v="95.179.209.177"/>
        <s v="102.211.135.167"/>
        <s v="103.28.89.181"/>
        <s v="103.50.32.193"/>
        <s v="103.88.234.123"/>
        <s v="103.88.234.127"/>
        <s v="103.88.234.129"/>
        <s v="103.167.235.224"/>
        <s v="103.219.171.217"/>
        <s v="104.243.33.35"/>
        <s v="109.94.96.59"/>
        <s v="109.94.97.181"/>
        <s v="109.94.97.183"/>
        <s v="109.94.99.211"/>
        <s v="136.244.86.123"/>
        <s v="139.84.228.251"/>
        <s v="139.84.238.57"/>
        <s v="142.91.158.164"/>
        <s v="147.28.171.13"/>
        <s v="147.28.171.51"/>
        <s v="149.248.51.171"/>
        <s v="149.255.37.170"/>
        <s v="154.16.171.107"/>
        <s v="160.202.131.189"/>
        <s v="177.54.154.235"/>
        <s v="177.54.154.239"/>
        <s v="177.54.159.47"/>
        <s v="185.26.8.37"/>
        <s v="185.26.10.211"/>
        <s v="185.26.10.229"/>
        <s v="185.26.10.233"/>
        <s v="185.26.10.239"/>
        <s v="185.26.11.139"/>
        <s v="185.26.11.167"/>
        <s v="185.26.11.195"/>
        <s v="185.32.162.192"/>
        <s v="185.52.237.102"/>
        <s v="185.92.120.151"/>
        <s v="185.167.205.3"/>
        <s v="185.171.202.78"/>
        <s v="185.209.178.161"/>
        <s v="189.1.171.173"/>
        <s v="189.1.171.177"/>
        <s v="192.69.194.82"/>
        <s v="195.231.30.71"/>
        <s v="202.8.8.21"/>
        <s v="207.246.84.247"/>
        <s v="208.91.110.214"/>
        <s v="209.250.232.171"/>
        <s v="212.83.42.33"/>
        <s v="212.83.42.39"/>
        <s v="212.83.42.92"/>
        <s v="212.83.43.14"/>
        <s v="212.83.43.115"/>
        <s v="212.83.43.180"/>
        <s v="212.83.43.186"/>
        <s v="212.83.43.208"/>
        <s v="213.163.64.140"/>
        <s v="216.238.67.40"/>
        <s v="217.170.192.106"/>
        <s v="217.170.192.166"/>
      </sharedItems>
    </cacheField>
    <cacheField name="Status" numFmtId="0">
      <sharedItems>
        <s v="validator"/>
        <s v="gossip"/>
      </sharedItems>
    </cacheField>
    <cacheField name="Validator name" numFmtId="0">
      <sharedItems containsBlank="1">
        <s v="Solana Japan Validator🇯🇵  paladin"/>
        <s v="Lazy Llama"/>
        <s v="⚡GorillaSol⚡ 0%Fee+Jito MEV"/>
        <s v="SunshineVR"/>
        <m/>
        <s v="EONpool"/>
        <s v="Reorder the Blocks"/>
        <s v="OHara Nodes"/>
        <s v="IBRL"/>
        <s v="Grid Systems"/>
        <s v="Nebula Node"/>
        <s v="Gojira"/>
        <s v="Staking Fund"/>
        <s v="Asuga Nodes Validator"/>
        <s v="voin_drak0na 0% FEE, +MEV"/>
        <s v="Huisky Staking + Mev"/>
        <s v="Crypto Plant"/>
        <s v="SolStack"/>
        <s v="Tyraen"/>
        <s v="GateOmega | SolCircl.app"/>
        <s v="Unknown"/>
        <s v="Stardust Staking - 0% fee forever + MEV 0% fee"/>
        <s v="Trinity Mirror"/>
        <s v="Vortexlab"/>
        <s v="Reider Flash 🌩️ | Instant Performance, Zero Fee"/>
        <s v="Blue Sky"/>
        <s v="Temporal Topaz"/>
        <s v="mrgn3"/>
        <s v="Skeleton Validator"/>
        <s v="Zero Ventures"/>
        <s v="Chainflow DoubleZero IBRL"/>
        <s v="mrgn4"/>
        <s v="佛金疯 Solana Chinese Community"/>
        <s v="Everstake"/>
        <s v="Mesh Validator"/>
        <s v="The Library"/>
        <s v="BONK"/>
        <s v="Eyenotion"/>
        <s v="Sentinel Stake"/>
        <s v="Citizen Node"/>
        <s v="Hylo"/>
        <s v="DoubleZero x Temporal"/>
        <s v="Suzuko Stake"/>
        <s v="GUIDES"/>
        <s v="DegenBot"/>
        <s v="BIG BERTY"/>
        <s v="Verafy"/>
        <s v="Simpdigit"/>
        <s v="GPvalidator + MEV 3% to 7% 🔥"/>
        <s v="SPDR"/>
        <s v="TdrSys"/>
        <s v="Tinydancer"/>
        <s v="pico🙄.sol💎 + Paladin⚔️ + giveaways🎉"/>
        <s v="stake2earn 🌜"/>
        <s v="Luganodes"/>
        <s v="Easytoken.me"/>
        <s v="Valigator"/>
        <s v="Wave"/>
        <s v="Onchain Divers"/>
        <s v="Valid Blocks"/>
        <s v="LunaNova"/>
        <s v="MIKROTIK"/>
        <s v="Glory to Ukraine"/>
        <s v="NeverBackDown"/>
        <s v="Mellow Yellow"/>
        <s v="Paragon"/>
        <s v="Janitor"/>
        <s v="Vandal"/>
        <s v="Somos Validator"/>
        <s v="Ded Monkes"/>
        <s v="Adrena"/>
        <s v="4BLOCK 0% Fee + Jito All MEV"/>
        <s v="Love"/>
        <s v="Gleam"/>
        <s v="SoLyrae"/>
        <s v="le.SteakHaus"/>
        <s v="ILY♡ Validator ➕ Paladin⚔️ ||neochibi culture"/>
        <s v="kuma🐻validator kumaSOL LST🚀🚀"/>
        <s v="dTelecom"/>
        <s v="dogo validator"/>
        <s v="Starke Finance"/>
        <s v="Telemetry"/>
        <s v="Phase Labs"/>
        <s v="Solayer Validator [0% Commission + 100% MEV Kickback]"/>
        <s v="Mice Stakin'"/>
        <s v="Kisetsu Stake"/>
        <s v="CH Dev"/>
        <s v="Hodl &amp; Hodl LLLP"/>
        <s v="Anderson &amp; Anderson"/>
        <s v="Dancing Dolphin Validator"/>
        <s v="Staker Space"/>
        <s v="Staking Facilities | MEV 🔥"/>
        <s v="T-STAKE Systems"/>
        <s v="Green House Crypto⚡️0% Fee + Jito MEV"/>
        <s v="Pumpkin's Pool ❤️  🐈"/>
        <s v="Mythx"/>
        <s v="Raposa Coffee"/>
        <s v="0base.vc 🇰🇷 | MEV 🔥"/>
        <s v="mrgn2"/>
        <s v="Digital Energy"/>
        <s v="DoubleZero x Asymmetric Research"/>
        <s v="🦬 Buffalo Steve"/>
        <s v="Denys Ivy: no commision"/>
        <s v="Bay3"/>
        <s v="Viking - Nordic Countries Validator - 0% fees"/>
        <s v="Quantix"/>
        <s v="BOOP Wizard"/>
        <s v="Lobster Season"/>
        <s v="🖥VVS"/>
        <s v="Lantern"/>
        <s v="The Chimpions"/>
        <s v="Chainlayer"/>
      </sharedItems>
    </cacheField>
    <cacheField name=" " numFmtId="0">
      <sharedItems>
        <s v="Singapore"/>
        <s v="Moscow"/>
        <s v="Amsterdam"/>
        <s v="Draper"/>
        <s v="Haarlem"/>
        <s v="Aubervilliers"/>
        <s v="Tower Hamlets"/>
        <s v="Dallas"/>
        <s v="Frankfurt am Main"/>
        <s v="Bremen"/>
        <s v="Fechenheim"/>
        <s v="Bratislava"/>
        <s v="Frankfurt"/>
        <s v="Newark"/>
        <s v="Tokyo"/>
        <s v="Santiago"/>
        <s v="Madrid"/>
        <s v="Staten Island"/>
        <s v="New York"/>
        <s v="London"/>
        <s v="Mexico City"/>
        <s v="Seville"/>
        <s v="Urdorf"/>
        <s v="Oslo"/>
        <s v="Rotterdam"/>
        <s v="Šiauliai"/>
        <s v="Paris"/>
        <s v="Privolzhskiy"/>
        <s v="Kyiv"/>
        <s v="Port Elizabeth"/>
        <s v="Quarry Bay"/>
        <s v="City of London"/>
        <s v="Tirana"/>
        <s v="Piscataway"/>
        <s v="Isando"/>
        <s v="Johannesburg"/>
        <s v="Stockholm"/>
        <s v="Toronto"/>
        <s v="Charlotte"/>
        <s v="Ashburn"/>
        <s v="Prague"/>
        <s v="Weesp"/>
        <s v="Munich"/>
        <s v="Eindhoven"/>
        <s v="Arezzo"/>
        <s v="Münster"/>
        <s v="Querétaro City"/>
      </sharedItems>
    </cacheField>
    <cacheField name=" 2" numFmtId="0">
      <sharedItems>
        <s v="Singapore"/>
        <s v="Russia"/>
        <s v="The Netherlands"/>
        <s v="United States"/>
        <s v="France"/>
        <s v="United Kingdom"/>
        <s v="Germany"/>
        <s v="Slovakia"/>
        <s v="Netherlands"/>
        <s v="Japan"/>
        <s v="Chile"/>
        <s v="Spain"/>
        <s v="Mexico"/>
        <s v="Switzerland"/>
        <s v="Norway"/>
        <s v="Lithuania"/>
        <s v="Ukraine"/>
        <s v="South Africa"/>
        <s v="Hong Kong"/>
        <s v="Albania"/>
        <s v="Sweden"/>
        <s v="Canada"/>
        <s v="Czechia"/>
        <s v="Italy"/>
      </sharedItems>
    </cacheField>
    <cacheField name="Internet" numFmtId="0">
      <sharedItems containsSemiMixedTypes="0" containsString="0" containsNumber="1">
        <n v="161.545"/>
        <n v="51.867"/>
        <n v="52.038"/>
        <n v="19.91"/>
        <n v="137.016"/>
        <n v="18.425"/>
        <n v="22.277"/>
        <n v="24.106"/>
        <n v="131.534"/>
        <n v="12.81"/>
        <n v="235.943"/>
        <n v="12.724"/>
        <n v="12.355"/>
        <n v="12.296"/>
        <n v="12.461"/>
        <n v="12.659"/>
        <n v="12.643"/>
        <n v="12.583"/>
        <n v="12.521"/>
        <n v="12.633"/>
        <n v="12.708"/>
        <n v="12.473"/>
        <n v="12.798"/>
        <n v="12.61"/>
        <n v="0.087"/>
        <n v="18.411"/>
        <n v="12.988"/>
        <n v="12.835"/>
        <n v="12.876"/>
        <n v="12.985"/>
        <n v="12.856"/>
        <n v="104.054"/>
        <n v="13.011"/>
        <n v="12.852"/>
        <n v="18.575"/>
        <n v="257.605"/>
        <n v="12.825"/>
        <n v="103.966"/>
        <n v="18.686"/>
        <n v="18.701"/>
        <n v="18.526"/>
        <n v="12.837"/>
        <n v="239.041"/>
        <n v="242.764"/>
        <n v="48.953"/>
        <n v="103.173"/>
        <n v="96.297"/>
        <n v="13.238"/>
        <n v="13.399"/>
        <n v="27.314"/>
        <n v="251.127"/>
        <n v="247.504"/>
        <n v="19.387"/>
        <n v="170.392"/>
        <n v="26.241"/>
        <n v="29.941"/>
        <n v="27.341"/>
        <n v="138.1"/>
        <n v="253.19"/>
        <n v="49.895"/>
        <n v="20.978"/>
        <n v="34.773"/>
        <n v="28.259"/>
        <n v="26.556"/>
        <n v="26.563"/>
        <n v="15.897"/>
        <n v="21.245"/>
        <n v="40.368"/>
        <n v="40.37"/>
        <n v="19.125"/>
        <n v="20.232"/>
        <n v="26.943"/>
        <n v="31.669"/>
        <n v="52.349"/>
        <n v="20.035"/>
        <n v="23.69"/>
        <n v="177.938"/>
        <n v="212.524"/>
        <n v="27.112"/>
        <n v="165.63"/>
        <n v="165.619"/>
        <n v="170.388"/>
        <n v="26.521"/>
        <n v="13.377"/>
        <n v="93.446"/>
        <n v="13.462"/>
        <n v="26.136"/>
        <n v="30.256"/>
        <n v="239.141"/>
        <n v="12.775"/>
        <n v="185.14"/>
        <n v="199.607"/>
        <n v="20.166"/>
        <n v="31.436"/>
        <n v="31.284"/>
        <n v="130.227"/>
        <n v="20.362"/>
        <n v="104.138"/>
        <n v="13.103"/>
        <n v="254.472"/>
        <n v="259.202"/>
        <n v="102.557"/>
        <n v="138.228"/>
        <n v="13.247"/>
        <n v="13.242"/>
        <n v="13.44"/>
        <n v="37.853"/>
        <n v="29.837"/>
        <n v="26.093"/>
        <n v="10.996"/>
        <n v="25.748"/>
        <n v="11.655"/>
        <n v="27.452"/>
        <n v="26.376"/>
        <n v="97.114"/>
        <n v="13.411"/>
        <n v="13.387"/>
        <n v="107.909"/>
        <n v="22.579"/>
        <n v="18.883"/>
        <n v="94.412"/>
        <n v="103.929"/>
        <n v="12.834"/>
        <n v="14.953"/>
        <n v="15.079"/>
        <n v="15.169"/>
        <n v="15.742"/>
        <n v="13.849"/>
        <n v="13.985"/>
        <n v="13.789"/>
        <n v="14.005"/>
        <n v="22.379"/>
        <n v="208.618"/>
        <n v="34.785"/>
        <n v="34.821"/>
      </sharedItems>
    </cacheField>
    <cacheField name=" fra-dz-001-x" numFmtId="0">
      <sharedItems containsSemiMixedTypes="0" containsString="0" containsNumber="1">
        <n v="181.4"/>
        <n v="56.19"/>
        <n v="55.854"/>
        <n v="32.013"/>
        <n v="174.851"/>
        <n v="37.848"/>
        <n v="22.826"/>
        <n v="24.297"/>
        <n v="315.65"/>
        <n v="14.036"/>
        <n v="212.941"/>
        <n v="15.564"/>
        <n v="15.393"/>
        <n v="15.112"/>
        <n v="15.523"/>
        <n v="15.385"/>
        <n v="15.45"/>
        <n v="15.455"/>
        <n v="15.429"/>
        <n v="15.403"/>
        <n v="15.459"/>
        <n v="15.256"/>
        <n v="15.476"/>
        <n v="15.244"/>
        <n v="29.544"/>
        <n v="37.737"/>
        <n v="15.243"/>
        <n v="15.173"/>
        <n v="15.028"/>
        <n v="15.063"/>
        <n v="15.037"/>
        <n v="94.812"/>
        <n v="15.166"/>
        <n v="15.142"/>
        <n v="31.768"/>
        <n v="248.009"/>
        <n v="15.308"/>
        <n v="95.016"/>
        <n v="31.81"/>
        <n v="32.329"/>
        <n v="31.844"/>
        <n v="15.205"/>
        <n v="216.404"/>
        <n v="215.013"/>
        <n v="59.358"/>
        <n v="95.057"/>
        <n v="93.833"/>
        <n v="15.563"/>
        <n v="15.738"/>
        <n v="15.578"/>
        <n v="27.425"/>
        <n v="181.207"/>
        <n v="181.221"/>
        <n v="32.168"/>
        <n v="214.565"/>
        <n v="26.887"/>
        <n v="26.799"/>
        <n v="28.074"/>
        <n v="192.491"/>
        <n v="181.217"/>
        <n v="63.296"/>
        <n v="21.229"/>
        <n v="33.434"/>
        <n v="31.843"/>
        <n v="31.727"/>
        <n v="31.815"/>
        <n v="33.105"/>
        <n v="40.698"/>
        <n v="40.667"/>
        <n v="37.853"/>
        <n v="38.011"/>
        <n v="27.695"/>
        <n v="33.759"/>
        <n v="52.362"/>
        <n v="43.491"/>
        <n v="22.882"/>
        <n v="174.209"/>
        <n v="211.208"/>
        <n v="27.982"/>
        <n v="214.454"/>
        <n v="214.433"/>
        <n v="217.155"/>
        <n v="15.061"/>
        <n v="15.48"/>
        <n v="97.046"/>
        <n v="15.701"/>
        <n v="27.3"/>
        <n v="27.457"/>
        <n v="248.203"/>
        <n v="13.965"/>
        <n v="192.036"/>
        <n v="190.761"/>
        <n v="31.92"/>
        <n v="33.785"/>
        <n v="33.494"/>
        <n v="108.305"/>
        <n v="32.298"/>
        <n v="111.524"/>
        <n v="15.366"/>
        <n v="181.25"/>
        <n v="181.135"/>
        <n v="99.425"/>
        <n v="129.824"/>
        <n v="15.539"/>
        <n v="15.649"/>
        <n v="15.703"/>
        <n v="15.63"/>
        <n v="27.37"/>
        <n v="26.815"/>
        <n v="27.909"/>
        <n v="27.061"/>
        <n v="20.826"/>
        <n v="38.297"/>
        <n v="42.715"/>
        <n v="94.019"/>
        <n v="15.898"/>
        <n v="15.635"/>
        <n v="99.089"/>
        <n v="25.331"/>
        <n v="32.232"/>
        <n v="100.509"/>
        <n v="95.211"/>
        <n v="15.075"/>
        <n v="15.373"/>
        <n v="15.352"/>
        <n v="15.195"/>
        <n v="15.33"/>
        <n v="15.347"/>
        <n v="15.381"/>
        <n v="15.231"/>
        <n v="32.882"/>
        <n v="220.779"/>
        <n v="33.569"/>
        <n v="33.634"/>
      </sharedItems>
    </cacheField>
    <cacheField name="Anafra DC" numFmtId="0">
      <sharedItems containsSemiMixedTypes="0" containsString="0" containsNumber="1">
        <n v="179.922"/>
        <n v="57.855"/>
        <n v="59.248"/>
        <n v="23.891"/>
        <n v="160.686"/>
        <n v="19.674"/>
        <n v="22.071"/>
        <n v="26.684"/>
        <n v="132.741"/>
        <n v="14.833"/>
        <n v="276.944"/>
        <n v="15.439"/>
        <n v="17.807"/>
        <n v="12.71"/>
        <n v="19.175"/>
        <n v="18.143"/>
        <n v="14.96"/>
        <n v="20.35"/>
        <n v="17.634"/>
        <n v="18.403"/>
        <n v="14.564"/>
        <n v="20.047"/>
        <n v="17.882"/>
        <n v="14.145"/>
        <n v="18.163"/>
        <n v="13.077"/>
        <n v="21.907"/>
        <n v="17.891"/>
        <n v="13.87"/>
        <n v="17.922"/>
        <n v="15.585"/>
        <n v="13.113"/>
        <n v="98.276"/>
        <n v="17.611"/>
        <n v="13.211"/>
        <n v="22.197"/>
        <n v="264.084"/>
        <n v="17.654"/>
        <n v="99.286"/>
        <n v="25.982"/>
        <n v="26.631"/>
        <n v="27.328"/>
        <n v="13.48"/>
        <n v="257.687"/>
        <n v="255.714"/>
        <n v="43.51"/>
        <n v="104.902"/>
        <n v="101.235"/>
        <n v="20.384"/>
        <n v="21.514"/>
        <n v="13.964"/>
        <n v="28.501"/>
        <n v="273.832"/>
        <n v="267.348"/>
        <n v="24.697"/>
        <n v="178.998"/>
        <n v="26.897"/>
        <n v="29.628"/>
        <n v="30.315"/>
        <n v="130.43"/>
        <n v="270.367"/>
        <n v="60.649"/>
        <n v="19.908"/>
        <n v="49.19"/>
        <n v="21.493"/>
        <n v="17.974"/>
        <n v="21.946"/>
        <n v="24.66"/>
        <n v="28.335"/>
        <n v="41.235"/>
        <n v="37.842"/>
        <n v="21.095"/>
        <n v="23.373"/>
        <n v="23.928"/>
        <n v="30.811"/>
        <n v="50.368"/>
        <n v="25.09"/>
        <n v="22.945"/>
        <n v="183.536"/>
        <n v="262.331"/>
        <n v="34.208"/>
        <n v="185.749"/>
        <n v="184.488"/>
        <n v="184.611"/>
        <n v="38.444"/>
        <n v="20.414"/>
        <n v="99.117"/>
        <n v="13.46"/>
        <n v="29.081"/>
        <n v="28.155"/>
        <n v="271.071"/>
        <n v="13.845"/>
        <n v="186.954"/>
        <n v="185.453"/>
        <n v="22.877"/>
        <n v="39.832"/>
        <n v="43.284"/>
        <n v="111.805"/>
        <n v="21.334"/>
        <n v="118.133"/>
        <n v="18.754"/>
        <n v="272.43"/>
        <n v="280.064"/>
        <n v="109.13"/>
        <n v="127.925"/>
        <n v="19.33"/>
        <n v="13.497"/>
        <n v="13.258"/>
        <n v="14.049"/>
        <n v="28.309"/>
        <n v="29.34"/>
        <n v="28.634"/>
        <n v="1.65"/>
        <n v="23.854"/>
        <n v="25.625"/>
        <n v="31.542"/>
        <n v="26.727"/>
        <n v="106.203"/>
        <n v="14.562"/>
        <n v="22.003"/>
        <n v="127.721"/>
        <n v="26.137"/>
        <n v="22.462"/>
        <n v="106.117"/>
        <n v="98.002"/>
        <n v="17.442"/>
        <n v="19.325"/>
        <n v="16.041"/>
        <n v="12.955"/>
        <n v="16.551"/>
        <n v="15.655"/>
        <n v="15.503"/>
        <n v="12.634"/>
        <n v="14.29"/>
        <n v="26.251"/>
        <n v="164.161"/>
        <n v="50.424"/>
        <n v="47.669"/>
      </sharedItems>
    </cacheField>
    <cacheField name=" 3" numFmtId="0">
      <sharedItems containsString="0" containsBlank="1">
        <m/>
      </sharedItems>
    </cacheField>
    <cacheField name="% improvement" numFmtId="10">
      <sharedItems containsSemiMixedTypes="0" containsString="0" containsNumber="1">
        <n v="-0.008147739801543596"/>
        <n v="0.029631607047517328"/>
        <n v="0.06076556737207728"/>
        <n v="-0.25370943054384154"/>
        <n v="-0.08101183293203928"/>
        <n v="-0.48018389346861123"/>
        <n v="-0.03307631648120557"/>
        <n v="0.09824258138864872"/>
        <n v="-0.5794677649295105"/>
        <n v="0.056782559133656374"/>
        <n v="0.30056682367416343"/>
        <n v="-0.008031354407607272"/>
        <n v="0.15682453063080604"/>
        <n v="-0.15894653255690838"/>
        <n v="0.23526380210010966"/>
        <n v="0.17926551836204108"/>
        <n v="-0.0317152103559869"/>
        <n v="0.3167259786476868"/>
        <n v="0.14291269686953134"/>
        <n v="0.19476725313250642"/>
        <n v="-0.05789507730124843"/>
        <n v="0.3140403775563714"/>
        <n v="0.15546652881881617"/>
        <n v="-0.07209393859879298"/>
        <n v="0.18056548586285337"/>
        <n v="-0.5573720552396426"/>
        <n v="-0.41948220579272333"/>
        <n v="0.17371908416978266"/>
        <n v="-0.08587622750939172"/>
        <n v="0.19257386212403516"/>
        <n v="0.03465445130452105"/>
        <n v="-0.12795105406663576"/>
        <n v="0.03653545964645821"/>
        <n v="0.16121587762099443"/>
        <n v="-0.12752608638224805"/>
        <n v="-0.30127801561319567"/>
        <n v="0.06481619618642886"/>
        <n v="0.15325320094068462"/>
        <n v="0.044939799612696785"/>
        <n v="-0.1832128261552971"/>
        <n v="-0.1762504253147329"/>
        <n v="-0.14181635472930543"/>
        <n v="-0.11344952318316337"/>
        <n v="0.19076819282453195"/>
        <n v="0.18929553096789498"/>
        <n v="-0.2669901276997203"/>
        <n v="0.10356943728499735"/>
        <n v="0.07888482729956414"/>
        <n v="0.30977317997815335"/>
        <n v="0.3670097852331935"/>
        <n v="-0.10360765181666443"/>
        <n v="0.039234275296262444"/>
        <n v="0.511155750053806"/>
        <n v="0.4752594897942293"/>
        <n v="-0.23224944043770213"/>
        <n v="-0.16576328851397015"/>
        <n v="3.7192695354626437E-4"/>
        <n v="0.10556364043434452"/>
        <n v="0.07982474887796531"/>
        <n v="-0.3224098789034293"/>
        <n v="0.4919516380913491"/>
        <n v="-0.04181938827098075"/>
        <n v="-0.06222620000942103"/>
        <n v="0.4712568044505594"/>
        <n v="-0.32503218917815535"/>
        <n v="-0.4334793708828443"/>
        <n v="-0.31019959138771014"/>
        <n v="0.6176856468118603"/>
        <n v="-0.14408699592206609"/>
        <n v="0.01319475158484451"/>
        <n v="-0.06946664371603517"/>
        <n v="-0.44271259873722035"/>
        <n v="-0.3850990502749204"/>
        <n v="-0.13601733164831198"/>
        <n v="-0.0873248615184099"/>
        <n v="-0.03808105114395932"/>
        <n v="-0.42309903198362875"/>
        <n v="0.0027532558342802105"/>
        <n v="0.053539139768898236"/>
        <n v="0.24205049051172312"/>
        <n v="0.22250017868629834"/>
        <n v="-0.13385154858384551"/>
        <n v="-0.13964734905541587"/>
        <n v="-0.14986530358499695"/>
        <n v="1.5525529513312533"/>
        <n v="0.31873385012919897"/>
        <n v="0.021340395276466806"/>
        <n v="-0.1427297624355136"/>
        <n v="0.0652380952380951"/>
        <n v="0.02542156827038644"/>
        <n v="0.09213426106856093"/>
        <n v="-0.00859291084854985"/>
        <n v="-0.026463788039742475"/>
        <n v="-0.027825394079502574"/>
        <n v="-0.28330200501253144"/>
        <n v="0.17898475654876433"/>
        <n v="0.2922911566250672"/>
        <n v="0.032316144222334975"/>
        <n v="-0.3394637438850703"/>
        <n v="0.05926078691582082"/>
        <n v="0.22048678901470797"/>
        <n v="0.5030620689655172"/>
        <n v="0.5461617025975103"/>
        <n v="0.09761126477244142"/>
        <n v="-0.014627495686467928"/>
        <n v="0.24396679322993742"/>
        <n v="-0.13751677423477537"/>
        <n v="-0.15570273196204554"/>
        <n v="-0.10115163147792716"/>
        <n v="0.03430763609791754"/>
        <n v="0.09416371433898929"/>
        <n v="0.025977283313626476"/>
        <n v="-0.939026643509109"/>
        <n v="-0.2794441927201329"/>
        <n v="0.2304331124555843"/>
        <n v="-0.17638457320416734"/>
        <n v="-0.3742947442350463"/>
        <n v="0.12959082738595384"/>
        <n v="-0.08403572776449875"/>
        <n v="0.40729133354653024"/>
        <n v="0.2889523559628213"/>
        <n v="0.03181872014527665"/>
        <n v="-0.3031149168528171"/>
        <n v="0.0557959983683054"/>
        <n v="0.029313839787419527"/>
        <n v="0.15701492537313433"/>
        <n v="0.25707409093865863"/>
        <n v="0.04488014590932776"/>
        <n v="-0.1474169134583745"/>
        <n v="0.07964774951076303"/>
        <n v="0.020069068873395546"/>
        <n v="0.017057009774978704"/>
        <n v="-0.1785969702880177"/>
        <n v="-0.06178189219355268"/>
        <n v="-0.20166048293899386"/>
        <n v="-0.2564464917406094"/>
        <n v="0.5021001519258839"/>
        <n v="0.417286079562347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, AVG Improvements" cacheId="0" dataCaption="" rowGrandTotals="0" compact="0" compactData="0">
  <location ref="A1:B25" firstHeaderRow="0" firstDataRow="1" firstDataCol="0"/>
  <pivotFields>
    <pivotField name="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Status" compact="0" outline="0" multipleItemSelectionAllowed="1" showAll="0">
      <items>
        <item x="0"/>
        <item x="1"/>
        <item t="default"/>
      </items>
    </pivotField>
    <pivotField name="Validato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 2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Intern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name=" fra-dz-001-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Anafra D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% improvement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</pivotFields>
  <rowFields>
    <field x="4"/>
  </rowFields>
  <dataFields>
    <dataField name="AVERAGE of % improvement" fld="9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grassets-tech/solana-latenc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easytoken.me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asytoken.m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25"/>
    <col customWidth="1" min="3" max="3" width="35.88"/>
  </cols>
  <sheetData>
    <row r="2">
      <c r="B2" s="1" t="s">
        <v>0</v>
      </c>
    </row>
    <row r="4">
      <c r="B4" s="2" t="s">
        <v>1</v>
      </c>
      <c r="C4" s="3" t="s">
        <v>2</v>
      </c>
    </row>
    <row r="5">
      <c r="B5" s="2" t="s">
        <v>3</v>
      </c>
      <c r="C5" s="2" t="s">
        <v>4</v>
      </c>
    </row>
    <row r="7">
      <c r="B7" s="4" t="s">
        <v>5</v>
      </c>
    </row>
    <row r="8">
      <c r="C8" s="4" t="s">
        <v>6</v>
      </c>
    </row>
    <row r="9">
      <c r="C9" s="4" t="s">
        <v>7</v>
      </c>
    </row>
    <row r="10">
      <c r="C10" s="4" t="s">
        <v>8</v>
      </c>
    </row>
  </sheetData>
  <mergeCells count="1">
    <mergeCell ref="B2:C2"/>
  </mergeCells>
  <hyperlinks>
    <hyperlink r:id="rId1" ref="C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3.5"/>
    <col customWidth="1" min="2" max="2" width="14.13"/>
    <col customWidth="1" min="3" max="3" width="29.75"/>
    <col customWidth="1" min="9" max="9" width="4.88"/>
    <col customWidth="1" min="10" max="10" width="13.38"/>
  </cols>
  <sheetData>
    <row r="1">
      <c r="A1" s="7"/>
      <c r="B1" s="7"/>
      <c r="C1" s="7"/>
      <c r="D1" s="8"/>
      <c r="E1" s="8"/>
      <c r="F1" s="8" t="s">
        <v>34</v>
      </c>
      <c r="H1" s="9" t="s">
        <v>35</v>
      </c>
      <c r="J1" s="10"/>
    </row>
    <row r="2">
      <c r="A2" s="7" t="s">
        <v>36</v>
      </c>
      <c r="B2" s="7" t="s">
        <v>37</v>
      </c>
      <c r="C2" s="7" t="s">
        <v>38</v>
      </c>
      <c r="D2" s="7" t="s">
        <v>39</v>
      </c>
      <c r="E2" s="7" t="s">
        <v>39</v>
      </c>
      <c r="F2" s="7" t="s">
        <v>40</v>
      </c>
      <c r="G2" s="7" t="s">
        <v>41</v>
      </c>
      <c r="H2" s="9" t="s">
        <v>42</v>
      </c>
      <c r="I2" s="11" t="s">
        <v>39</v>
      </c>
      <c r="J2" s="12" t="s">
        <v>43</v>
      </c>
    </row>
    <row r="3">
      <c r="A3" s="13" t="s">
        <v>44</v>
      </c>
      <c r="B3" s="13" t="s">
        <v>45</v>
      </c>
      <c r="C3" s="13" t="s">
        <v>46</v>
      </c>
      <c r="D3" s="13" t="s">
        <v>12</v>
      </c>
      <c r="E3" s="13" t="s">
        <v>12</v>
      </c>
      <c r="F3" s="14">
        <v>161.545</v>
      </c>
      <c r="G3" s="14">
        <v>181.4</v>
      </c>
      <c r="H3" s="14">
        <f>VLOOKUP(A3,'Grassets Tech'!$C$1:$E$153, 2, false)</f>
        <v>179.922</v>
      </c>
      <c r="I3" s="6"/>
      <c r="J3" s="15">
        <f t="shared" ref="J3:J140" si="1">H3/G3-1</f>
        <v>-0.008147739802</v>
      </c>
    </row>
    <row r="4">
      <c r="A4" s="13" t="s">
        <v>47</v>
      </c>
      <c r="B4" s="13" t="s">
        <v>45</v>
      </c>
      <c r="C4" s="13" t="s">
        <v>48</v>
      </c>
      <c r="D4" s="13" t="s">
        <v>49</v>
      </c>
      <c r="E4" s="13" t="s">
        <v>21</v>
      </c>
      <c r="F4" s="14">
        <v>51.867</v>
      </c>
      <c r="G4" s="14">
        <v>56.19</v>
      </c>
      <c r="H4" s="14">
        <f>VLOOKUP(A4,'Grassets Tech'!$C$1:$E$153, 2, false)</f>
        <v>57.855</v>
      </c>
      <c r="I4" s="6"/>
      <c r="J4" s="15">
        <f t="shared" si="1"/>
        <v>0.02963160705</v>
      </c>
    </row>
    <row r="5">
      <c r="A5" s="13" t="s">
        <v>50</v>
      </c>
      <c r="B5" s="13" t="s">
        <v>45</v>
      </c>
      <c r="C5" s="13" t="s">
        <v>51</v>
      </c>
      <c r="D5" s="13" t="s">
        <v>49</v>
      </c>
      <c r="E5" s="13" t="s">
        <v>21</v>
      </c>
      <c r="F5" s="14">
        <v>52.038</v>
      </c>
      <c r="G5" s="14">
        <v>55.854</v>
      </c>
      <c r="H5" s="14">
        <f>VLOOKUP(A5,'Grassets Tech'!$C$1:$E$153, 2, false)</f>
        <v>59.248</v>
      </c>
      <c r="I5" s="6"/>
      <c r="J5" s="15">
        <f t="shared" si="1"/>
        <v>0.06076556737</v>
      </c>
    </row>
    <row r="6">
      <c r="A6" s="13" t="s">
        <v>52</v>
      </c>
      <c r="B6" s="13" t="s">
        <v>45</v>
      </c>
      <c r="C6" s="13" t="s">
        <v>53</v>
      </c>
      <c r="D6" s="13" t="s">
        <v>54</v>
      </c>
      <c r="E6" s="13" t="s">
        <v>30</v>
      </c>
      <c r="F6" s="14">
        <v>19.91</v>
      </c>
      <c r="G6" s="14">
        <v>32.013</v>
      </c>
      <c r="H6" s="14">
        <f>VLOOKUP(A6,'Grassets Tech'!$C$1:$E$153, 2, false)</f>
        <v>23.891</v>
      </c>
      <c r="I6" s="6"/>
      <c r="J6" s="15">
        <f t="shared" si="1"/>
        <v>-0.2537094305</v>
      </c>
    </row>
    <row r="7">
      <c r="A7" s="13" t="s">
        <v>55</v>
      </c>
      <c r="B7" s="13" t="s">
        <v>56</v>
      </c>
      <c r="C7" s="13"/>
      <c r="D7" s="13" t="s">
        <v>57</v>
      </c>
      <c r="E7" s="13" t="s">
        <v>23</v>
      </c>
      <c r="F7" s="14">
        <v>137.016</v>
      </c>
      <c r="G7" s="14">
        <v>174.851</v>
      </c>
      <c r="H7" s="14">
        <f>VLOOKUP(A7,'Grassets Tech'!$C$1:$E$153, 2, false)</f>
        <v>160.686</v>
      </c>
      <c r="I7" s="6"/>
      <c r="J7" s="15">
        <f t="shared" si="1"/>
        <v>-0.08101183293</v>
      </c>
    </row>
    <row r="8">
      <c r="A8" s="13" t="s">
        <v>58</v>
      </c>
      <c r="B8" s="13" t="s">
        <v>45</v>
      </c>
      <c r="C8" s="13" t="s">
        <v>59</v>
      </c>
      <c r="D8" s="13" t="s">
        <v>60</v>
      </c>
      <c r="E8" s="13" t="s">
        <v>30</v>
      </c>
      <c r="F8" s="14">
        <v>18.425</v>
      </c>
      <c r="G8" s="14">
        <v>37.848</v>
      </c>
      <c r="H8" s="14">
        <f>VLOOKUP(A8,'Grassets Tech'!$C$1:$E$153, 2, false)</f>
        <v>19.674</v>
      </c>
      <c r="I8" s="6"/>
      <c r="J8" s="15">
        <f t="shared" si="1"/>
        <v>-0.4801838935</v>
      </c>
    </row>
    <row r="9">
      <c r="A9" s="13" t="s">
        <v>61</v>
      </c>
      <c r="B9" s="13" t="s">
        <v>45</v>
      </c>
      <c r="C9" s="13" t="s">
        <v>62</v>
      </c>
      <c r="D9" s="13" t="s">
        <v>63</v>
      </c>
      <c r="E9" s="13" t="s">
        <v>26</v>
      </c>
      <c r="F9" s="14">
        <v>22.277</v>
      </c>
      <c r="G9" s="14">
        <v>22.826</v>
      </c>
      <c r="H9" s="14">
        <f>VLOOKUP(A9,'Grassets Tech'!$C$1:$E$153, 2, false)</f>
        <v>22.071</v>
      </c>
      <c r="I9" s="6"/>
      <c r="J9" s="15">
        <f t="shared" si="1"/>
        <v>-0.03307631648</v>
      </c>
    </row>
    <row r="10">
      <c r="A10" s="13" t="s">
        <v>64</v>
      </c>
      <c r="B10" s="13" t="s">
        <v>45</v>
      </c>
      <c r="C10" s="13" t="s">
        <v>65</v>
      </c>
      <c r="D10" s="13" t="s">
        <v>66</v>
      </c>
      <c r="E10" s="13" t="s">
        <v>18</v>
      </c>
      <c r="F10" s="14">
        <v>24.106</v>
      </c>
      <c r="G10" s="14">
        <v>24.297</v>
      </c>
      <c r="H10" s="14">
        <f>VLOOKUP(A10,'Grassets Tech'!$C$1:$E$153, 2, false)</f>
        <v>26.684</v>
      </c>
      <c r="I10" s="6"/>
      <c r="J10" s="15">
        <f t="shared" si="1"/>
        <v>0.09824258139</v>
      </c>
    </row>
    <row r="11">
      <c r="A11" s="13" t="s">
        <v>67</v>
      </c>
      <c r="B11" s="13" t="s">
        <v>45</v>
      </c>
      <c r="C11" s="13" t="s">
        <v>68</v>
      </c>
      <c r="D11" s="13" t="s">
        <v>69</v>
      </c>
      <c r="E11" s="13" t="s">
        <v>23</v>
      </c>
      <c r="F11" s="14">
        <v>131.534</v>
      </c>
      <c r="G11" s="14">
        <v>315.65</v>
      </c>
      <c r="H11" s="14">
        <f>VLOOKUP(A11,'Grassets Tech'!$C$1:$E$153, 2, false)</f>
        <v>132.741</v>
      </c>
      <c r="I11" s="6"/>
      <c r="J11" s="15">
        <f t="shared" si="1"/>
        <v>-0.5794677649</v>
      </c>
    </row>
    <row r="12">
      <c r="A12" s="13" t="s">
        <v>70</v>
      </c>
      <c r="B12" s="13" t="s">
        <v>56</v>
      </c>
      <c r="C12" s="13"/>
      <c r="D12" s="13" t="s">
        <v>71</v>
      </c>
      <c r="E12" s="13" t="s">
        <v>16</v>
      </c>
      <c r="F12" s="14">
        <v>12.81</v>
      </c>
      <c r="G12" s="14">
        <v>14.036</v>
      </c>
      <c r="H12" s="14">
        <f>VLOOKUP(A12,'Grassets Tech'!$C$1:$E$153, 2, false)</f>
        <v>14.833</v>
      </c>
      <c r="J12" s="15">
        <f t="shared" si="1"/>
        <v>0.05678255913</v>
      </c>
    </row>
    <row r="13">
      <c r="A13" s="13" t="s">
        <v>72</v>
      </c>
      <c r="B13" s="13" t="s">
        <v>45</v>
      </c>
      <c r="C13" s="13" t="s">
        <v>73</v>
      </c>
      <c r="D13" s="13" t="s">
        <v>12</v>
      </c>
      <c r="E13" s="13" t="s">
        <v>12</v>
      </c>
      <c r="F13" s="14">
        <v>235.943</v>
      </c>
      <c r="G13" s="14">
        <v>212.941</v>
      </c>
      <c r="H13" s="14">
        <f>VLOOKUP(A13,'Grassets Tech'!$C$1:$E$153, 2, false)</f>
        <v>276.944</v>
      </c>
      <c r="I13" s="6"/>
      <c r="J13" s="15">
        <f t="shared" si="1"/>
        <v>0.3005668237</v>
      </c>
    </row>
    <row r="14">
      <c r="A14" s="13" t="s">
        <v>74</v>
      </c>
      <c r="B14" s="13" t="s">
        <v>45</v>
      </c>
      <c r="C14" s="13" t="s">
        <v>75</v>
      </c>
      <c r="D14" s="13" t="s">
        <v>71</v>
      </c>
      <c r="E14" s="13" t="s">
        <v>16</v>
      </c>
      <c r="F14" s="14">
        <v>12.724</v>
      </c>
      <c r="G14" s="14">
        <v>15.564</v>
      </c>
      <c r="H14" s="14">
        <f>VLOOKUP(A14,'Grassets Tech'!$C$1:$E$153, 2, false)</f>
        <v>15.439</v>
      </c>
      <c r="J14" s="15">
        <f t="shared" si="1"/>
        <v>-0.008031354408</v>
      </c>
    </row>
    <row r="15">
      <c r="A15" s="13" t="s">
        <v>76</v>
      </c>
      <c r="B15" s="13" t="s">
        <v>56</v>
      </c>
      <c r="C15" s="13"/>
      <c r="D15" s="13" t="s">
        <v>77</v>
      </c>
      <c r="E15" s="13" t="s">
        <v>16</v>
      </c>
      <c r="F15" s="14">
        <v>12.355</v>
      </c>
      <c r="G15" s="14">
        <v>15.393</v>
      </c>
      <c r="H15" s="14">
        <f>VLOOKUP(A15,'Grassets Tech'!$C$1:$E$153, 2, false)</f>
        <v>17.807</v>
      </c>
      <c r="J15" s="15">
        <f t="shared" si="1"/>
        <v>0.1568245306</v>
      </c>
    </row>
    <row r="16">
      <c r="A16" s="13" t="s">
        <v>78</v>
      </c>
      <c r="B16" s="13" t="s">
        <v>45</v>
      </c>
      <c r="C16" s="13" t="s">
        <v>79</v>
      </c>
      <c r="D16" s="13" t="s">
        <v>77</v>
      </c>
      <c r="E16" s="13" t="s">
        <v>16</v>
      </c>
      <c r="F16" s="14">
        <v>12.296</v>
      </c>
      <c r="G16" s="14">
        <v>15.112</v>
      </c>
      <c r="H16" s="14">
        <f>VLOOKUP(A16,'Grassets Tech'!$C$1:$E$153, 2, false)</f>
        <v>12.71</v>
      </c>
      <c r="J16" s="15">
        <f t="shared" si="1"/>
        <v>-0.1589465326</v>
      </c>
    </row>
    <row r="17">
      <c r="A17" s="13" t="s">
        <v>80</v>
      </c>
      <c r="B17" s="13" t="s">
        <v>45</v>
      </c>
      <c r="C17" s="13" t="s">
        <v>81</v>
      </c>
      <c r="D17" s="13" t="s">
        <v>82</v>
      </c>
      <c r="E17" s="13" t="s">
        <v>16</v>
      </c>
      <c r="F17" s="14">
        <v>12.461</v>
      </c>
      <c r="G17" s="14">
        <v>15.523</v>
      </c>
      <c r="H17" s="14">
        <f>VLOOKUP(A17,'Grassets Tech'!$C$1:$E$153, 2, false)</f>
        <v>19.175</v>
      </c>
      <c r="J17" s="15">
        <f t="shared" si="1"/>
        <v>0.2352638021</v>
      </c>
    </row>
    <row r="18">
      <c r="A18" s="13" t="s">
        <v>83</v>
      </c>
      <c r="B18" s="13" t="s">
        <v>56</v>
      </c>
      <c r="C18" s="13"/>
      <c r="D18" s="13" t="s">
        <v>82</v>
      </c>
      <c r="E18" s="13" t="s">
        <v>16</v>
      </c>
      <c r="F18" s="14">
        <v>12.659</v>
      </c>
      <c r="G18" s="14">
        <v>15.385</v>
      </c>
      <c r="H18" s="14">
        <f>VLOOKUP(A18,'Grassets Tech'!$C$1:$E$153, 2, false)</f>
        <v>18.143</v>
      </c>
      <c r="J18" s="15">
        <f t="shared" si="1"/>
        <v>0.1792655184</v>
      </c>
    </row>
    <row r="19">
      <c r="A19" s="13" t="s">
        <v>84</v>
      </c>
      <c r="B19" s="13" t="s">
        <v>45</v>
      </c>
      <c r="C19" s="13" t="s">
        <v>85</v>
      </c>
      <c r="D19" s="13" t="s">
        <v>82</v>
      </c>
      <c r="E19" s="13" t="s">
        <v>16</v>
      </c>
      <c r="F19" s="14">
        <v>12.643</v>
      </c>
      <c r="G19" s="14">
        <v>15.45</v>
      </c>
      <c r="H19" s="14">
        <f>VLOOKUP(A19,'Grassets Tech'!$C$1:$E$153, 2, false)</f>
        <v>14.96</v>
      </c>
      <c r="J19" s="15">
        <f t="shared" si="1"/>
        <v>-0.03171521036</v>
      </c>
    </row>
    <row r="20">
      <c r="A20" s="13" t="s">
        <v>86</v>
      </c>
      <c r="B20" s="13" t="s">
        <v>45</v>
      </c>
      <c r="C20" s="13" t="s">
        <v>87</v>
      </c>
      <c r="D20" s="13" t="s">
        <v>82</v>
      </c>
      <c r="E20" s="13" t="s">
        <v>16</v>
      </c>
      <c r="F20" s="14">
        <v>12.583</v>
      </c>
      <c r="G20" s="14">
        <v>15.455</v>
      </c>
      <c r="H20" s="14">
        <f>VLOOKUP(A20,'Grassets Tech'!$C$1:$E$153, 2, false)</f>
        <v>20.35</v>
      </c>
      <c r="J20" s="15">
        <f t="shared" si="1"/>
        <v>0.3167259786</v>
      </c>
    </row>
    <row r="21">
      <c r="A21" s="13" t="s">
        <v>88</v>
      </c>
      <c r="B21" s="13" t="s">
        <v>45</v>
      </c>
      <c r="C21" s="13" t="s">
        <v>89</v>
      </c>
      <c r="D21" s="13" t="s">
        <v>82</v>
      </c>
      <c r="E21" s="13" t="s">
        <v>16</v>
      </c>
      <c r="F21" s="14">
        <v>12.521</v>
      </c>
      <c r="G21" s="14">
        <v>15.429</v>
      </c>
      <c r="H21" s="14">
        <f>VLOOKUP(A21,'Grassets Tech'!$C$1:$E$153, 2, false)</f>
        <v>17.634</v>
      </c>
      <c r="J21" s="15">
        <f t="shared" si="1"/>
        <v>0.1429126969</v>
      </c>
    </row>
    <row r="22">
      <c r="A22" s="13" t="s">
        <v>90</v>
      </c>
      <c r="B22" s="13" t="s">
        <v>45</v>
      </c>
      <c r="C22" s="13" t="s">
        <v>91</v>
      </c>
      <c r="D22" s="13" t="s">
        <v>82</v>
      </c>
      <c r="E22" s="13" t="s">
        <v>16</v>
      </c>
      <c r="F22" s="14">
        <v>12.633</v>
      </c>
      <c r="G22" s="14">
        <v>15.403</v>
      </c>
      <c r="H22" s="14">
        <f>VLOOKUP(A22,'Grassets Tech'!$C$1:$E$153, 2, false)</f>
        <v>18.403</v>
      </c>
      <c r="J22" s="15">
        <f t="shared" si="1"/>
        <v>0.1947672531</v>
      </c>
    </row>
    <row r="23">
      <c r="A23" s="13" t="s">
        <v>92</v>
      </c>
      <c r="B23" s="13" t="s">
        <v>56</v>
      </c>
      <c r="C23" s="13"/>
      <c r="D23" s="13" t="s">
        <v>82</v>
      </c>
      <c r="E23" s="13" t="s">
        <v>16</v>
      </c>
      <c r="F23" s="14">
        <v>12.708</v>
      </c>
      <c r="G23" s="14">
        <v>15.459</v>
      </c>
      <c r="H23" s="14">
        <f>VLOOKUP(A23,'Grassets Tech'!$C$1:$E$153, 2, false)</f>
        <v>14.564</v>
      </c>
      <c r="J23" s="15">
        <f t="shared" si="1"/>
        <v>-0.0578950773</v>
      </c>
    </row>
    <row r="24">
      <c r="A24" s="13" t="s">
        <v>93</v>
      </c>
      <c r="B24" s="13" t="s">
        <v>45</v>
      </c>
      <c r="C24" s="13" t="s">
        <v>94</v>
      </c>
      <c r="D24" s="13" t="s">
        <v>82</v>
      </c>
      <c r="E24" s="13" t="s">
        <v>16</v>
      </c>
      <c r="F24" s="14">
        <v>12.473</v>
      </c>
      <c r="G24" s="14">
        <v>15.256</v>
      </c>
      <c r="H24" s="14">
        <f>VLOOKUP(A24,'Grassets Tech'!$C$1:$E$153, 2, false)</f>
        <v>20.047</v>
      </c>
      <c r="J24" s="15">
        <f t="shared" si="1"/>
        <v>0.3140403776</v>
      </c>
    </row>
    <row r="25">
      <c r="A25" s="13" t="s">
        <v>95</v>
      </c>
      <c r="B25" s="13" t="s">
        <v>45</v>
      </c>
      <c r="C25" s="13" t="s">
        <v>96</v>
      </c>
      <c r="D25" s="13" t="s">
        <v>82</v>
      </c>
      <c r="E25" s="13" t="s">
        <v>16</v>
      </c>
      <c r="F25" s="14">
        <v>12.798</v>
      </c>
      <c r="G25" s="14">
        <v>15.476</v>
      </c>
      <c r="H25" s="14">
        <f>VLOOKUP(A25,'Grassets Tech'!$C$1:$E$153, 2, false)</f>
        <v>17.882</v>
      </c>
      <c r="J25" s="15">
        <f t="shared" si="1"/>
        <v>0.1554665288</v>
      </c>
    </row>
    <row r="26">
      <c r="A26" s="13" t="s">
        <v>97</v>
      </c>
      <c r="B26" s="13" t="s">
        <v>45</v>
      </c>
      <c r="C26" s="13" t="s">
        <v>98</v>
      </c>
      <c r="D26" s="13" t="s">
        <v>82</v>
      </c>
      <c r="E26" s="13" t="s">
        <v>16</v>
      </c>
      <c r="F26" s="14">
        <v>12.708</v>
      </c>
      <c r="G26" s="14">
        <v>15.244</v>
      </c>
      <c r="H26" s="14">
        <f>VLOOKUP(A26,'Grassets Tech'!$C$1:$E$153, 2, false)</f>
        <v>14.145</v>
      </c>
      <c r="J26" s="15">
        <f t="shared" si="1"/>
        <v>-0.0720939386</v>
      </c>
    </row>
    <row r="27">
      <c r="A27" s="13" t="s">
        <v>99</v>
      </c>
      <c r="B27" s="13" t="s">
        <v>45</v>
      </c>
      <c r="C27" s="13" t="s">
        <v>100</v>
      </c>
      <c r="D27" s="13" t="s">
        <v>71</v>
      </c>
      <c r="E27" s="13" t="s">
        <v>16</v>
      </c>
      <c r="F27" s="14">
        <v>12.61</v>
      </c>
      <c r="G27" s="14">
        <v>15.385</v>
      </c>
      <c r="H27" s="14">
        <f>VLOOKUP(A27,'Grassets Tech'!$C$1:$E$153, 2, false)</f>
        <v>18.163</v>
      </c>
      <c r="J27" s="15">
        <f t="shared" si="1"/>
        <v>0.1805654859</v>
      </c>
    </row>
    <row r="28">
      <c r="A28" s="13" t="s">
        <v>101</v>
      </c>
      <c r="B28" s="13" t="s">
        <v>45</v>
      </c>
      <c r="C28" s="13" t="s">
        <v>102</v>
      </c>
      <c r="D28" s="13" t="s">
        <v>103</v>
      </c>
      <c r="E28" s="13" t="s">
        <v>32</v>
      </c>
      <c r="F28" s="14">
        <v>0.087</v>
      </c>
      <c r="G28" s="14">
        <v>29.544</v>
      </c>
      <c r="H28" s="14">
        <f>VLOOKUP(A28,'Grassets Tech'!$C$1:$E$153, 2, false)</f>
        <v>13.077</v>
      </c>
      <c r="I28" s="6"/>
      <c r="J28" s="15">
        <f t="shared" si="1"/>
        <v>-0.5573720552</v>
      </c>
    </row>
    <row r="29">
      <c r="A29" s="13" t="s">
        <v>104</v>
      </c>
      <c r="B29" s="13" t="s">
        <v>45</v>
      </c>
      <c r="C29" s="13" t="s">
        <v>105</v>
      </c>
      <c r="D29" s="13" t="s">
        <v>54</v>
      </c>
      <c r="E29" s="13" t="s">
        <v>30</v>
      </c>
      <c r="F29" s="14">
        <v>18.411</v>
      </c>
      <c r="G29" s="14">
        <v>37.737</v>
      </c>
      <c r="H29" s="14">
        <f>VLOOKUP(A29,'Grassets Tech'!$C$1:$E$153, 2, false)</f>
        <v>21.907</v>
      </c>
      <c r="I29" s="6"/>
      <c r="J29" s="15">
        <f t="shared" si="1"/>
        <v>-0.4194822058</v>
      </c>
    </row>
    <row r="30">
      <c r="A30" s="13" t="s">
        <v>106</v>
      </c>
      <c r="B30" s="13" t="s">
        <v>56</v>
      </c>
      <c r="C30" s="13"/>
      <c r="D30" s="13" t="s">
        <v>107</v>
      </c>
      <c r="E30" s="13" t="s">
        <v>16</v>
      </c>
      <c r="F30" s="14">
        <v>12.988</v>
      </c>
      <c r="G30" s="14">
        <v>15.243</v>
      </c>
      <c r="H30" s="14">
        <f>VLOOKUP(A30,'Grassets Tech'!$C$1:$E$153, 2, false)</f>
        <v>17.891</v>
      </c>
      <c r="J30" s="15">
        <f t="shared" si="1"/>
        <v>0.1737190842</v>
      </c>
    </row>
    <row r="31">
      <c r="A31" s="13" t="s">
        <v>108</v>
      </c>
      <c r="B31" s="13" t="s">
        <v>56</v>
      </c>
      <c r="C31" s="13"/>
      <c r="D31" s="13" t="s">
        <v>107</v>
      </c>
      <c r="E31" s="13" t="s">
        <v>16</v>
      </c>
      <c r="F31" s="14">
        <v>12.835</v>
      </c>
      <c r="G31" s="14">
        <v>15.173</v>
      </c>
      <c r="H31" s="14">
        <f>VLOOKUP(A31,'Grassets Tech'!$C$1:$E$153, 2, false)</f>
        <v>13.87</v>
      </c>
      <c r="J31" s="15">
        <f t="shared" si="1"/>
        <v>-0.08587622751</v>
      </c>
    </row>
    <row r="32">
      <c r="A32" s="13" t="s">
        <v>109</v>
      </c>
      <c r="B32" s="13" t="s">
        <v>45</v>
      </c>
      <c r="C32" s="13" t="s">
        <v>110</v>
      </c>
      <c r="D32" s="13" t="s">
        <v>107</v>
      </c>
      <c r="E32" s="13" t="s">
        <v>16</v>
      </c>
      <c r="F32" s="14">
        <v>12.876</v>
      </c>
      <c r="G32" s="14">
        <v>15.028</v>
      </c>
      <c r="H32" s="14">
        <f>VLOOKUP(A32,'Grassets Tech'!$C$1:$E$153, 2, false)</f>
        <v>17.922</v>
      </c>
      <c r="J32" s="15">
        <f t="shared" si="1"/>
        <v>0.1925738621</v>
      </c>
    </row>
    <row r="33">
      <c r="A33" s="13" t="s">
        <v>111</v>
      </c>
      <c r="B33" s="13" t="s">
        <v>45</v>
      </c>
      <c r="C33" s="13" t="s">
        <v>112</v>
      </c>
      <c r="D33" s="13" t="s">
        <v>107</v>
      </c>
      <c r="E33" s="13" t="s">
        <v>16</v>
      </c>
      <c r="F33" s="14">
        <v>12.985</v>
      </c>
      <c r="G33" s="14">
        <v>15.063</v>
      </c>
      <c r="H33" s="14">
        <f>VLOOKUP(A33,'Grassets Tech'!$C$1:$E$153, 2, false)</f>
        <v>15.585</v>
      </c>
      <c r="J33" s="15">
        <f t="shared" si="1"/>
        <v>0.0346544513</v>
      </c>
    </row>
    <row r="34">
      <c r="A34" s="13" t="s">
        <v>113</v>
      </c>
      <c r="B34" s="13" t="s">
        <v>45</v>
      </c>
      <c r="C34" s="13" t="s">
        <v>114</v>
      </c>
      <c r="D34" s="13" t="s">
        <v>107</v>
      </c>
      <c r="E34" s="13" t="s">
        <v>16</v>
      </c>
      <c r="F34" s="14">
        <v>12.856</v>
      </c>
      <c r="G34" s="14">
        <v>15.037</v>
      </c>
      <c r="H34" s="14">
        <f>VLOOKUP(A34,'Grassets Tech'!$C$1:$E$153, 2, false)</f>
        <v>13.113</v>
      </c>
      <c r="J34" s="15">
        <f t="shared" si="1"/>
        <v>-0.1279510541</v>
      </c>
    </row>
    <row r="35">
      <c r="A35" s="13" t="s">
        <v>115</v>
      </c>
      <c r="B35" s="13" t="s">
        <v>45</v>
      </c>
      <c r="C35" s="13" t="s">
        <v>116</v>
      </c>
      <c r="D35" s="13" t="s">
        <v>117</v>
      </c>
      <c r="E35" s="13" t="s">
        <v>23</v>
      </c>
      <c r="F35" s="14">
        <v>104.054</v>
      </c>
      <c r="G35" s="14">
        <v>94.812</v>
      </c>
      <c r="H35" s="14">
        <f>VLOOKUP(A35,'Grassets Tech'!$C$1:$E$153, 2, false)</f>
        <v>98.276</v>
      </c>
      <c r="I35" s="6"/>
      <c r="J35" s="15">
        <f t="shared" si="1"/>
        <v>0.03653545965</v>
      </c>
    </row>
    <row r="36">
      <c r="A36" s="13" t="s">
        <v>118</v>
      </c>
      <c r="B36" s="13" t="s">
        <v>45</v>
      </c>
      <c r="C36" s="13" t="s">
        <v>119</v>
      </c>
      <c r="D36" s="13" t="s">
        <v>107</v>
      </c>
      <c r="E36" s="13" t="s">
        <v>16</v>
      </c>
      <c r="F36" s="14">
        <v>13.011</v>
      </c>
      <c r="G36" s="14">
        <v>15.166</v>
      </c>
      <c r="H36" s="14">
        <f>VLOOKUP(A36,'Grassets Tech'!$C$1:$E$153, 2, false)</f>
        <v>17.611</v>
      </c>
      <c r="J36" s="15">
        <f t="shared" si="1"/>
        <v>0.1612158776</v>
      </c>
    </row>
    <row r="37">
      <c r="A37" s="13" t="s">
        <v>120</v>
      </c>
      <c r="B37" s="13" t="s">
        <v>45</v>
      </c>
      <c r="C37" s="13" t="s">
        <v>121</v>
      </c>
      <c r="D37" s="13" t="s">
        <v>107</v>
      </c>
      <c r="E37" s="13" t="s">
        <v>16</v>
      </c>
      <c r="F37" s="14">
        <v>12.852</v>
      </c>
      <c r="G37" s="14">
        <v>15.142</v>
      </c>
      <c r="H37" s="14">
        <f>VLOOKUP(A37,'Grassets Tech'!$C$1:$E$153, 2, false)</f>
        <v>13.211</v>
      </c>
      <c r="J37" s="15">
        <f t="shared" si="1"/>
        <v>-0.1275260864</v>
      </c>
    </row>
    <row r="38">
      <c r="A38" s="13" t="s">
        <v>122</v>
      </c>
      <c r="B38" s="13" t="s">
        <v>45</v>
      </c>
      <c r="C38" s="13" t="s">
        <v>123</v>
      </c>
      <c r="D38" s="13" t="s">
        <v>54</v>
      </c>
      <c r="E38" s="13" t="s">
        <v>29</v>
      </c>
      <c r="F38" s="14">
        <v>18.575</v>
      </c>
      <c r="G38" s="14">
        <v>31.768</v>
      </c>
      <c r="H38" s="14">
        <f>VLOOKUP(A38,'Grassets Tech'!$C$1:$E$153, 2, false)</f>
        <v>22.197</v>
      </c>
      <c r="I38" s="6"/>
      <c r="J38" s="15">
        <f t="shared" si="1"/>
        <v>-0.3012780156</v>
      </c>
    </row>
    <row r="39">
      <c r="A39" s="13" t="s">
        <v>124</v>
      </c>
      <c r="B39" s="13" t="s">
        <v>45</v>
      </c>
      <c r="C39" s="13" t="s">
        <v>125</v>
      </c>
      <c r="D39" s="13" t="s">
        <v>126</v>
      </c>
      <c r="E39" s="13" t="s">
        <v>17</v>
      </c>
      <c r="F39" s="14">
        <v>257.605</v>
      </c>
      <c r="G39" s="14">
        <v>248.009</v>
      </c>
      <c r="H39" s="14">
        <f>VLOOKUP(A39,'Grassets Tech'!$C$1:$E$153, 2, false)</f>
        <v>264.084</v>
      </c>
      <c r="I39" s="6"/>
      <c r="J39" s="15">
        <f t="shared" si="1"/>
        <v>0.06481619619</v>
      </c>
    </row>
    <row r="40">
      <c r="A40" s="13" t="s">
        <v>127</v>
      </c>
      <c r="B40" s="13" t="s">
        <v>56</v>
      </c>
      <c r="C40" s="13"/>
      <c r="D40" s="13" t="s">
        <v>107</v>
      </c>
      <c r="E40" s="13" t="s">
        <v>16</v>
      </c>
      <c r="F40" s="14">
        <v>12.825</v>
      </c>
      <c r="G40" s="14">
        <v>15.308</v>
      </c>
      <c r="H40" s="14">
        <f>VLOOKUP(A40,'Grassets Tech'!$C$1:$E$153, 2, false)</f>
        <v>17.654</v>
      </c>
      <c r="J40" s="15">
        <f t="shared" si="1"/>
        <v>0.1532532009</v>
      </c>
    </row>
    <row r="41">
      <c r="A41" s="13" t="s">
        <v>128</v>
      </c>
      <c r="B41" s="13" t="s">
        <v>56</v>
      </c>
      <c r="C41" s="13"/>
      <c r="D41" s="13" t="s">
        <v>117</v>
      </c>
      <c r="E41" s="13" t="s">
        <v>23</v>
      </c>
      <c r="F41" s="14">
        <v>103.966</v>
      </c>
      <c r="G41" s="14">
        <v>95.016</v>
      </c>
      <c r="H41" s="14">
        <f>VLOOKUP(A41,'Grassets Tech'!$C$1:$E$153, 2, false)</f>
        <v>99.286</v>
      </c>
      <c r="I41" s="6"/>
      <c r="J41" s="15">
        <f t="shared" si="1"/>
        <v>0.04493979961</v>
      </c>
    </row>
    <row r="42">
      <c r="A42" s="13" t="s">
        <v>129</v>
      </c>
      <c r="B42" s="13" t="s">
        <v>45</v>
      </c>
      <c r="C42" s="13" t="s">
        <v>130</v>
      </c>
      <c r="D42" s="13" t="s">
        <v>54</v>
      </c>
      <c r="E42" s="13" t="s">
        <v>29</v>
      </c>
      <c r="F42" s="14">
        <v>18.686</v>
      </c>
      <c r="G42" s="14">
        <v>31.81</v>
      </c>
      <c r="H42" s="14">
        <f>VLOOKUP(A42,'Grassets Tech'!$C$1:$E$153, 2, false)</f>
        <v>25.982</v>
      </c>
      <c r="I42" s="6"/>
      <c r="J42" s="15">
        <f t="shared" si="1"/>
        <v>-0.1832128262</v>
      </c>
    </row>
    <row r="43">
      <c r="A43" s="13" t="s">
        <v>131</v>
      </c>
      <c r="B43" s="13" t="s">
        <v>45</v>
      </c>
      <c r="C43" s="13" t="s">
        <v>132</v>
      </c>
      <c r="D43" s="13" t="s">
        <v>54</v>
      </c>
      <c r="E43" s="13" t="s">
        <v>29</v>
      </c>
      <c r="F43" s="14">
        <v>18.701</v>
      </c>
      <c r="G43" s="14">
        <v>32.329</v>
      </c>
      <c r="H43" s="14">
        <f>VLOOKUP(A43,'Grassets Tech'!$C$1:$E$153, 2, false)</f>
        <v>26.631</v>
      </c>
      <c r="I43" s="6"/>
      <c r="J43" s="15">
        <f t="shared" si="1"/>
        <v>-0.1762504253</v>
      </c>
    </row>
    <row r="44">
      <c r="A44" s="13" t="s">
        <v>133</v>
      </c>
      <c r="B44" s="13" t="s">
        <v>56</v>
      </c>
      <c r="C44" s="13"/>
      <c r="D44" s="13" t="s">
        <v>54</v>
      </c>
      <c r="E44" s="13" t="s">
        <v>29</v>
      </c>
      <c r="F44" s="14">
        <v>18.526</v>
      </c>
      <c r="G44" s="14">
        <v>31.844</v>
      </c>
      <c r="H44" s="14">
        <f>VLOOKUP(A44,'Grassets Tech'!$C$1:$E$153, 2, false)</f>
        <v>27.328</v>
      </c>
      <c r="I44" s="6"/>
      <c r="J44" s="15">
        <f t="shared" si="1"/>
        <v>-0.1418163547</v>
      </c>
    </row>
    <row r="45">
      <c r="A45" s="13" t="s">
        <v>134</v>
      </c>
      <c r="B45" s="13" t="s">
        <v>45</v>
      </c>
      <c r="C45" s="13" t="s">
        <v>135</v>
      </c>
      <c r="D45" s="13" t="s">
        <v>107</v>
      </c>
      <c r="E45" s="13" t="s">
        <v>16</v>
      </c>
      <c r="F45" s="14">
        <v>12.837</v>
      </c>
      <c r="G45" s="14">
        <v>15.205</v>
      </c>
      <c r="H45" s="14">
        <f>VLOOKUP(A45,'Grassets Tech'!$C$1:$E$153, 2, false)</f>
        <v>13.48</v>
      </c>
      <c r="J45" s="15">
        <f t="shared" si="1"/>
        <v>-0.1134495232</v>
      </c>
    </row>
    <row r="46">
      <c r="A46" s="13" t="s">
        <v>136</v>
      </c>
      <c r="B46" s="13" t="s">
        <v>45</v>
      </c>
      <c r="C46" s="13" t="s">
        <v>137</v>
      </c>
      <c r="D46" s="13" t="s">
        <v>138</v>
      </c>
      <c r="E46" s="13" t="s">
        <v>15</v>
      </c>
      <c r="F46" s="14">
        <v>239.041</v>
      </c>
      <c r="G46" s="14">
        <v>216.404</v>
      </c>
      <c r="H46" s="14">
        <f>VLOOKUP(A46,'Grassets Tech'!$C$1:$E$153, 2, false)</f>
        <v>257.687</v>
      </c>
      <c r="I46" s="6"/>
      <c r="J46" s="15">
        <f t="shared" si="1"/>
        <v>0.1907681928</v>
      </c>
    </row>
    <row r="47">
      <c r="A47" s="13" t="s">
        <v>139</v>
      </c>
      <c r="B47" s="13" t="s">
        <v>45</v>
      </c>
      <c r="C47" s="13" t="s">
        <v>140</v>
      </c>
      <c r="D47" s="13" t="s">
        <v>138</v>
      </c>
      <c r="E47" s="13" t="s">
        <v>15</v>
      </c>
      <c r="F47" s="14">
        <v>242.764</v>
      </c>
      <c r="G47" s="14">
        <v>215.013</v>
      </c>
      <c r="H47" s="14">
        <f>VLOOKUP(A47,'Grassets Tech'!$C$1:$E$153, 2, false)</f>
        <v>255.714</v>
      </c>
      <c r="I47" s="6"/>
      <c r="J47" s="15">
        <f t="shared" si="1"/>
        <v>0.189295531</v>
      </c>
    </row>
    <row r="48">
      <c r="A48" s="13" t="s">
        <v>141</v>
      </c>
      <c r="B48" s="13" t="s">
        <v>56</v>
      </c>
      <c r="C48" s="13"/>
      <c r="D48" s="13" t="s">
        <v>142</v>
      </c>
      <c r="E48" s="13" t="s">
        <v>27</v>
      </c>
      <c r="F48" s="14">
        <v>48.953</v>
      </c>
      <c r="G48" s="14">
        <v>59.358</v>
      </c>
      <c r="H48" s="14">
        <f>VLOOKUP(A48,'Grassets Tech'!$C$1:$E$153, 2, false)</f>
        <v>43.51</v>
      </c>
      <c r="I48" s="6"/>
      <c r="J48" s="15">
        <f t="shared" si="1"/>
        <v>-0.2669901277</v>
      </c>
    </row>
    <row r="49">
      <c r="A49" s="13" t="s">
        <v>143</v>
      </c>
      <c r="B49" s="13" t="s">
        <v>45</v>
      </c>
      <c r="C49" s="13" t="s">
        <v>144</v>
      </c>
      <c r="D49" s="13" t="s">
        <v>145</v>
      </c>
      <c r="E49" s="13" t="s">
        <v>23</v>
      </c>
      <c r="F49" s="14">
        <v>103.173</v>
      </c>
      <c r="G49" s="14">
        <v>95.057</v>
      </c>
      <c r="H49" s="14">
        <f>VLOOKUP(A49,'Grassets Tech'!$C$1:$E$153, 2, false)</f>
        <v>104.902</v>
      </c>
      <c r="I49" s="6"/>
      <c r="J49" s="15">
        <f t="shared" si="1"/>
        <v>0.1035694373</v>
      </c>
    </row>
    <row r="50">
      <c r="A50" s="13" t="s">
        <v>146</v>
      </c>
      <c r="B50" s="13" t="s">
        <v>56</v>
      </c>
      <c r="C50" s="13"/>
      <c r="D50" s="13" t="s">
        <v>147</v>
      </c>
      <c r="E50" s="13" t="s">
        <v>23</v>
      </c>
      <c r="F50" s="14">
        <v>96.297</v>
      </c>
      <c r="G50" s="14">
        <v>93.833</v>
      </c>
      <c r="H50" s="14">
        <f>VLOOKUP(A50,'Grassets Tech'!$C$1:$E$153, 2, false)</f>
        <v>101.235</v>
      </c>
      <c r="I50" s="6"/>
      <c r="J50" s="15">
        <f t="shared" si="1"/>
        <v>0.0788848273</v>
      </c>
    </row>
    <row r="51">
      <c r="A51" s="13" t="s">
        <v>148</v>
      </c>
      <c r="B51" s="13" t="s">
        <v>45</v>
      </c>
      <c r="C51" s="13" t="s">
        <v>149</v>
      </c>
      <c r="D51" s="13" t="s">
        <v>71</v>
      </c>
      <c r="E51" s="13" t="s">
        <v>16</v>
      </c>
      <c r="F51" s="14">
        <v>13.238</v>
      </c>
      <c r="G51" s="14">
        <v>15.563</v>
      </c>
      <c r="H51" s="14">
        <f>VLOOKUP(A51,'Grassets Tech'!$C$1:$E$153, 2, false)</f>
        <v>20.384</v>
      </c>
      <c r="J51" s="15">
        <f t="shared" si="1"/>
        <v>0.30977318</v>
      </c>
    </row>
    <row r="52">
      <c r="A52" s="13" t="s">
        <v>150</v>
      </c>
      <c r="B52" s="13" t="s">
        <v>45</v>
      </c>
      <c r="C52" s="13" t="s">
        <v>151</v>
      </c>
      <c r="D52" s="13" t="s">
        <v>71</v>
      </c>
      <c r="E52" s="13" t="s">
        <v>16</v>
      </c>
      <c r="F52" s="14">
        <v>13.399</v>
      </c>
      <c r="G52" s="14">
        <v>15.738</v>
      </c>
      <c r="H52" s="14">
        <f>VLOOKUP(A52,'Grassets Tech'!$C$1:$E$153, 2, false)</f>
        <v>21.514</v>
      </c>
      <c r="J52" s="15">
        <f t="shared" si="1"/>
        <v>0.3670097852</v>
      </c>
    </row>
    <row r="53">
      <c r="A53" s="13" t="s">
        <v>152</v>
      </c>
      <c r="B53" s="13" t="s">
        <v>45</v>
      </c>
      <c r="C53" s="13" t="s">
        <v>153</v>
      </c>
      <c r="D53" s="13" t="s">
        <v>71</v>
      </c>
      <c r="E53" s="13" t="s">
        <v>16</v>
      </c>
      <c r="F53" s="14">
        <v>13.238</v>
      </c>
      <c r="G53" s="14">
        <v>15.578</v>
      </c>
      <c r="H53" s="14">
        <f>VLOOKUP(A53,'Grassets Tech'!$C$1:$E$153, 2, false)</f>
        <v>13.964</v>
      </c>
      <c r="J53" s="15">
        <f t="shared" si="1"/>
        <v>-0.1036076518</v>
      </c>
    </row>
    <row r="54">
      <c r="A54" s="13" t="s">
        <v>154</v>
      </c>
      <c r="B54" s="13" t="s">
        <v>45</v>
      </c>
      <c r="C54" s="13" t="s">
        <v>155</v>
      </c>
      <c r="D54" s="13" t="s">
        <v>156</v>
      </c>
      <c r="E54" s="13" t="s">
        <v>18</v>
      </c>
      <c r="F54" s="14">
        <v>27.314</v>
      </c>
      <c r="G54" s="14">
        <v>27.425</v>
      </c>
      <c r="H54" s="14">
        <f>VLOOKUP(A54,'Grassets Tech'!$C$1:$E$153, 2, false)</f>
        <v>28.501</v>
      </c>
      <c r="I54" s="6"/>
      <c r="J54" s="15">
        <f t="shared" si="1"/>
        <v>0.0392342753</v>
      </c>
    </row>
    <row r="55">
      <c r="A55" s="13" t="s">
        <v>157</v>
      </c>
      <c r="B55" s="13" t="s">
        <v>56</v>
      </c>
      <c r="C55" s="13"/>
      <c r="D55" s="13" t="s">
        <v>12</v>
      </c>
      <c r="E55" s="13" t="s">
        <v>12</v>
      </c>
      <c r="F55" s="14">
        <v>251.127</v>
      </c>
      <c r="G55" s="14">
        <v>181.207</v>
      </c>
      <c r="H55" s="14">
        <f>VLOOKUP(A55,'Grassets Tech'!$C$1:$E$153, 2, false)</f>
        <v>273.832</v>
      </c>
      <c r="I55" s="6"/>
      <c r="J55" s="15">
        <f t="shared" si="1"/>
        <v>0.5111557501</v>
      </c>
    </row>
    <row r="56">
      <c r="A56" s="13" t="s">
        <v>158</v>
      </c>
      <c r="B56" s="13" t="s">
        <v>45</v>
      </c>
      <c r="C56" s="13" t="s">
        <v>159</v>
      </c>
      <c r="D56" s="13" t="s">
        <v>12</v>
      </c>
      <c r="E56" s="13" t="s">
        <v>12</v>
      </c>
      <c r="F56" s="14">
        <v>247.504</v>
      </c>
      <c r="G56" s="14">
        <v>181.221</v>
      </c>
      <c r="H56" s="14">
        <f>VLOOKUP(A56,'Grassets Tech'!$C$1:$E$153, 2, false)</f>
        <v>267.348</v>
      </c>
      <c r="I56" s="6"/>
      <c r="J56" s="15">
        <f t="shared" si="1"/>
        <v>0.4752594898</v>
      </c>
    </row>
    <row r="57">
      <c r="A57" s="13" t="s">
        <v>160</v>
      </c>
      <c r="B57" s="13" t="s">
        <v>45</v>
      </c>
      <c r="C57" s="13" t="s">
        <v>161</v>
      </c>
      <c r="D57" s="13" t="s">
        <v>54</v>
      </c>
      <c r="E57" s="13" t="s">
        <v>30</v>
      </c>
      <c r="F57" s="14">
        <v>19.387</v>
      </c>
      <c r="G57" s="14">
        <v>32.168</v>
      </c>
      <c r="H57" s="14">
        <f>VLOOKUP(A57,'Grassets Tech'!$C$1:$E$153, 2, false)</f>
        <v>24.697</v>
      </c>
      <c r="I57" s="6"/>
      <c r="J57" s="15">
        <f t="shared" si="1"/>
        <v>-0.2322494404</v>
      </c>
    </row>
    <row r="58">
      <c r="A58" s="13" t="s">
        <v>162</v>
      </c>
      <c r="B58" s="13" t="s">
        <v>45</v>
      </c>
      <c r="C58" s="13" t="s">
        <v>163</v>
      </c>
      <c r="D58" s="13" t="s">
        <v>164</v>
      </c>
      <c r="E58" s="13" t="s">
        <v>28</v>
      </c>
      <c r="F58" s="14">
        <v>170.392</v>
      </c>
      <c r="G58" s="14">
        <v>214.565</v>
      </c>
      <c r="H58" s="14">
        <f>VLOOKUP(A58,'Grassets Tech'!$C$1:$E$153, 2, false)</f>
        <v>178.998</v>
      </c>
      <c r="I58" s="6"/>
      <c r="J58" s="15">
        <f t="shared" si="1"/>
        <v>-0.1657632885</v>
      </c>
    </row>
    <row r="59">
      <c r="A59" s="13" t="s">
        <v>165</v>
      </c>
      <c r="B59" s="13" t="s">
        <v>45</v>
      </c>
      <c r="C59" s="13" t="s">
        <v>166</v>
      </c>
      <c r="D59" s="13" t="s">
        <v>156</v>
      </c>
      <c r="E59" s="13" t="s">
        <v>18</v>
      </c>
      <c r="F59" s="14">
        <v>26.241</v>
      </c>
      <c r="G59" s="14">
        <v>26.887</v>
      </c>
      <c r="H59" s="14">
        <f>VLOOKUP(A59,'Grassets Tech'!$C$1:$E$153, 2, false)</f>
        <v>26.897</v>
      </c>
      <c r="I59" s="6"/>
      <c r="J59" s="15">
        <f t="shared" si="1"/>
        <v>0.0003719269535</v>
      </c>
    </row>
    <row r="60">
      <c r="A60" s="13" t="s">
        <v>167</v>
      </c>
      <c r="B60" s="13" t="s">
        <v>45</v>
      </c>
      <c r="C60" s="13" t="s">
        <v>168</v>
      </c>
      <c r="D60" s="13" t="s">
        <v>156</v>
      </c>
      <c r="E60" s="13" t="s">
        <v>18</v>
      </c>
      <c r="F60" s="14">
        <v>29.941</v>
      </c>
      <c r="G60" s="14">
        <v>26.799</v>
      </c>
      <c r="H60" s="14">
        <f>VLOOKUP(A60,'Grassets Tech'!$C$1:$E$153, 2, false)</f>
        <v>29.628</v>
      </c>
      <c r="I60" s="6"/>
      <c r="J60" s="15">
        <f t="shared" si="1"/>
        <v>0.1055636404</v>
      </c>
    </row>
    <row r="61">
      <c r="A61" s="13" t="s">
        <v>169</v>
      </c>
      <c r="B61" s="13" t="s">
        <v>45</v>
      </c>
      <c r="C61" s="13" t="s">
        <v>170</v>
      </c>
      <c r="D61" s="13" t="s">
        <v>156</v>
      </c>
      <c r="E61" s="13" t="s">
        <v>18</v>
      </c>
      <c r="F61" s="14">
        <v>27.341</v>
      </c>
      <c r="G61" s="14">
        <v>28.074</v>
      </c>
      <c r="H61" s="14">
        <f>VLOOKUP(A61,'Grassets Tech'!$C$1:$E$153, 2, false)</f>
        <v>30.315</v>
      </c>
      <c r="I61" s="6"/>
      <c r="J61" s="15">
        <f t="shared" si="1"/>
        <v>0.07982474888</v>
      </c>
    </row>
    <row r="62">
      <c r="A62" s="13" t="s">
        <v>171</v>
      </c>
      <c r="B62" s="13" t="s">
        <v>56</v>
      </c>
      <c r="C62" s="13"/>
      <c r="D62" s="13" t="s">
        <v>69</v>
      </c>
      <c r="E62" s="13" t="s">
        <v>23</v>
      </c>
      <c r="F62" s="14">
        <v>138.1</v>
      </c>
      <c r="G62" s="14">
        <v>192.491</v>
      </c>
      <c r="H62" s="14">
        <f>VLOOKUP(A62,'Grassets Tech'!$C$1:$E$153, 2, false)</f>
        <v>130.43</v>
      </c>
      <c r="I62" s="6"/>
      <c r="J62" s="15">
        <f t="shared" si="1"/>
        <v>-0.3224098789</v>
      </c>
    </row>
    <row r="63">
      <c r="A63" s="13" t="s">
        <v>172</v>
      </c>
      <c r="B63" s="13" t="s">
        <v>45</v>
      </c>
      <c r="C63" s="13" t="s">
        <v>173</v>
      </c>
      <c r="D63" s="13" t="s">
        <v>12</v>
      </c>
      <c r="E63" s="13" t="s">
        <v>12</v>
      </c>
      <c r="F63" s="14">
        <v>253.19</v>
      </c>
      <c r="G63" s="14">
        <v>181.217</v>
      </c>
      <c r="H63" s="14">
        <f>VLOOKUP(A63,'Grassets Tech'!$C$1:$E$153, 2, false)</f>
        <v>270.367</v>
      </c>
      <c r="I63" s="6"/>
      <c r="J63" s="15">
        <f t="shared" si="1"/>
        <v>0.4919516381</v>
      </c>
    </row>
    <row r="64">
      <c r="A64" s="13" t="s">
        <v>174</v>
      </c>
      <c r="B64" s="13" t="s">
        <v>45</v>
      </c>
      <c r="C64" s="13" t="s">
        <v>175</v>
      </c>
      <c r="D64" s="13" t="s">
        <v>176</v>
      </c>
      <c r="E64" s="13" t="s">
        <v>27</v>
      </c>
      <c r="F64" s="14">
        <v>49.895</v>
      </c>
      <c r="G64" s="14">
        <v>63.296</v>
      </c>
      <c r="H64" s="14">
        <f>VLOOKUP(A64,'Grassets Tech'!$C$1:$E$153, 2, false)</f>
        <v>60.649</v>
      </c>
      <c r="I64" s="6"/>
      <c r="J64" s="15">
        <f t="shared" si="1"/>
        <v>-0.04181938827</v>
      </c>
    </row>
    <row r="65">
      <c r="A65" s="13" t="s">
        <v>177</v>
      </c>
      <c r="B65" s="13" t="s">
        <v>45</v>
      </c>
      <c r="C65" s="13" t="s">
        <v>178</v>
      </c>
      <c r="D65" s="13" t="s">
        <v>179</v>
      </c>
      <c r="E65" s="13" t="s">
        <v>25</v>
      </c>
      <c r="F65" s="14">
        <v>20.978</v>
      </c>
      <c r="G65" s="14">
        <v>21.229</v>
      </c>
      <c r="H65" s="14">
        <f>VLOOKUP(A65,'Grassets Tech'!$C$1:$E$153, 2, false)</f>
        <v>19.908</v>
      </c>
      <c r="I65" s="6"/>
      <c r="J65" s="15">
        <f t="shared" si="1"/>
        <v>-0.06222620001</v>
      </c>
    </row>
    <row r="66">
      <c r="A66" s="13" t="s">
        <v>180</v>
      </c>
      <c r="B66" s="13" t="s">
        <v>45</v>
      </c>
      <c r="C66" s="13" t="s">
        <v>181</v>
      </c>
      <c r="D66" s="13" t="s">
        <v>182</v>
      </c>
      <c r="E66" s="13" t="s">
        <v>11</v>
      </c>
      <c r="F66" s="14">
        <v>34.773</v>
      </c>
      <c r="G66" s="14">
        <v>33.434</v>
      </c>
      <c r="H66" s="14">
        <f>VLOOKUP(A66,'Grassets Tech'!$C$1:$E$153, 2, false)</f>
        <v>49.19</v>
      </c>
      <c r="I66" s="6"/>
      <c r="J66" s="15">
        <f t="shared" si="1"/>
        <v>0.4712568045</v>
      </c>
    </row>
    <row r="67">
      <c r="A67" s="13" t="s">
        <v>183</v>
      </c>
      <c r="B67" s="13" t="s">
        <v>45</v>
      </c>
      <c r="C67" s="13" t="s">
        <v>184</v>
      </c>
      <c r="D67" s="13" t="s">
        <v>54</v>
      </c>
      <c r="E67" s="13" t="s">
        <v>30</v>
      </c>
      <c r="F67" s="14">
        <v>28.259</v>
      </c>
      <c r="G67" s="14">
        <v>31.843</v>
      </c>
      <c r="H67" s="14">
        <f>VLOOKUP(A67,'Grassets Tech'!$C$1:$E$153, 2, false)</f>
        <v>21.493</v>
      </c>
      <c r="I67" s="6"/>
      <c r="J67" s="15">
        <f t="shared" si="1"/>
        <v>-0.3250321892</v>
      </c>
    </row>
    <row r="68">
      <c r="A68" s="13" t="s">
        <v>185</v>
      </c>
      <c r="B68" s="13" t="s">
        <v>45</v>
      </c>
      <c r="C68" s="13" t="s">
        <v>186</v>
      </c>
      <c r="D68" s="13" t="s">
        <v>54</v>
      </c>
      <c r="E68" s="13" t="s">
        <v>30</v>
      </c>
      <c r="F68" s="14">
        <v>26.556</v>
      </c>
      <c r="G68" s="14">
        <v>31.727</v>
      </c>
      <c r="H68" s="14">
        <f>VLOOKUP(A68,'Grassets Tech'!$C$1:$E$153, 2, false)</f>
        <v>17.974</v>
      </c>
      <c r="I68" s="6"/>
      <c r="J68" s="15">
        <f t="shared" si="1"/>
        <v>-0.4334793709</v>
      </c>
    </row>
    <row r="69">
      <c r="A69" s="13" t="s">
        <v>187</v>
      </c>
      <c r="B69" s="13" t="s">
        <v>45</v>
      </c>
      <c r="C69" s="13" t="s">
        <v>188</v>
      </c>
      <c r="D69" s="13" t="s">
        <v>54</v>
      </c>
      <c r="E69" s="13" t="s">
        <v>30</v>
      </c>
      <c r="F69" s="14">
        <v>26.563</v>
      </c>
      <c r="G69" s="14">
        <v>31.815</v>
      </c>
      <c r="H69" s="14">
        <f>VLOOKUP(A69,'Grassets Tech'!$C$1:$E$153, 2, false)</f>
        <v>21.946</v>
      </c>
      <c r="I69" s="6"/>
      <c r="J69" s="15">
        <f t="shared" si="1"/>
        <v>-0.3101995914</v>
      </c>
    </row>
    <row r="70">
      <c r="A70" s="13" t="s">
        <v>189</v>
      </c>
      <c r="B70" s="13" t="s">
        <v>45</v>
      </c>
      <c r="C70" s="13" t="s">
        <v>190</v>
      </c>
      <c r="D70" s="13" t="s">
        <v>71</v>
      </c>
      <c r="E70" s="13" t="s">
        <v>16</v>
      </c>
      <c r="F70" s="14">
        <v>15.897</v>
      </c>
      <c r="G70" s="14">
        <v>15.244</v>
      </c>
      <c r="H70" s="14">
        <f>VLOOKUP(A70,'Grassets Tech'!$C$1:$E$153, 2, false)</f>
        <v>24.66</v>
      </c>
      <c r="J70" s="15">
        <f t="shared" si="1"/>
        <v>0.6176856468</v>
      </c>
    </row>
    <row r="71">
      <c r="A71" s="13" t="s">
        <v>191</v>
      </c>
      <c r="B71" s="13" t="s">
        <v>45</v>
      </c>
      <c r="C71" s="16" t="s">
        <v>192</v>
      </c>
      <c r="D71" s="13" t="s">
        <v>193</v>
      </c>
      <c r="E71" s="13" t="s">
        <v>30</v>
      </c>
      <c r="F71" s="14">
        <v>21.245</v>
      </c>
      <c r="G71" s="14">
        <v>33.105</v>
      </c>
      <c r="H71" s="14">
        <f>VLOOKUP(A71,'Grassets Tech'!$C$1:$E$153, 2, false)</f>
        <v>28.335</v>
      </c>
      <c r="I71" s="6"/>
      <c r="J71" s="15">
        <f t="shared" si="1"/>
        <v>-0.1440869959</v>
      </c>
    </row>
    <row r="72">
      <c r="A72" s="13" t="s">
        <v>194</v>
      </c>
      <c r="B72" s="13" t="s">
        <v>45</v>
      </c>
      <c r="C72" s="13" t="s">
        <v>195</v>
      </c>
      <c r="D72" s="13" t="s">
        <v>196</v>
      </c>
      <c r="E72" s="13" t="s">
        <v>24</v>
      </c>
      <c r="F72" s="14">
        <v>40.368</v>
      </c>
      <c r="G72" s="14">
        <v>40.698</v>
      </c>
      <c r="H72" s="14">
        <f>VLOOKUP(A72,'Grassets Tech'!$C$1:$E$153, 2, false)</f>
        <v>41.235</v>
      </c>
      <c r="I72" s="6"/>
      <c r="J72" s="15">
        <f t="shared" si="1"/>
        <v>0.01319475158</v>
      </c>
    </row>
    <row r="73">
      <c r="A73" s="13" t="s">
        <v>197</v>
      </c>
      <c r="B73" s="13" t="s">
        <v>45</v>
      </c>
      <c r="C73" s="13" t="s">
        <v>198</v>
      </c>
      <c r="D73" s="13" t="s">
        <v>196</v>
      </c>
      <c r="E73" s="13" t="s">
        <v>24</v>
      </c>
      <c r="F73" s="14">
        <v>40.37</v>
      </c>
      <c r="G73" s="14">
        <v>40.667</v>
      </c>
      <c r="H73" s="14">
        <f>VLOOKUP(A73,'Grassets Tech'!$C$1:$E$153, 2, false)</f>
        <v>37.842</v>
      </c>
      <c r="I73" s="6"/>
      <c r="J73" s="15">
        <f t="shared" si="1"/>
        <v>-0.06946664372</v>
      </c>
    </row>
    <row r="74">
      <c r="A74" s="13" t="s">
        <v>199</v>
      </c>
      <c r="B74" s="13" t="s">
        <v>45</v>
      </c>
      <c r="C74" s="13" t="s">
        <v>200</v>
      </c>
      <c r="D74" s="13" t="s">
        <v>54</v>
      </c>
      <c r="E74" s="13" t="s">
        <v>30</v>
      </c>
      <c r="F74" s="14">
        <v>19.125</v>
      </c>
      <c r="G74" s="14">
        <v>37.853</v>
      </c>
      <c r="H74" s="14">
        <f>VLOOKUP(A74,'Grassets Tech'!$C$1:$E$153, 2, false)</f>
        <v>21.095</v>
      </c>
      <c r="I74" s="6"/>
      <c r="J74" s="15">
        <f t="shared" si="1"/>
        <v>-0.4427125987</v>
      </c>
    </row>
    <row r="75">
      <c r="A75" s="13" t="s">
        <v>201</v>
      </c>
      <c r="B75" s="13" t="s">
        <v>45</v>
      </c>
      <c r="C75" s="13" t="s">
        <v>202</v>
      </c>
      <c r="D75" s="13" t="s">
        <v>54</v>
      </c>
      <c r="E75" s="13" t="s">
        <v>30</v>
      </c>
      <c r="F75" s="14">
        <v>20.232</v>
      </c>
      <c r="G75" s="14">
        <v>38.011</v>
      </c>
      <c r="H75" s="14">
        <f>VLOOKUP(A75,'Grassets Tech'!$C$1:$E$153, 2, false)</f>
        <v>23.373</v>
      </c>
      <c r="I75" s="6"/>
      <c r="J75" s="15">
        <f t="shared" si="1"/>
        <v>-0.3850990503</v>
      </c>
    </row>
    <row r="76">
      <c r="A76" s="13" t="s">
        <v>203</v>
      </c>
      <c r="B76" s="13" t="s">
        <v>56</v>
      </c>
      <c r="C76" s="13"/>
      <c r="D76" s="13" t="s">
        <v>204</v>
      </c>
      <c r="E76" s="13" t="s">
        <v>26</v>
      </c>
      <c r="F76" s="14">
        <v>26.943</v>
      </c>
      <c r="G76" s="14">
        <v>27.695</v>
      </c>
      <c r="H76" s="14">
        <f>VLOOKUP(A76,'Grassets Tech'!$C$1:$E$153, 2, false)</f>
        <v>23.928</v>
      </c>
      <c r="I76" s="6"/>
      <c r="J76" s="15">
        <f t="shared" si="1"/>
        <v>-0.1360173316</v>
      </c>
    </row>
    <row r="77">
      <c r="A77" s="13" t="s">
        <v>205</v>
      </c>
      <c r="B77" s="13" t="s">
        <v>45</v>
      </c>
      <c r="C77" s="13" t="s">
        <v>206</v>
      </c>
      <c r="D77" s="13" t="s">
        <v>156</v>
      </c>
      <c r="E77" s="13" t="s">
        <v>18</v>
      </c>
      <c r="F77" s="14">
        <v>31.669</v>
      </c>
      <c r="G77" s="14">
        <v>33.759</v>
      </c>
      <c r="H77" s="14">
        <f>VLOOKUP(A77,'Grassets Tech'!$C$1:$E$153, 2, false)</f>
        <v>30.811</v>
      </c>
      <c r="I77" s="6"/>
      <c r="J77" s="15">
        <f t="shared" si="1"/>
        <v>-0.08732486152</v>
      </c>
    </row>
    <row r="78">
      <c r="A78" s="13" t="s">
        <v>207</v>
      </c>
      <c r="B78" s="13" t="s">
        <v>45</v>
      </c>
      <c r="C78" s="13" t="s">
        <v>208</v>
      </c>
      <c r="D78" s="13" t="s">
        <v>209</v>
      </c>
      <c r="E78" s="13" t="s">
        <v>21</v>
      </c>
      <c r="F78" s="14">
        <v>52.349</v>
      </c>
      <c r="G78" s="14">
        <v>52.362</v>
      </c>
      <c r="H78" s="14">
        <f>VLOOKUP(A78,'Grassets Tech'!$C$1:$E$153, 2, false)</f>
        <v>50.368</v>
      </c>
      <c r="I78" s="6"/>
      <c r="J78" s="15">
        <f t="shared" si="1"/>
        <v>-0.03808105114</v>
      </c>
    </row>
    <row r="79">
      <c r="A79" s="13" t="s">
        <v>210</v>
      </c>
      <c r="B79" s="13" t="s">
        <v>45</v>
      </c>
      <c r="C79" s="13" t="s">
        <v>211</v>
      </c>
      <c r="D79" s="13" t="s">
        <v>212</v>
      </c>
      <c r="E79" s="13" t="s">
        <v>31</v>
      </c>
      <c r="F79" s="14">
        <v>20.035</v>
      </c>
      <c r="G79" s="14">
        <v>43.491</v>
      </c>
      <c r="H79" s="14">
        <f>VLOOKUP(A79,'Grassets Tech'!$C$1:$E$153, 2, false)</f>
        <v>25.09</v>
      </c>
      <c r="I79" s="6"/>
      <c r="J79" s="15">
        <f t="shared" si="1"/>
        <v>-0.423099032</v>
      </c>
    </row>
    <row r="80">
      <c r="A80" s="13" t="s">
        <v>213</v>
      </c>
      <c r="B80" s="13" t="s">
        <v>45</v>
      </c>
      <c r="C80" s="13" t="s">
        <v>214</v>
      </c>
      <c r="D80" s="13" t="s">
        <v>63</v>
      </c>
      <c r="E80" s="13" t="s">
        <v>26</v>
      </c>
      <c r="F80" s="14">
        <v>23.69</v>
      </c>
      <c r="G80" s="14">
        <v>22.882</v>
      </c>
      <c r="H80" s="14">
        <f>VLOOKUP(A80,'Grassets Tech'!$C$1:$E$153, 2, false)</f>
        <v>22.945</v>
      </c>
      <c r="I80" s="6"/>
      <c r="J80" s="15">
        <f t="shared" si="1"/>
        <v>0.002753255834</v>
      </c>
    </row>
    <row r="81">
      <c r="A81" s="13" t="s">
        <v>215</v>
      </c>
      <c r="B81" s="13" t="s">
        <v>45</v>
      </c>
      <c r="C81" s="13" t="s">
        <v>216</v>
      </c>
      <c r="D81" s="13" t="s">
        <v>217</v>
      </c>
      <c r="E81" s="13" t="s">
        <v>22</v>
      </c>
      <c r="F81" s="14">
        <v>177.938</v>
      </c>
      <c r="G81" s="14">
        <v>174.209</v>
      </c>
      <c r="H81" s="14">
        <f>VLOOKUP(A81,'Grassets Tech'!$C$1:$E$153, 2, false)</f>
        <v>183.536</v>
      </c>
      <c r="I81" s="6"/>
      <c r="J81" s="15">
        <f t="shared" si="1"/>
        <v>0.05353913977</v>
      </c>
    </row>
    <row r="82">
      <c r="A82" s="13" t="s">
        <v>218</v>
      </c>
      <c r="B82" s="13" t="s">
        <v>45</v>
      </c>
      <c r="C82" s="13" t="s">
        <v>219</v>
      </c>
      <c r="D82" s="13" t="s">
        <v>220</v>
      </c>
      <c r="E82" s="13" t="s">
        <v>13</v>
      </c>
      <c r="F82" s="14">
        <v>212.524</v>
      </c>
      <c r="G82" s="14">
        <v>211.208</v>
      </c>
      <c r="H82" s="14">
        <f>VLOOKUP(A82,'Grassets Tech'!$C$1:$E$153, 2, false)</f>
        <v>262.331</v>
      </c>
      <c r="I82" s="6"/>
      <c r="J82" s="15">
        <f t="shared" si="1"/>
        <v>0.2420504905</v>
      </c>
    </row>
    <row r="83">
      <c r="A83" s="13" t="s">
        <v>221</v>
      </c>
      <c r="B83" s="13" t="s">
        <v>45</v>
      </c>
      <c r="C83" s="13" t="s">
        <v>222</v>
      </c>
      <c r="D83" s="13" t="s">
        <v>223</v>
      </c>
      <c r="E83" s="13" t="s">
        <v>18</v>
      </c>
      <c r="F83" s="14">
        <v>27.112</v>
      </c>
      <c r="G83" s="14">
        <v>27.982</v>
      </c>
      <c r="H83" s="14">
        <f>VLOOKUP(A83,'Grassets Tech'!$C$1:$E$153, 2, false)</f>
        <v>34.208</v>
      </c>
      <c r="I83" s="6"/>
      <c r="J83" s="15">
        <f t="shared" si="1"/>
        <v>0.2225001787</v>
      </c>
    </row>
    <row r="84">
      <c r="A84" s="13" t="s">
        <v>224</v>
      </c>
      <c r="B84" s="13" t="s">
        <v>45</v>
      </c>
      <c r="C84" s="13" t="s">
        <v>225</v>
      </c>
      <c r="D84" s="13" t="s">
        <v>164</v>
      </c>
      <c r="E84" s="13" t="s">
        <v>28</v>
      </c>
      <c r="F84" s="14">
        <v>165.63</v>
      </c>
      <c r="G84" s="14">
        <v>214.454</v>
      </c>
      <c r="H84" s="14">
        <f>VLOOKUP(A84,'Grassets Tech'!$C$1:$E$153, 2, false)</f>
        <v>185.749</v>
      </c>
      <c r="I84" s="6"/>
      <c r="J84" s="15">
        <f t="shared" si="1"/>
        <v>-0.1338515486</v>
      </c>
    </row>
    <row r="85">
      <c r="A85" s="13" t="s">
        <v>226</v>
      </c>
      <c r="B85" s="13" t="s">
        <v>45</v>
      </c>
      <c r="C85" s="13" t="s">
        <v>227</v>
      </c>
      <c r="D85" s="13" t="s">
        <v>164</v>
      </c>
      <c r="E85" s="13" t="s">
        <v>28</v>
      </c>
      <c r="F85" s="14">
        <v>165.619</v>
      </c>
      <c r="G85" s="14">
        <v>214.433</v>
      </c>
      <c r="H85" s="14">
        <f>VLOOKUP(A85,'Grassets Tech'!$C$1:$E$153, 2, false)</f>
        <v>184.488</v>
      </c>
      <c r="I85" s="6"/>
      <c r="J85" s="15">
        <f t="shared" si="1"/>
        <v>-0.1396473491</v>
      </c>
    </row>
    <row r="86">
      <c r="A86" s="13" t="s">
        <v>228</v>
      </c>
      <c r="B86" s="13" t="s">
        <v>45</v>
      </c>
      <c r="C86" s="13" t="s">
        <v>229</v>
      </c>
      <c r="D86" s="13" t="s">
        <v>164</v>
      </c>
      <c r="E86" s="13" t="s">
        <v>28</v>
      </c>
      <c r="F86" s="14">
        <v>170.388</v>
      </c>
      <c r="G86" s="14">
        <v>217.155</v>
      </c>
      <c r="H86" s="14">
        <f>VLOOKUP(A86,'Grassets Tech'!$C$1:$E$153, 2, false)</f>
        <v>184.611</v>
      </c>
      <c r="I86" s="6"/>
      <c r="J86" s="15">
        <f t="shared" si="1"/>
        <v>-0.1498653036</v>
      </c>
    </row>
    <row r="87">
      <c r="A87" s="13" t="s">
        <v>230</v>
      </c>
      <c r="B87" s="13" t="s">
        <v>56</v>
      </c>
      <c r="C87" s="13"/>
      <c r="D87" s="13" t="s">
        <v>231</v>
      </c>
      <c r="E87" s="13" t="s">
        <v>10</v>
      </c>
      <c r="F87" s="14">
        <v>26.521</v>
      </c>
      <c r="G87" s="14">
        <v>15.061</v>
      </c>
      <c r="H87" s="14">
        <f>VLOOKUP(A87,'Grassets Tech'!$C$1:$E$153, 2, false)</f>
        <v>38.444</v>
      </c>
      <c r="I87" s="6"/>
      <c r="J87" s="15">
        <f t="shared" si="1"/>
        <v>1.552552951</v>
      </c>
    </row>
    <row r="88">
      <c r="A88" s="13" t="s">
        <v>232</v>
      </c>
      <c r="B88" s="13" t="s">
        <v>45</v>
      </c>
      <c r="C88" s="13" t="s">
        <v>233</v>
      </c>
      <c r="D88" s="13" t="s">
        <v>71</v>
      </c>
      <c r="E88" s="13" t="s">
        <v>16</v>
      </c>
      <c r="F88" s="14">
        <v>13.377</v>
      </c>
      <c r="G88" s="14">
        <v>15.48</v>
      </c>
      <c r="H88" s="14">
        <f>VLOOKUP(A88,'Grassets Tech'!$C$1:$E$153, 2, false)</f>
        <v>20.414</v>
      </c>
      <c r="J88" s="15">
        <f t="shared" si="1"/>
        <v>0.3187338501</v>
      </c>
    </row>
    <row r="89">
      <c r="A89" s="13" t="s">
        <v>234</v>
      </c>
      <c r="B89" s="13" t="s">
        <v>45</v>
      </c>
      <c r="C89" s="13" t="s">
        <v>235</v>
      </c>
      <c r="D89" s="13" t="s">
        <v>236</v>
      </c>
      <c r="E89" s="13" t="s">
        <v>23</v>
      </c>
      <c r="F89" s="14">
        <v>93.446</v>
      </c>
      <c r="G89" s="14">
        <v>97.046</v>
      </c>
      <c r="H89" s="14">
        <f>VLOOKUP(A89,'Grassets Tech'!$C$1:$E$153, 2, false)</f>
        <v>99.117</v>
      </c>
      <c r="I89" s="6"/>
      <c r="J89" s="15">
        <f t="shared" si="1"/>
        <v>0.02134039528</v>
      </c>
    </row>
    <row r="90">
      <c r="A90" s="13" t="s">
        <v>237</v>
      </c>
      <c r="B90" s="13" t="s">
        <v>56</v>
      </c>
      <c r="C90" s="13"/>
      <c r="D90" s="13" t="s">
        <v>71</v>
      </c>
      <c r="E90" s="13" t="s">
        <v>16</v>
      </c>
      <c r="F90" s="14">
        <v>13.462</v>
      </c>
      <c r="G90" s="14">
        <v>15.701</v>
      </c>
      <c r="H90" s="14">
        <f>VLOOKUP(A90,'Grassets Tech'!$C$1:$E$153, 2, false)</f>
        <v>13.46</v>
      </c>
      <c r="J90" s="15">
        <f t="shared" si="1"/>
        <v>-0.1427297624</v>
      </c>
    </row>
    <row r="91">
      <c r="A91" s="13" t="s">
        <v>238</v>
      </c>
      <c r="B91" s="13" t="s">
        <v>45</v>
      </c>
      <c r="C91" s="13" t="s">
        <v>239</v>
      </c>
      <c r="D91" s="13" t="s">
        <v>71</v>
      </c>
      <c r="E91" s="13" t="s">
        <v>16</v>
      </c>
      <c r="F91" s="14">
        <v>26.136</v>
      </c>
      <c r="G91" s="14">
        <v>27.3</v>
      </c>
      <c r="H91" s="14">
        <f>VLOOKUP(A91,'Grassets Tech'!$C$1:$E$153, 2, false)</f>
        <v>29.081</v>
      </c>
      <c r="J91" s="15">
        <f t="shared" si="1"/>
        <v>0.06523809524</v>
      </c>
    </row>
    <row r="92">
      <c r="A92" s="13" t="s">
        <v>240</v>
      </c>
      <c r="B92" s="13" t="s">
        <v>45</v>
      </c>
      <c r="C92" s="13" t="s">
        <v>241</v>
      </c>
      <c r="D92" s="13" t="s">
        <v>71</v>
      </c>
      <c r="E92" s="13" t="s">
        <v>16</v>
      </c>
      <c r="F92" s="14">
        <v>30.256</v>
      </c>
      <c r="G92" s="14">
        <v>27.457</v>
      </c>
      <c r="H92" s="14">
        <f>VLOOKUP(A92,'Grassets Tech'!$C$1:$E$153, 2, false)</f>
        <v>28.155</v>
      </c>
      <c r="J92" s="15">
        <f t="shared" si="1"/>
        <v>0.02542156827</v>
      </c>
    </row>
    <row r="93">
      <c r="A93" s="13" t="s">
        <v>242</v>
      </c>
      <c r="B93" s="13" t="s">
        <v>45</v>
      </c>
      <c r="C93" s="13" t="s">
        <v>243</v>
      </c>
      <c r="D93" s="13" t="s">
        <v>126</v>
      </c>
      <c r="E93" s="13" t="s">
        <v>17</v>
      </c>
      <c r="F93" s="14">
        <v>239.141</v>
      </c>
      <c r="G93" s="14">
        <v>248.203</v>
      </c>
      <c r="H93" s="14">
        <f>VLOOKUP(A93,'Grassets Tech'!$C$1:$E$153, 2, false)</f>
        <v>271.071</v>
      </c>
      <c r="I93" s="6"/>
      <c r="J93" s="15">
        <f t="shared" si="1"/>
        <v>0.09213426107</v>
      </c>
    </row>
    <row r="94">
      <c r="A94" s="13" t="s">
        <v>244</v>
      </c>
      <c r="B94" s="13" t="s">
        <v>45</v>
      </c>
      <c r="C94" s="13" t="s">
        <v>245</v>
      </c>
      <c r="D94" s="13" t="s">
        <v>71</v>
      </c>
      <c r="E94" s="13" t="s">
        <v>16</v>
      </c>
      <c r="F94" s="14">
        <v>12.775</v>
      </c>
      <c r="G94" s="14">
        <v>13.965</v>
      </c>
      <c r="H94" s="14">
        <f>VLOOKUP(A94,'Grassets Tech'!$C$1:$E$153, 2, false)</f>
        <v>13.845</v>
      </c>
      <c r="J94" s="15">
        <f t="shared" si="1"/>
        <v>-0.008592910849</v>
      </c>
    </row>
    <row r="95">
      <c r="A95" s="13" t="s">
        <v>246</v>
      </c>
      <c r="B95" s="13" t="s">
        <v>45</v>
      </c>
      <c r="C95" s="13" t="s">
        <v>247</v>
      </c>
      <c r="D95" s="13" t="s">
        <v>248</v>
      </c>
      <c r="E95" s="13" t="s">
        <v>22</v>
      </c>
      <c r="F95" s="14">
        <v>185.14</v>
      </c>
      <c r="G95" s="14">
        <v>192.036</v>
      </c>
      <c r="H95" s="14">
        <f>VLOOKUP(A95,'Grassets Tech'!$C$1:$E$153, 2, false)</f>
        <v>186.954</v>
      </c>
      <c r="I95" s="6"/>
      <c r="J95" s="15">
        <f t="shared" si="1"/>
        <v>-0.02646378804</v>
      </c>
    </row>
    <row r="96">
      <c r="A96" s="13" t="s">
        <v>249</v>
      </c>
      <c r="B96" s="13" t="s">
        <v>45</v>
      </c>
      <c r="C96" s="13" t="s">
        <v>250</v>
      </c>
      <c r="D96" s="13" t="s">
        <v>251</v>
      </c>
      <c r="E96" s="13" t="s">
        <v>22</v>
      </c>
      <c r="F96" s="14">
        <v>199.607</v>
      </c>
      <c r="G96" s="14">
        <v>190.761</v>
      </c>
      <c r="H96" s="14">
        <f>VLOOKUP(A96,'Grassets Tech'!$C$1:$E$153, 2, false)</f>
        <v>185.453</v>
      </c>
      <c r="I96" s="6"/>
      <c r="J96" s="15">
        <f t="shared" si="1"/>
        <v>-0.02782539408</v>
      </c>
    </row>
    <row r="97">
      <c r="A97" s="13" t="s">
        <v>252</v>
      </c>
      <c r="B97" s="13" t="s">
        <v>45</v>
      </c>
      <c r="C97" s="13" t="s">
        <v>253</v>
      </c>
      <c r="D97" s="13" t="s">
        <v>54</v>
      </c>
      <c r="E97" s="13" t="s">
        <v>30</v>
      </c>
      <c r="F97" s="14">
        <v>20.166</v>
      </c>
      <c r="G97" s="14">
        <v>31.92</v>
      </c>
      <c r="H97" s="14">
        <f>VLOOKUP(A97,'Grassets Tech'!$C$1:$E$153, 2, false)</f>
        <v>22.877</v>
      </c>
      <c r="I97" s="6"/>
      <c r="J97" s="15">
        <f t="shared" si="1"/>
        <v>-0.283302005</v>
      </c>
    </row>
    <row r="98">
      <c r="A98" s="13" t="s">
        <v>254</v>
      </c>
      <c r="B98" s="13" t="s">
        <v>45</v>
      </c>
      <c r="C98" s="13" t="s">
        <v>100</v>
      </c>
      <c r="D98" s="13" t="s">
        <v>255</v>
      </c>
      <c r="E98" s="13" t="s">
        <v>14</v>
      </c>
      <c r="F98" s="14">
        <v>31.436</v>
      </c>
      <c r="G98" s="14">
        <v>33.785</v>
      </c>
      <c r="H98" s="14">
        <f>VLOOKUP(A98,'Grassets Tech'!$C$1:$E$153, 2, false)</f>
        <v>39.832</v>
      </c>
      <c r="I98" s="6"/>
      <c r="J98" s="15">
        <f t="shared" si="1"/>
        <v>0.1789847565</v>
      </c>
    </row>
    <row r="99">
      <c r="A99" s="13" t="s">
        <v>256</v>
      </c>
      <c r="B99" s="13" t="s">
        <v>56</v>
      </c>
      <c r="C99" s="13"/>
      <c r="D99" s="13" t="s">
        <v>255</v>
      </c>
      <c r="E99" s="13" t="s">
        <v>14</v>
      </c>
      <c r="F99" s="14">
        <v>31.284</v>
      </c>
      <c r="G99" s="14">
        <v>33.494</v>
      </c>
      <c r="H99" s="14">
        <f>VLOOKUP(A99,'Grassets Tech'!$C$1:$E$153, 2, false)</f>
        <v>43.284</v>
      </c>
      <c r="I99" s="6"/>
      <c r="J99" s="15">
        <f t="shared" si="1"/>
        <v>0.2922911566</v>
      </c>
    </row>
    <row r="100">
      <c r="A100" s="13" t="s">
        <v>257</v>
      </c>
      <c r="B100" s="13" t="s">
        <v>45</v>
      </c>
      <c r="C100" s="13" t="s">
        <v>258</v>
      </c>
      <c r="D100" s="13" t="s">
        <v>259</v>
      </c>
      <c r="E100" s="13" t="s">
        <v>19</v>
      </c>
      <c r="F100" s="14">
        <v>130.227</v>
      </c>
      <c r="G100" s="14">
        <v>108.305</v>
      </c>
      <c r="H100" s="14">
        <f>VLOOKUP(A100,'Grassets Tech'!$C$1:$E$153, 2, false)</f>
        <v>111.805</v>
      </c>
      <c r="I100" s="6"/>
      <c r="J100" s="15">
        <f t="shared" si="1"/>
        <v>0.03231614422</v>
      </c>
    </row>
    <row r="101">
      <c r="A101" s="13" t="s">
        <v>260</v>
      </c>
      <c r="B101" s="13" t="s">
        <v>45</v>
      </c>
      <c r="C101" s="13" t="s">
        <v>261</v>
      </c>
      <c r="D101" s="13" t="s">
        <v>54</v>
      </c>
      <c r="E101" s="13" t="s">
        <v>30</v>
      </c>
      <c r="F101" s="14">
        <v>20.362</v>
      </c>
      <c r="G101" s="14">
        <v>32.298</v>
      </c>
      <c r="H101" s="14">
        <f>VLOOKUP(A101,'Grassets Tech'!$C$1:$E$153, 2, false)</f>
        <v>21.334</v>
      </c>
      <c r="I101" s="6"/>
      <c r="J101" s="15">
        <f t="shared" si="1"/>
        <v>-0.3394637439</v>
      </c>
    </row>
    <row r="102">
      <c r="A102" s="13" t="s">
        <v>262</v>
      </c>
      <c r="B102" s="13" t="s">
        <v>56</v>
      </c>
      <c r="C102" s="13"/>
      <c r="D102" s="13" t="s">
        <v>263</v>
      </c>
      <c r="E102" s="13" t="s">
        <v>23</v>
      </c>
      <c r="F102" s="14">
        <v>104.138</v>
      </c>
      <c r="G102" s="14">
        <v>111.524</v>
      </c>
      <c r="H102" s="14">
        <f>VLOOKUP(A102,'Grassets Tech'!$C$1:$E$153, 2, false)</f>
        <v>118.133</v>
      </c>
      <c r="I102" s="6"/>
      <c r="J102" s="15">
        <f t="shared" si="1"/>
        <v>0.05926078692</v>
      </c>
    </row>
    <row r="103">
      <c r="A103" s="13" t="s">
        <v>264</v>
      </c>
      <c r="B103" s="13" t="s">
        <v>45</v>
      </c>
      <c r="C103" s="13" t="s">
        <v>265</v>
      </c>
      <c r="D103" s="13" t="s">
        <v>71</v>
      </c>
      <c r="E103" s="13" t="s">
        <v>16</v>
      </c>
      <c r="F103" s="14">
        <v>13.103</v>
      </c>
      <c r="G103" s="14">
        <v>15.366</v>
      </c>
      <c r="H103" s="14">
        <f>VLOOKUP(A103,'Grassets Tech'!$C$1:$E$153, 2, false)</f>
        <v>18.754</v>
      </c>
      <c r="J103" s="15">
        <f t="shared" si="1"/>
        <v>0.220486789</v>
      </c>
    </row>
    <row r="104">
      <c r="A104" s="13" t="s">
        <v>266</v>
      </c>
      <c r="B104" s="13" t="s">
        <v>45</v>
      </c>
      <c r="C104" s="13" t="s">
        <v>267</v>
      </c>
      <c r="D104" s="13" t="s">
        <v>12</v>
      </c>
      <c r="E104" s="13" t="s">
        <v>12</v>
      </c>
      <c r="F104" s="14">
        <v>254.472</v>
      </c>
      <c r="G104" s="14">
        <v>181.25</v>
      </c>
      <c r="H104" s="14">
        <f>VLOOKUP(A104,'Grassets Tech'!$C$1:$E$153, 2, false)</f>
        <v>272.43</v>
      </c>
      <c r="I104" s="6"/>
      <c r="J104" s="15">
        <f t="shared" si="1"/>
        <v>0.503062069</v>
      </c>
    </row>
    <row r="105">
      <c r="A105" s="13" t="s">
        <v>268</v>
      </c>
      <c r="B105" s="13" t="s">
        <v>56</v>
      </c>
      <c r="C105" s="13"/>
      <c r="D105" s="13" t="s">
        <v>12</v>
      </c>
      <c r="E105" s="13" t="s">
        <v>12</v>
      </c>
      <c r="F105" s="14">
        <v>259.202</v>
      </c>
      <c r="G105" s="14">
        <v>181.135</v>
      </c>
      <c r="H105" s="14">
        <f>VLOOKUP(A105,'Grassets Tech'!$C$1:$E$153, 2, false)</f>
        <v>280.064</v>
      </c>
      <c r="I105" s="6"/>
      <c r="J105" s="15">
        <f t="shared" si="1"/>
        <v>0.5461617026</v>
      </c>
    </row>
    <row r="106">
      <c r="A106" s="13" t="s">
        <v>269</v>
      </c>
      <c r="B106" s="13" t="s">
        <v>45</v>
      </c>
      <c r="C106" s="13" t="s">
        <v>270</v>
      </c>
      <c r="D106" s="13" t="s">
        <v>271</v>
      </c>
      <c r="E106" s="13" t="s">
        <v>23</v>
      </c>
      <c r="F106" s="14">
        <v>102.557</v>
      </c>
      <c r="G106" s="14">
        <v>99.425</v>
      </c>
      <c r="H106" s="14">
        <f>VLOOKUP(A106,'Grassets Tech'!$C$1:$E$153, 2, false)</f>
        <v>109.13</v>
      </c>
      <c r="I106" s="6"/>
      <c r="J106" s="15">
        <f t="shared" si="1"/>
        <v>0.09761126477</v>
      </c>
    </row>
    <row r="107">
      <c r="A107" s="13" t="s">
        <v>272</v>
      </c>
      <c r="B107" s="13" t="s">
        <v>45</v>
      </c>
      <c r="C107" s="13" t="s">
        <v>100</v>
      </c>
      <c r="D107" s="13" t="s">
        <v>69</v>
      </c>
      <c r="E107" s="13" t="s">
        <v>23</v>
      </c>
      <c r="F107" s="14">
        <v>138.228</v>
      </c>
      <c r="G107" s="14">
        <v>129.824</v>
      </c>
      <c r="H107" s="14">
        <f>VLOOKUP(A107,'Grassets Tech'!$C$1:$E$153, 2, false)</f>
        <v>127.925</v>
      </c>
      <c r="I107" s="6"/>
      <c r="J107" s="15">
        <f t="shared" si="1"/>
        <v>-0.01462749569</v>
      </c>
    </row>
    <row r="108">
      <c r="A108" s="13" t="s">
        <v>273</v>
      </c>
      <c r="B108" s="13" t="s">
        <v>56</v>
      </c>
      <c r="C108" s="13"/>
      <c r="D108" s="13" t="s">
        <v>71</v>
      </c>
      <c r="E108" s="13" t="s">
        <v>16</v>
      </c>
      <c r="F108" s="14">
        <v>13.247</v>
      </c>
      <c r="G108" s="14">
        <v>15.539</v>
      </c>
      <c r="H108" s="14">
        <f>VLOOKUP(A108,'Grassets Tech'!$C$1:$E$153, 2, false)</f>
        <v>19.33</v>
      </c>
      <c r="J108" s="15">
        <f t="shared" si="1"/>
        <v>0.2439667932</v>
      </c>
    </row>
    <row r="109">
      <c r="A109" s="13" t="s">
        <v>274</v>
      </c>
      <c r="B109" s="13" t="s">
        <v>56</v>
      </c>
      <c r="C109" s="13"/>
      <c r="D109" s="13" t="s">
        <v>71</v>
      </c>
      <c r="E109" s="13" t="s">
        <v>16</v>
      </c>
      <c r="F109" s="14">
        <v>13.399</v>
      </c>
      <c r="G109" s="14">
        <v>15.649</v>
      </c>
      <c r="H109" s="14">
        <f>VLOOKUP(A109,'Grassets Tech'!$C$1:$E$153, 2, false)</f>
        <v>13.497</v>
      </c>
      <c r="J109" s="15">
        <f t="shared" si="1"/>
        <v>-0.1375167742</v>
      </c>
    </row>
    <row r="110">
      <c r="A110" s="13" t="s">
        <v>275</v>
      </c>
      <c r="B110" s="13" t="s">
        <v>45</v>
      </c>
      <c r="C110" s="13" t="s">
        <v>276</v>
      </c>
      <c r="D110" s="13" t="s">
        <v>71</v>
      </c>
      <c r="E110" s="13" t="s">
        <v>16</v>
      </c>
      <c r="F110" s="14">
        <v>13.242</v>
      </c>
      <c r="G110" s="14">
        <v>15.703</v>
      </c>
      <c r="H110" s="14">
        <f>VLOOKUP(A110,'Grassets Tech'!$C$1:$E$153, 2, false)</f>
        <v>13.258</v>
      </c>
      <c r="J110" s="15">
        <f t="shared" si="1"/>
        <v>-0.155702732</v>
      </c>
    </row>
    <row r="111">
      <c r="A111" s="13" t="s">
        <v>277</v>
      </c>
      <c r="B111" s="13" t="s">
        <v>45</v>
      </c>
      <c r="C111" s="13" t="s">
        <v>278</v>
      </c>
      <c r="D111" s="13" t="s">
        <v>71</v>
      </c>
      <c r="E111" s="13" t="s">
        <v>16</v>
      </c>
      <c r="F111" s="14">
        <v>13.44</v>
      </c>
      <c r="G111" s="14">
        <v>15.63</v>
      </c>
      <c r="H111" s="14">
        <f>VLOOKUP(A111,'Grassets Tech'!$C$1:$E$153, 2, false)</f>
        <v>14.049</v>
      </c>
      <c r="J111" s="15">
        <f t="shared" si="1"/>
        <v>-0.1011516315</v>
      </c>
    </row>
    <row r="112">
      <c r="A112" s="13" t="s">
        <v>279</v>
      </c>
      <c r="B112" s="13" t="s">
        <v>45</v>
      </c>
      <c r="C112" s="13" t="s">
        <v>280</v>
      </c>
      <c r="D112" s="13" t="s">
        <v>223</v>
      </c>
      <c r="E112" s="13" t="s">
        <v>18</v>
      </c>
      <c r="F112" s="14">
        <v>37.853</v>
      </c>
      <c r="G112" s="14">
        <v>27.37</v>
      </c>
      <c r="H112" s="14">
        <f>VLOOKUP(A112,'Grassets Tech'!$C$1:$E$153, 2, false)</f>
        <v>28.309</v>
      </c>
      <c r="I112" s="6"/>
      <c r="J112" s="15">
        <f t="shared" si="1"/>
        <v>0.0343076361</v>
      </c>
    </row>
    <row r="113">
      <c r="A113" s="13" t="s">
        <v>281</v>
      </c>
      <c r="B113" s="13" t="s">
        <v>45</v>
      </c>
      <c r="C113" s="13" t="s">
        <v>282</v>
      </c>
      <c r="D113" s="13" t="s">
        <v>223</v>
      </c>
      <c r="E113" s="13" t="s">
        <v>18</v>
      </c>
      <c r="F113" s="14">
        <v>29.837</v>
      </c>
      <c r="G113" s="14">
        <v>26.815</v>
      </c>
      <c r="H113" s="14">
        <f>VLOOKUP(A113,'Grassets Tech'!$C$1:$E$153, 2, false)</f>
        <v>29.34</v>
      </c>
      <c r="I113" s="6"/>
      <c r="J113" s="15">
        <f t="shared" si="1"/>
        <v>0.09416371434</v>
      </c>
    </row>
    <row r="114">
      <c r="A114" s="13" t="s">
        <v>283</v>
      </c>
      <c r="B114" s="13" t="s">
        <v>45</v>
      </c>
      <c r="C114" s="13" t="s">
        <v>284</v>
      </c>
      <c r="D114" s="13" t="s">
        <v>223</v>
      </c>
      <c r="E114" s="13" t="s">
        <v>18</v>
      </c>
      <c r="F114" s="14">
        <v>26.093</v>
      </c>
      <c r="G114" s="14">
        <v>27.909</v>
      </c>
      <c r="H114" s="14">
        <f>VLOOKUP(A114,'Grassets Tech'!$C$1:$E$153, 2, false)</f>
        <v>28.634</v>
      </c>
      <c r="I114" s="6"/>
      <c r="J114" s="15">
        <f t="shared" si="1"/>
        <v>0.02597728331</v>
      </c>
    </row>
    <row r="115">
      <c r="A115" s="13" t="s">
        <v>285</v>
      </c>
      <c r="B115" s="13" t="s">
        <v>45</v>
      </c>
      <c r="C115" s="13" t="s">
        <v>286</v>
      </c>
      <c r="D115" s="13" t="s">
        <v>287</v>
      </c>
      <c r="E115" s="13" t="s">
        <v>33</v>
      </c>
      <c r="F115" s="14">
        <v>10.996</v>
      </c>
      <c r="G115" s="14">
        <v>27.061</v>
      </c>
      <c r="H115" s="14">
        <f>VLOOKUP(A115,'Grassets Tech'!$C$1:$E$153, 2, false)</f>
        <v>1.65</v>
      </c>
      <c r="I115" s="6"/>
      <c r="J115" s="15">
        <f t="shared" si="1"/>
        <v>-0.9390266435</v>
      </c>
    </row>
    <row r="116">
      <c r="A116" s="13" t="s">
        <v>288</v>
      </c>
      <c r="B116" s="13" t="s">
        <v>45</v>
      </c>
      <c r="C116" s="13" t="s">
        <v>289</v>
      </c>
      <c r="D116" s="13" t="s">
        <v>290</v>
      </c>
      <c r="E116" s="13" t="s">
        <v>30</v>
      </c>
      <c r="F116" s="14">
        <v>25.748</v>
      </c>
      <c r="G116" s="14">
        <v>33.105</v>
      </c>
      <c r="H116" s="14">
        <f>VLOOKUP(A116,'Grassets Tech'!$C$1:$E$153, 2, false)</f>
        <v>23.854</v>
      </c>
      <c r="I116" s="6"/>
      <c r="J116" s="15">
        <f t="shared" si="1"/>
        <v>-0.2794441927</v>
      </c>
    </row>
    <row r="117">
      <c r="A117" s="13" t="s">
        <v>291</v>
      </c>
      <c r="B117" s="13" t="s">
        <v>45</v>
      </c>
      <c r="C117" s="13" t="s">
        <v>292</v>
      </c>
      <c r="D117" s="13" t="s">
        <v>293</v>
      </c>
      <c r="E117" s="13" t="s">
        <v>16</v>
      </c>
      <c r="F117" s="14">
        <v>11.655</v>
      </c>
      <c r="G117" s="14">
        <v>20.826</v>
      </c>
      <c r="H117" s="14">
        <f>VLOOKUP(A117,'Grassets Tech'!$C$1:$E$153, 2, false)</f>
        <v>25.625</v>
      </c>
      <c r="J117" s="15">
        <f t="shared" si="1"/>
        <v>0.2304331125</v>
      </c>
    </row>
    <row r="118">
      <c r="A118" s="13" t="s">
        <v>294</v>
      </c>
      <c r="B118" s="13" t="s">
        <v>45</v>
      </c>
      <c r="C118" s="13" t="s">
        <v>295</v>
      </c>
      <c r="D118" s="13" t="s">
        <v>296</v>
      </c>
      <c r="E118" s="13" t="s">
        <v>30</v>
      </c>
      <c r="F118" s="14">
        <v>27.452</v>
      </c>
      <c r="G118" s="14">
        <v>38.297</v>
      </c>
      <c r="H118" s="14">
        <f>VLOOKUP(A118,'Grassets Tech'!$C$1:$E$153, 2, false)</f>
        <v>31.542</v>
      </c>
      <c r="I118" s="6"/>
      <c r="J118" s="15">
        <f t="shared" si="1"/>
        <v>-0.1763845732</v>
      </c>
    </row>
    <row r="119">
      <c r="A119" s="13" t="s">
        <v>297</v>
      </c>
      <c r="B119" s="13" t="s">
        <v>45</v>
      </c>
      <c r="C119" s="13" t="s">
        <v>298</v>
      </c>
      <c r="D119" s="13" t="s">
        <v>204</v>
      </c>
      <c r="E119" s="13" t="s">
        <v>26</v>
      </c>
      <c r="F119" s="14">
        <v>26.376</v>
      </c>
      <c r="G119" s="14">
        <v>42.715</v>
      </c>
      <c r="H119" s="14">
        <f>VLOOKUP(A119,'Grassets Tech'!$C$1:$E$153, 2, false)</f>
        <v>26.727</v>
      </c>
      <c r="I119" s="6"/>
      <c r="J119" s="15">
        <f t="shared" si="1"/>
        <v>-0.3742947442</v>
      </c>
    </row>
    <row r="120">
      <c r="A120" s="13" t="s">
        <v>299</v>
      </c>
      <c r="B120" s="13" t="s">
        <v>45</v>
      </c>
      <c r="C120" s="13" t="s">
        <v>300</v>
      </c>
      <c r="D120" s="13" t="s">
        <v>147</v>
      </c>
      <c r="E120" s="13" t="s">
        <v>23</v>
      </c>
      <c r="F120" s="14">
        <v>97.114</v>
      </c>
      <c r="G120" s="14">
        <v>94.019</v>
      </c>
      <c r="H120" s="14">
        <f>VLOOKUP(A120,'Grassets Tech'!$C$1:$E$153, 2, false)</f>
        <v>106.203</v>
      </c>
      <c r="I120" s="6"/>
      <c r="J120" s="15">
        <f t="shared" si="1"/>
        <v>0.1295908274</v>
      </c>
    </row>
    <row r="121">
      <c r="A121" s="17" t="s">
        <v>301</v>
      </c>
      <c r="B121" s="17" t="s">
        <v>45</v>
      </c>
      <c r="C121" s="17" t="s">
        <v>302</v>
      </c>
      <c r="D121" s="17" t="s">
        <v>71</v>
      </c>
      <c r="E121" s="17" t="s">
        <v>16</v>
      </c>
      <c r="F121" s="14">
        <v>13.411</v>
      </c>
      <c r="G121" s="14">
        <v>15.898</v>
      </c>
      <c r="H121" s="14">
        <f>VLOOKUP(A121,'Grassets Tech'!$C$1:$E$153, 2, false)</f>
        <v>14.562</v>
      </c>
      <c r="J121" s="15">
        <f t="shared" si="1"/>
        <v>-0.08403572776</v>
      </c>
    </row>
    <row r="122">
      <c r="A122" s="17" t="s">
        <v>303</v>
      </c>
      <c r="B122" s="17" t="s">
        <v>45</v>
      </c>
      <c r="C122" s="17" t="s">
        <v>304</v>
      </c>
      <c r="D122" s="17" t="s">
        <v>71</v>
      </c>
      <c r="E122" s="17" t="s">
        <v>16</v>
      </c>
      <c r="F122" s="14">
        <v>13.387</v>
      </c>
      <c r="G122" s="14">
        <v>15.635</v>
      </c>
      <c r="H122" s="14">
        <f>VLOOKUP(A122,'Grassets Tech'!$C$1:$E$153, 2, false)</f>
        <v>22.003</v>
      </c>
      <c r="J122" s="15">
        <f t="shared" si="1"/>
        <v>0.4072913335</v>
      </c>
    </row>
    <row r="123">
      <c r="A123" s="17" t="s">
        <v>305</v>
      </c>
      <c r="B123" s="17" t="s">
        <v>45</v>
      </c>
      <c r="C123" s="17" t="s">
        <v>306</v>
      </c>
      <c r="D123" s="17" t="s">
        <v>147</v>
      </c>
      <c r="E123" s="17" t="s">
        <v>23</v>
      </c>
      <c r="F123" s="14">
        <v>107.909</v>
      </c>
      <c r="G123" s="14">
        <v>99.089</v>
      </c>
      <c r="H123" s="14">
        <f>VLOOKUP(A123,'Grassets Tech'!$C$1:$E$153, 2, false)</f>
        <v>127.721</v>
      </c>
      <c r="I123" s="6"/>
      <c r="J123" s="15">
        <f t="shared" si="1"/>
        <v>0.288952356</v>
      </c>
    </row>
    <row r="124">
      <c r="A124" s="17" t="s">
        <v>307</v>
      </c>
      <c r="B124" s="17" t="s">
        <v>56</v>
      </c>
      <c r="C124" s="17"/>
      <c r="D124" s="17" t="s">
        <v>308</v>
      </c>
      <c r="E124" s="17" t="s">
        <v>20</v>
      </c>
      <c r="F124" s="14">
        <v>22.579</v>
      </c>
      <c r="G124" s="14">
        <v>25.331</v>
      </c>
      <c r="H124" s="14">
        <f>VLOOKUP(A124,'Grassets Tech'!$C$1:$E$153, 2, false)</f>
        <v>26.137</v>
      </c>
      <c r="I124" s="6"/>
      <c r="J124" s="15">
        <f t="shared" si="1"/>
        <v>0.03181872015</v>
      </c>
    </row>
    <row r="125">
      <c r="A125" s="17" t="s">
        <v>309</v>
      </c>
      <c r="B125" s="17" t="s">
        <v>45</v>
      </c>
      <c r="C125" s="17" t="s">
        <v>310</v>
      </c>
      <c r="D125" s="17" t="s">
        <v>54</v>
      </c>
      <c r="E125" s="17" t="s">
        <v>29</v>
      </c>
      <c r="F125" s="14">
        <v>18.883</v>
      </c>
      <c r="G125" s="14">
        <v>32.232</v>
      </c>
      <c r="H125" s="14">
        <f>VLOOKUP(A125,'Grassets Tech'!$C$1:$E$153, 2, false)</f>
        <v>22.462</v>
      </c>
      <c r="I125" s="6"/>
      <c r="J125" s="15">
        <f t="shared" si="1"/>
        <v>-0.3031149169</v>
      </c>
    </row>
    <row r="126">
      <c r="A126" s="17" t="s">
        <v>311</v>
      </c>
      <c r="B126" s="17" t="s">
        <v>45</v>
      </c>
      <c r="C126" s="17" t="s">
        <v>312</v>
      </c>
      <c r="D126" s="17" t="s">
        <v>236</v>
      </c>
      <c r="E126" s="17" t="s">
        <v>23</v>
      </c>
      <c r="F126" s="14">
        <v>94.412</v>
      </c>
      <c r="G126" s="14">
        <v>100.509</v>
      </c>
      <c r="H126" s="14">
        <f>VLOOKUP(A126,'Grassets Tech'!$C$1:$E$153, 2, false)</f>
        <v>106.117</v>
      </c>
      <c r="I126" s="6"/>
      <c r="J126" s="15">
        <f t="shared" si="1"/>
        <v>0.05579599837</v>
      </c>
    </row>
    <row r="127">
      <c r="A127" s="17" t="s">
        <v>313</v>
      </c>
      <c r="B127" s="17" t="s">
        <v>45</v>
      </c>
      <c r="C127" s="17" t="s">
        <v>314</v>
      </c>
      <c r="D127" s="17" t="s">
        <v>117</v>
      </c>
      <c r="E127" s="17" t="s">
        <v>23</v>
      </c>
      <c r="F127" s="14">
        <v>103.929</v>
      </c>
      <c r="G127" s="14">
        <v>95.211</v>
      </c>
      <c r="H127" s="14">
        <f>VLOOKUP(A127,'Grassets Tech'!$C$1:$E$153, 2, false)</f>
        <v>98.002</v>
      </c>
      <c r="I127" s="6"/>
      <c r="J127" s="15">
        <f t="shared" si="1"/>
        <v>0.02931383979</v>
      </c>
    </row>
    <row r="128">
      <c r="A128" s="17" t="s">
        <v>315</v>
      </c>
      <c r="B128" s="17" t="s">
        <v>45</v>
      </c>
      <c r="C128" s="17" t="s">
        <v>316</v>
      </c>
      <c r="D128" s="17" t="s">
        <v>71</v>
      </c>
      <c r="E128" s="17" t="s">
        <v>16</v>
      </c>
      <c r="F128" s="14">
        <v>12.834</v>
      </c>
      <c r="G128" s="14">
        <v>15.075</v>
      </c>
      <c r="H128" s="14">
        <f>VLOOKUP(A128,'Grassets Tech'!$C$1:$E$153, 2, false)</f>
        <v>17.442</v>
      </c>
      <c r="J128" s="15">
        <f t="shared" si="1"/>
        <v>0.1570149254</v>
      </c>
    </row>
    <row r="129">
      <c r="A129" s="17" t="s">
        <v>317</v>
      </c>
      <c r="B129" s="17" t="s">
        <v>56</v>
      </c>
      <c r="C129" s="17"/>
      <c r="D129" s="17" t="s">
        <v>318</v>
      </c>
      <c r="E129" s="17" t="s">
        <v>16</v>
      </c>
      <c r="F129" s="14">
        <v>14.953</v>
      </c>
      <c r="G129" s="14">
        <v>15.373</v>
      </c>
      <c r="H129" s="14">
        <f>VLOOKUP(A129,'Grassets Tech'!$C$1:$E$153, 2, false)</f>
        <v>19.325</v>
      </c>
      <c r="J129" s="15">
        <f t="shared" si="1"/>
        <v>0.2570740909</v>
      </c>
    </row>
    <row r="130">
      <c r="A130" s="17" t="s">
        <v>319</v>
      </c>
      <c r="B130" s="17" t="s">
        <v>45</v>
      </c>
      <c r="C130" s="17" t="s">
        <v>320</v>
      </c>
      <c r="D130" s="17" t="s">
        <v>318</v>
      </c>
      <c r="E130" s="17" t="s">
        <v>16</v>
      </c>
      <c r="F130" s="14">
        <v>15.079</v>
      </c>
      <c r="G130" s="14">
        <v>15.352</v>
      </c>
      <c r="H130" s="14">
        <f>VLOOKUP(A130,'Grassets Tech'!$C$1:$E$153, 2, false)</f>
        <v>16.041</v>
      </c>
      <c r="J130" s="15">
        <f t="shared" si="1"/>
        <v>0.04488014591</v>
      </c>
    </row>
    <row r="131">
      <c r="A131" s="17" t="s">
        <v>321</v>
      </c>
      <c r="B131" s="17" t="s">
        <v>45</v>
      </c>
      <c r="C131" s="17" t="s">
        <v>322</v>
      </c>
      <c r="D131" s="17" t="s">
        <v>318</v>
      </c>
      <c r="E131" s="17" t="s">
        <v>16</v>
      </c>
      <c r="F131" s="14">
        <v>15.169</v>
      </c>
      <c r="G131" s="14">
        <v>15.195</v>
      </c>
      <c r="H131" s="14">
        <f>VLOOKUP(A131,'Grassets Tech'!$C$1:$E$153, 2, false)</f>
        <v>12.955</v>
      </c>
      <c r="J131" s="15">
        <f t="shared" si="1"/>
        <v>-0.1474169135</v>
      </c>
    </row>
    <row r="132">
      <c r="A132" s="17" t="s">
        <v>323</v>
      </c>
      <c r="B132" s="17" t="s">
        <v>45</v>
      </c>
      <c r="C132" s="17" t="s">
        <v>324</v>
      </c>
      <c r="D132" s="17" t="s">
        <v>318</v>
      </c>
      <c r="E132" s="17" t="s">
        <v>16</v>
      </c>
      <c r="F132" s="14">
        <v>15.742</v>
      </c>
      <c r="G132" s="14">
        <v>15.33</v>
      </c>
      <c r="H132" s="14">
        <f>VLOOKUP(A132,'Grassets Tech'!$C$1:$E$153, 2, false)</f>
        <v>16.551</v>
      </c>
      <c r="J132" s="15">
        <f t="shared" si="1"/>
        <v>0.07964774951</v>
      </c>
    </row>
    <row r="133">
      <c r="A133" s="17" t="s">
        <v>325</v>
      </c>
      <c r="B133" s="17" t="s">
        <v>45</v>
      </c>
      <c r="C133" s="17" t="s">
        <v>326</v>
      </c>
      <c r="D133" s="17" t="s">
        <v>318</v>
      </c>
      <c r="E133" s="17" t="s">
        <v>16</v>
      </c>
      <c r="F133" s="14">
        <v>13.849</v>
      </c>
      <c r="G133" s="14">
        <v>15.347</v>
      </c>
      <c r="H133" s="14">
        <f>VLOOKUP(A133,'Grassets Tech'!$C$1:$E$153, 2, false)</f>
        <v>15.655</v>
      </c>
      <c r="J133" s="15">
        <f t="shared" si="1"/>
        <v>0.02006906887</v>
      </c>
    </row>
    <row r="134">
      <c r="A134" s="17" t="s">
        <v>327</v>
      </c>
      <c r="B134" s="17" t="s">
        <v>45</v>
      </c>
      <c r="C134" s="17" t="s">
        <v>328</v>
      </c>
      <c r="D134" s="17" t="s">
        <v>318</v>
      </c>
      <c r="E134" s="17" t="s">
        <v>16</v>
      </c>
      <c r="F134" s="14">
        <v>13.985</v>
      </c>
      <c r="G134" s="14">
        <v>15.243</v>
      </c>
      <c r="H134" s="14">
        <f>VLOOKUP(A134,'Grassets Tech'!$C$1:$E$153, 2, false)</f>
        <v>15.503</v>
      </c>
      <c r="J134" s="15">
        <f t="shared" si="1"/>
        <v>0.01705700977</v>
      </c>
    </row>
    <row r="135">
      <c r="A135" s="17" t="s">
        <v>329</v>
      </c>
      <c r="B135" s="17" t="s">
        <v>45</v>
      </c>
      <c r="C135" s="17" t="s">
        <v>330</v>
      </c>
      <c r="D135" s="17" t="s">
        <v>318</v>
      </c>
      <c r="E135" s="17" t="s">
        <v>16</v>
      </c>
      <c r="F135" s="14">
        <v>13.789</v>
      </c>
      <c r="G135" s="14">
        <v>15.381</v>
      </c>
      <c r="H135" s="14">
        <f>VLOOKUP(A135,'Grassets Tech'!$C$1:$E$153, 2, false)</f>
        <v>12.634</v>
      </c>
      <c r="J135" s="15">
        <f t="shared" si="1"/>
        <v>-0.1785969703</v>
      </c>
    </row>
    <row r="136">
      <c r="A136" s="17" t="s">
        <v>331</v>
      </c>
      <c r="B136" s="17" t="s">
        <v>45</v>
      </c>
      <c r="C136" s="17" t="s">
        <v>332</v>
      </c>
      <c r="D136" s="17" t="s">
        <v>318</v>
      </c>
      <c r="E136" s="17" t="s">
        <v>16</v>
      </c>
      <c r="F136" s="14">
        <v>14.005</v>
      </c>
      <c r="G136" s="14">
        <v>15.231</v>
      </c>
      <c r="H136" s="14">
        <f>VLOOKUP(A136,'Grassets Tech'!$C$1:$E$153, 2, false)</f>
        <v>14.29</v>
      </c>
      <c r="J136" s="15">
        <f t="shared" si="1"/>
        <v>-0.06178189219</v>
      </c>
    </row>
    <row r="137">
      <c r="A137" s="17" t="s">
        <v>333</v>
      </c>
      <c r="B137" s="17" t="s">
        <v>45</v>
      </c>
      <c r="C137" s="17" t="s">
        <v>334</v>
      </c>
      <c r="D137" s="17" t="s">
        <v>193</v>
      </c>
      <c r="E137" s="17" t="s">
        <v>30</v>
      </c>
      <c r="F137" s="14">
        <v>22.379</v>
      </c>
      <c r="G137" s="14">
        <v>32.882</v>
      </c>
      <c r="H137" s="14">
        <f>VLOOKUP(A137,'Grassets Tech'!$C$1:$E$153, 2, false)</f>
        <v>26.251</v>
      </c>
      <c r="I137" s="6"/>
      <c r="J137" s="15">
        <f t="shared" si="1"/>
        <v>-0.2016604829</v>
      </c>
    </row>
    <row r="138">
      <c r="A138" s="17" t="s">
        <v>335</v>
      </c>
      <c r="B138" s="17" t="s">
        <v>45</v>
      </c>
      <c r="C138" s="17" t="s">
        <v>336</v>
      </c>
      <c r="D138" s="17" t="s">
        <v>337</v>
      </c>
      <c r="E138" s="17" t="s">
        <v>28</v>
      </c>
      <c r="F138" s="14">
        <v>208.618</v>
      </c>
      <c r="G138" s="14">
        <v>220.779</v>
      </c>
      <c r="H138" s="14">
        <f>VLOOKUP(A138,'Grassets Tech'!$C$1:$E$153, 2, false)</f>
        <v>164.161</v>
      </c>
      <c r="I138" s="6"/>
      <c r="J138" s="15">
        <f t="shared" si="1"/>
        <v>-0.2564464917</v>
      </c>
    </row>
    <row r="139">
      <c r="A139" s="17" t="s">
        <v>338</v>
      </c>
      <c r="B139" s="17" t="s">
        <v>45</v>
      </c>
      <c r="C139" s="17" t="s">
        <v>100</v>
      </c>
      <c r="D139" s="17" t="s">
        <v>182</v>
      </c>
      <c r="E139" s="17" t="s">
        <v>11</v>
      </c>
      <c r="F139" s="14">
        <v>34.785</v>
      </c>
      <c r="G139" s="14">
        <v>33.569</v>
      </c>
      <c r="H139" s="14">
        <f>VLOOKUP(A139,'Grassets Tech'!$C$1:$E$153, 2, false)</f>
        <v>50.424</v>
      </c>
      <c r="I139" s="6"/>
      <c r="J139" s="15">
        <f t="shared" si="1"/>
        <v>0.5021001519</v>
      </c>
    </row>
    <row r="140">
      <c r="A140" s="17" t="s">
        <v>339</v>
      </c>
      <c r="B140" s="17" t="s">
        <v>45</v>
      </c>
      <c r="C140" s="17" t="s">
        <v>340</v>
      </c>
      <c r="D140" s="17" t="s">
        <v>182</v>
      </c>
      <c r="E140" s="17" t="s">
        <v>11</v>
      </c>
      <c r="F140" s="14">
        <v>34.821</v>
      </c>
      <c r="G140" s="14">
        <v>33.634</v>
      </c>
      <c r="H140" s="14">
        <f>VLOOKUP(A140,'Grassets Tech'!$C$1:$E$153, 2, false)</f>
        <v>47.669</v>
      </c>
      <c r="I140" s="6"/>
      <c r="J140" s="15">
        <f t="shared" si="1"/>
        <v>0.4172860796</v>
      </c>
    </row>
    <row r="141">
      <c r="A141" s="17"/>
      <c r="B141" s="17"/>
      <c r="C141" s="17"/>
      <c r="D141" s="17"/>
      <c r="E141" s="17"/>
      <c r="F141" s="14"/>
      <c r="G141" s="14"/>
      <c r="H141" s="14"/>
    </row>
    <row r="142">
      <c r="A142" s="17"/>
      <c r="B142" s="17"/>
      <c r="C142" s="17"/>
      <c r="D142" s="17"/>
      <c r="E142" s="17"/>
      <c r="F142" s="14"/>
      <c r="G142" s="14"/>
      <c r="H142" s="14"/>
    </row>
    <row r="143">
      <c r="A143" s="17"/>
      <c r="B143" s="17"/>
      <c r="C143" s="17"/>
      <c r="D143" s="17"/>
      <c r="E143" s="17"/>
      <c r="F143" s="14"/>
      <c r="G143" s="14"/>
      <c r="H143" s="14"/>
    </row>
    <row r="144">
      <c r="A144" s="17"/>
      <c r="B144" s="17"/>
      <c r="C144" s="17"/>
      <c r="D144" s="17"/>
      <c r="E144" s="17"/>
      <c r="F144" s="14"/>
      <c r="G144" s="14"/>
      <c r="H144" s="14"/>
    </row>
    <row r="145">
      <c r="A145" s="17"/>
      <c r="B145" s="17"/>
      <c r="C145" s="17"/>
      <c r="D145" s="17"/>
      <c r="E145" s="17"/>
      <c r="F145" s="14"/>
      <c r="G145" s="14"/>
      <c r="H145" s="14"/>
    </row>
    <row r="146">
      <c r="A146" s="17"/>
      <c r="B146" s="17"/>
      <c r="C146" s="17"/>
      <c r="D146" s="17"/>
      <c r="E146" s="17"/>
      <c r="F146" s="14"/>
      <c r="G146" s="14"/>
      <c r="H146" s="14"/>
    </row>
    <row r="147">
      <c r="A147" s="17"/>
      <c r="B147" s="17"/>
      <c r="C147" s="17"/>
      <c r="D147" s="17"/>
      <c r="E147" s="17"/>
      <c r="F147" s="14"/>
      <c r="G147" s="14"/>
      <c r="H147" s="14"/>
    </row>
    <row r="148">
      <c r="A148" s="17"/>
      <c r="B148" s="17"/>
      <c r="C148" s="17"/>
      <c r="D148" s="17"/>
      <c r="E148" s="17"/>
      <c r="F148" s="14"/>
      <c r="G148" s="14"/>
      <c r="H148" s="14"/>
    </row>
    <row r="149">
      <c r="A149" s="17"/>
      <c r="B149" s="17"/>
      <c r="C149" s="17"/>
      <c r="D149" s="17"/>
      <c r="E149" s="17"/>
      <c r="F149" s="14"/>
      <c r="G149" s="14"/>
      <c r="H149" s="14"/>
    </row>
    <row r="150">
      <c r="A150" s="17"/>
      <c r="B150" s="17"/>
      <c r="C150" s="17"/>
      <c r="D150" s="17"/>
      <c r="E150" s="17"/>
      <c r="F150" s="14"/>
      <c r="G150" s="18"/>
    </row>
    <row r="151">
      <c r="A151" s="17"/>
      <c r="B151" s="17"/>
      <c r="C151" s="17"/>
      <c r="D151" s="17"/>
      <c r="E151" s="17"/>
      <c r="F151" s="14"/>
      <c r="G151" s="19"/>
    </row>
    <row r="152">
      <c r="A152" s="17"/>
      <c r="B152" s="17"/>
      <c r="C152" s="17"/>
      <c r="D152" s="17"/>
      <c r="E152" s="17"/>
      <c r="F152" s="14"/>
      <c r="G152" s="18"/>
    </row>
    <row r="153">
      <c r="A153" s="17"/>
      <c r="B153" s="17"/>
      <c r="C153" s="17"/>
      <c r="D153" s="17"/>
      <c r="E153" s="17"/>
      <c r="F153" s="14"/>
      <c r="G153" s="18"/>
    </row>
    <row r="154">
      <c r="A154" s="17"/>
      <c r="B154" s="17"/>
      <c r="C154" s="17"/>
      <c r="D154" s="17"/>
      <c r="E154" s="17"/>
      <c r="F154" s="14"/>
      <c r="G154" s="19"/>
    </row>
    <row r="155">
      <c r="A155" s="17"/>
      <c r="B155" s="17"/>
      <c r="C155" s="17"/>
      <c r="D155" s="17"/>
      <c r="E155" s="17"/>
      <c r="F155" s="14"/>
      <c r="G155" s="18"/>
    </row>
    <row r="156">
      <c r="A156" s="17"/>
      <c r="B156" s="17"/>
      <c r="C156" s="17"/>
      <c r="D156" s="17"/>
      <c r="E156" s="17"/>
      <c r="F156" s="14"/>
      <c r="G156" s="18"/>
    </row>
    <row r="157">
      <c r="A157" s="17"/>
      <c r="B157" s="17"/>
      <c r="C157" s="17"/>
      <c r="D157" s="17"/>
      <c r="E157" s="17"/>
      <c r="F157" s="14"/>
      <c r="G157" s="18"/>
    </row>
    <row r="158">
      <c r="A158" s="17"/>
      <c r="B158" s="17"/>
      <c r="C158" s="17"/>
      <c r="D158" s="17"/>
      <c r="E158" s="17"/>
      <c r="F158" s="14"/>
      <c r="G158" s="18"/>
    </row>
    <row r="159">
      <c r="A159" s="17"/>
      <c r="B159" s="17"/>
      <c r="C159" s="17"/>
      <c r="D159" s="17"/>
      <c r="E159" s="17"/>
      <c r="F159" s="14"/>
      <c r="G159" s="18"/>
    </row>
    <row r="160">
      <c r="A160" s="17"/>
      <c r="B160" s="17"/>
      <c r="C160" s="17"/>
      <c r="D160" s="17"/>
      <c r="E160" s="17"/>
      <c r="F160" s="14"/>
      <c r="G160" s="19"/>
    </row>
    <row r="161">
      <c r="A161" s="17"/>
      <c r="B161" s="17"/>
      <c r="C161" s="17"/>
      <c r="D161" s="17"/>
      <c r="E161" s="17"/>
      <c r="F161" s="14"/>
      <c r="G161" s="19"/>
    </row>
    <row r="162">
      <c r="A162" s="17"/>
      <c r="B162" s="17"/>
      <c r="C162" s="17"/>
      <c r="D162" s="17"/>
      <c r="E162" s="17"/>
      <c r="F162" s="14"/>
      <c r="G162" s="18"/>
    </row>
    <row r="163">
      <c r="A163" s="17"/>
      <c r="B163" s="17"/>
      <c r="C163" s="17"/>
      <c r="D163" s="17"/>
      <c r="E163" s="17"/>
      <c r="F163" s="14"/>
      <c r="G163" s="19"/>
    </row>
    <row r="164">
      <c r="A164" s="17"/>
      <c r="B164" s="17"/>
      <c r="C164" s="17"/>
      <c r="D164" s="17"/>
      <c r="E164" s="17"/>
      <c r="F164" s="14"/>
      <c r="G164" s="19"/>
    </row>
    <row r="165">
      <c r="A165" s="17"/>
      <c r="B165" s="17"/>
      <c r="C165" s="17"/>
      <c r="D165" s="17"/>
      <c r="E165" s="17"/>
      <c r="F165" s="14"/>
      <c r="G165" s="18"/>
    </row>
    <row r="166">
      <c r="A166" s="17"/>
      <c r="B166" s="17"/>
      <c r="C166" s="17"/>
      <c r="D166" s="17"/>
      <c r="E166" s="17"/>
      <c r="F166" s="14"/>
      <c r="G166" s="18"/>
    </row>
    <row r="167">
      <c r="A167" s="17"/>
      <c r="B167" s="17"/>
      <c r="C167" s="17"/>
      <c r="D167" s="17"/>
      <c r="E167" s="17"/>
      <c r="F167" s="14"/>
      <c r="G167" s="17"/>
    </row>
    <row r="168">
      <c r="A168" s="17"/>
      <c r="B168" s="17"/>
      <c r="C168" s="17"/>
      <c r="D168" s="17"/>
      <c r="E168" s="17"/>
      <c r="F168" s="14"/>
      <c r="G168" s="19"/>
    </row>
    <row r="169">
      <c r="A169" s="17"/>
      <c r="B169" s="17"/>
      <c r="C169" s="17"/>
      <c r="D169" s="17"/>
      <c r="E169" s="17"/>
      <c r="F169" s="14"/>
      <c r="G169" s="19"/>
    </row>
    <row r="170">
      <c r="A170" s="17"/>
      <c r="B170" s="17"/>
      <c r="C170" s="17"/>
      <c r="D170" s="17"/>
      <c r="E170" s="17"/>
      <c r="F170" s="14"/>
      <c r="G170" s="19"/>
    </row>
    <row r="171">
      <c r="A171" s="17"/>
      <c r="B171" s="17"/>
      <c r="C171" s="17"/>
      <c r="D171" s="17"/>
      <c r="E171" s="17"/>
      <c r="F171" s="14"/>
      <c r="G171" s="19"/>
    </row>
    <row r="172">
      <c r="A172" s="17"/>
      <c r="B172" s="17"/>
      <c r="C172" s="17"/>
      <c r="D172" s="17"/>
      <c r="E172" s="17"/>
      <c r="F172" s="14"/>
      <c r="G172" s="19"/>
    </row>
    <row r="173">
      <c r="A173" s="17"/>
      <c r="B173" s="17"/>
      <c r="C173" s="17"/>
      <c r="D173" s="17"/>
      <c r="E173" s="17"/>
      <c r="F173" s="14"/>
      <c r="G173" s="19"/>
    </row>
    <row r="174">
      <c r="A174" s="17"/>
      <c r="B174" s="17"/>
      <c r="C174" s="17"/>
      <c r="D174" s="17"/>
      <c r="E174" s="17"/>
      <c r="F174" s="14"/>
      <c r="G174" s="19"/>
    </row>
    <row r="175">
      <c r="A175" s="17"/>
      <c r="B175" s="17"/>
      <c r="C175" s="17"/>
      <c r="D175" s="17"/>
      <c r="E175" s="17"/>
      <c r="F175" s="14"/>
      <c r="G175" s="19"/>
    </row>
    <row r="176">
      <c r="A176" s="17"/>
      <c r="B176" s="17"/>
      <c r="C176" s="17"/>
      <c r="D176" s="17"/>
      <c r="E176" s="17"/>
      <c r="F176" s="14"/>
      <c r="G176" s="18"/>
    </row>
    <row r="177">
      <c r="A177" s="17"/>
      <c r="B177" s="17"/>
      <c r="C177" s="17"/>
      <c r="D177" s="17"/>
      <c r="E177" s="17"/>
      <c r="F177" s="14"/>
      <c r="G177" s="19"/>
    </row>
    <row r="178">
      <c r="A178" s="17"/>
      <c r="B178" s="17"/>
      <c r="C178" s="17"/>
      <c r="D178" s="17"/>
      <c r="E178" s="17"/>
      <c r="F178" s="14"/>
      <c r="G178" s="18"/>
    </row>
    <row r="179">
      <c r="A179" s="17"/>
      <c r="B179" s="17"/>
      <c r="C179" s="17"/>
      <c r="D179" s="17"/>
      <c r="E179" s="17"/>
      <c r="F179" s="14"/>
      <c r="G179" s="18"/>
    </row>
    <row r="180">
      <c r="A180" s="17"/>
      <c r="B180" s="17"/>
      <c r="C180" s="17"/>
      <c r="D180" s="17"/>
      <c r="E180" s="17"/>
      <c r="F180" s="14"/>
      <c r="G180" s="17"/>
    </row>
    <row r="181">
      <c r="A181" s="17"/>
      <c r="B181" s="17"/>
      <c r="C181" s="17"/>
      <c r="D181" s="17"/>
      <c r="E181" s="17"/>
      <c r="F181" s="14"/>
      <c r="G181" s="18"/>
    </row>
    <row r="182">
      <c r="A182" s="17"/>
      <c r="B182" s="17"/>
      <c r="C182" s="17"/>
      <c r="D182" s="17"/>
      <c r="E182" s="17"/>
      <c r="F182" s="14"/>
      <c r="G182" s="18"/>
    </row>
    <row r="183">
      <c r="A183" s="17"/>
      <c r="B183" s="17"/>
      <c r="C183" s="17"/>
      <c r="D183" s="17"/>
      <c r="E183" s="17"/>
      <c r="F183" s="14"/>
      <c r="G183" s="19"/>
    </row>
    <row r="184">
      <c r="A184" s="17"/>
      <c r="B184" s="17"/>
      <c r="C184" s="17"/>
      <c r="D184" s="17"/>
      <c r="E184" s="17"/>
      <c r="F184" s="14"/>
      <c r="G184" s="17"/>
    </row>
    <row r="185">
      <c r="A185" s="17"/>
      <c r="B185" s="17"/>
      <c r="C185" s="17"/>
      <c r="D185" s="17"/>
      <c r="E185" s="17"/>
      <c r="F185" s="14"/>
      <c r="G185" s="19"/>
    </row>
    <row r="186">
      <c r="A186" s="17"/>
      <c r="B186" s="17"/>
      <c r="C186" s="17"/>
      <c r="D186" s="17"/>
      <c r="E186" s="17"/>
      <c r="F186" s="14"/>
      <c r="G186" s="19"/>
    </row>
    <row r="187">
      <c r="A187" s="17"/>
      <c r="B187" s="17"/>
      <c r="C187" s="17"/>
      <c r="D187" s="17"/>
      <c r="E187" s="17"/>
      <c r="F187" s="14"/>
      <c r="G187" s="19"/>
    </row>
    <row r="188">
      <c r="A188" s="17"/>
      <c r="B188" s="17"/>
      <c r="C188" s="17"/>
      <c r="D188" s="17"/>
      <c r="E188" s="17"/>
      <c r="F188" s="14"/>
      <c r="G188" s="19"/>
    </row>
    <row r="189">
      <c r="A189" s="17"/>
      <c r="B189" s="17"/>
      <c r="C189" s="17"/>
      <c r="D189" s="17"/>
      <c r="E189" s="17"/>
      <c r="F189" s="14"/>
      <c r="G189" s="19"/>
    </row>
    <row r="190">
      <c r="A190" s="17"/>
      <c r="B190" s="17"/>
      <c r="C190" s="17"/>
      <c r="D190" s="17"/>
      <c r="E190" s="17"/>
      <c r="F190" s="14"/>
      <c r="G190" s="18"/>
    </row>
    <row r="191">
      <c r="A191" s="17"/>
      <c r="B191" s="17"/>
      <c r="C191" s="17"/>
      <c r="D191" s="17"/>
      <c r="E191" s="17"/>
      <c r="F191" s="14"/>
      <c r="G191" s="18"/>
    </row>
    <row r="192">
      <c r="A192" s="17"/>
      <c r="B192" s="17"/>
      <c r="C192" s="17"/>
      <c r="D192" s="17"/>
      <c r="E192" s="17"/>
      <c r="F192" s="14"/>
      <c r="G192" s="19"/>
    </row>
    <row r="193">
      <c r="A193" s="17"/>
      <c r="B193" s="17"/>
      <c r="C193" s="17"/>
      <c r="D193" s="17"/>
      <c r="E193" s="17"/>
      <c r="F193" s="14"/>
      <c r="G193" s="18"/>
    </row>
    <row r="194">
      <c r="A194" s="17"/>
      <c r="B194" s="17"/>
      <c r="C194" s="17"/>
      <c r="D194" s="17"/>
      <c r="E194" s="17"/>
      <c r="F194" s="14"/>
      <c r="G194" s="19"/>
    </row>
    <row r="195">
      <c r="A195" s="17"/>
      <c r="B195" s="17"/>
      <c r="C195" s="17"/>
      <c r="D195" s="17"/>
      <c r="E195" s="17"/>
      <c r="F195" s="14"/>
      <c r="G195" s="19"/>
    </row>
    <row r="196">
      <c r="A196" s="17"/>
      <c r="B196" s="17"/>
      <c r="C196" s="17"/>
      <c r="D196" s="17"/>
      <c r="E196" s="17"/>
      <c r="F196" s="14"/>
      <c r="G196" s="19"/>
    </row>
    <row r="197">
      <c r="A197" s="17"/>
      <c r="B197" s="17"/>
      <c r="C197" s="17"/>
      <c r="D197" s="17"/>
      <c r="E197" s="17"/>
      <c r="F197" s="14"/>
      <c r="G197" s="18"/>
    </row>
    <row r="198">
      <c r="A198" s="17"/>
      <c r="B198" s="17"/>
      <c r="C198" s="17"/>
      <c r="D198" s="17"/>
      <c r="E198" s="17"/>
      <c r="F198" s="14"/>
      <c r="G198" s="19"/>
    </row>
    <row r="199">
      <c r="A199" s="17"/>
      <c r="B199" s="17"/>
      <c r="C199" s="17"/>
      <c r="D199" s="17"/>
      <c r="E199" s="17"/>
      <c r="F199" s="14"/>
      <c r="G199" s="19"/>
    </row>
    <row r="200">
      <c r="A200" s="17"/>
      <c r="B200" s="17"/>
      <c r="C200" s="17"/>
      <c r="D200" s="17"/>
      <c r="E200" s="17"/>
      <c r="F200" s="14"/>
      <c r="G200" s="18"/>
    </row>
    <row r="201">
      <c r="A201" s="17"/>
      <c r="B201" s="17"/>
      <c r="C201" s="17"/>
      <c r="D201" s="17"/>
      <c r="E201" s="17"/>
      <c r="F201" s="14"/>
      <c r="G201" s="18"/>
    </row>
    <row r="202">
      <c r="A202" s="17"/>
      <c r="B202" s="17"/>
      <c r="C202" s="17"/>
      <c r="D202" s="17"/>
      <c r="E202" s="17"/>
      <c r="F202" s="14"/>
      <c r="G202" s="18"/>
    </row>
    <row r="203">
      <c r="A203" s="17"/>
      <c r="B203" s="17"/>
      <c r="C203" s="17"/>
      <c r="D203" s="17"/>
      <c r="E203" s="17"/>
      <c r="F203" s="14"/>
      <c r="G203" s="18"/>
    </row>
    <row r="204">
      <c r="A204" s="17"/>
      <c r="B204" s="17"/>
      <c r="C204" s="17"/>
      <c r="D204" s="17"/>
      <c r="E204" s="17"/>
      <c r="F204" s="14"/>
      <c r="G204" s="18"/>
    </row>
    <row r="205">
      <c r="A205" s="17"/>
      <c r="B205" s="17"/>
      <c r="C205" s="17"/>
      <c r="D205" s="17"/>
      <c r="E205" s="17"/>
      <c r="F205" s="14"/>
      <c r="G205" s="18"/>
    </row>
    <row r="206">
      <c r="A206" s="17"/>
      <c r="B206" s="17"/>
      <c r="C206" s="17"/>
      <c r="D206" s="17"/>
      <c r="E206" s="17"/>
      <c r="F206" s="14"/>
      <c r="G206" s="18"/>
    </row>
    <row r="207">
      <c r="A207" s="17"/>
      <c r="B207" s="17"/>
      <c r="C207" s="17"/>
      <c r="D207" s="17"/>
      <c r="E207" s="17"/>
      <c r="F207" s="14"/>
      <c r="G207" s="18"/>
    </row>
    <row r="208">
      <c r="A208" s="17"/>
      <c r="B208" s="17"/>
      <c r="C208" s="17"/>
      <c r="D208" s="17"/>
      <c r="E208" s="17"/>
      <c r="F208" s="14"/>
      <c r="G208" s="18"/>
    </row>
    <row r="209">
      <c r="A209" s="17"/>
      <c r="B209" s="17"/>
      <c r="C209" s="17"/>
      <c r="D209" s="17"/>
      <c r="E209" s="17"/>
      <c r="F209" s="14"/>
      <c r="G209" s="18"/>
    </row>
    <row r="210">
      <c r="A210" s="17"/>
      <c r="B210" s="17"/>
      <c r="C210" s="17"/>
      <c r="D210" s="17"/>
      <c r="E210" s="17"/>
      <c r="F210" s="14"/>
      <c r="G210" s="18"/>
    </row>
    <row r="211">
      <c r="A211" s="17"/>
      <c r="B211" s="17"/>
      <c r="C211" s="17"/>
      <c r="D211" s="17"/>
      <c r="E211" s="17"/>
      <c r="F211" s="14"/>
      <c r="G211" s="19"/>
    </row>
    <row r="212">
      <c r="A212" s="17"/>
      <c r="B212" s="17"/>
      <c r="C212" s="17"/>
      <c r="D212" s="17"/>
      <c r="E212" s="17"/>
      <c r="F212" s="14"/>
      <c r="G212" s="19"/>
    </row>
    <row r="213">
      <c r="A213" s="17"/>
      <c r="B213" s="17"/>
      <c r="C213" s="17"/>
      <c r="D213" s="17"/>
      <c r="E213" s="17"/>
      <c r="F213" s="14"/>
      <c r="G213" s="18"/>
    </row>
    <row r="214">
      <c r="A214" s="17"/>
      <c r="B214" s="17"/>
      <c r="C214" s="17"/>
      <c r="D214" s="17"/>
      <c r="E214" s="17"/>
      <c r="F214" s="14"/>
      <c r="G214" s="19"/>
    </row>
    <row r="215">
      <c r="A215" s="17"/>
      <c r="B215" s="17"/>
      <c r="C215" s="17"/>
      <c r="D215" s="17"/>
      <c r="E215" s="17"/>
      <c r="F215" s="14"/>
      <c r="G215" s="17"/>
    </row>
    <row r="216">
      <c r="A216" s="17"/>
      <c r="B216" s="17"/>
      <c r="C216" s="17"/>
      <c r="D216" s="17"/>
      <c r="E216" s="17"/>
      <c r="F216" s="14"/>
      <c r="G216" s="18"/>
    </row>
    <row r="217">
      <c r="A217" s="17"/>
      <c r="B217" s="17"/>
      <c r="C217" s="17"/>
      <c r="D217" s="17"/>
      <c r="E217" s="17"/>
      <c r="F217" s="14"/>
      <c r="G217" s="19"/>
    </row>
    <row r="218">
      <c r="A218" s="17"/>
      <c r="B218" s="17"/>
      <c r="C218" s="17"/>
      <c r="D218" s="17"/>
      <c r="E218" s="17"/>
      <c r="F218" s="14"/>
      <c r="G218" s="19"/>
    </row>
    <row r="219">
      <c r="A219" s="17"/>
      <c r="B219" s="17"/>
      <c r="C219" s="17"/>
      <c r="D219" s="17"/>
      <c r="E219" s="17"/>
      <c r="F219" s="14"/>
      <c r="G219" s="19"/>
    </row>
    <row r="220">
      <c r="A220" s="17"/>
      <c r="B220" s="17"/>
      <c r="C220" s="17"/>
      <c r="D220" s="17"/>
      <c r="E220" s="17"/>
      <c r="F220" s="14"/>
      <c r="G220" s="18"/>
    </row>
    <row r="221">
      <c r="A221" s="17"/>
      <c r="B221" s="17"/>
      <c r="C221" s="17"/>
      <c r="D221" s="17"/>
      <c r="E221" s="17"/>
      <c r="F221" s="14"/>
      <c r="G221" s="19"/>
    </row>
    <row r="222">
      <c r="A222" s="17"/>
      <c r="B222" s="17"/>
      <c r="C222" s="17"/>
      <c r="D222" s="17"/>
      <c r="E222" s="17"/>
      <c r="F222" s="14"/>
      <c r="G222" s="18"/>
    </row>
    <row r="223">
      <c r="A223" s="17"/>
      <c r="B223" s="17"/>
      <c r="C223" s="17"/>
      <c r="D223" s="17"/>
      <c r="E223" s="17"/>
      <c r="F223" s="14"/>
      <c r="G223" s="18"/>
    </row>
    <row r="224">
      <c r="A224" s="17"/>
      <c r="B224" s="17"/>
      <c r="C224" s="17"/>
      <c r="D224" s="17"/>
      <c r="E224" s="17"/>
      <c r="F224" s="14"/>
      <c r="G224" s="19"/>
    </row>
    <row r="225">
      <c r="A225" s="17"/>
      <c r="B225" s="17"/>
      <c r="C225" s="17"/>
      <c r="D225" s="17"/>
      <c r="E225" s="17"/>
      <c r="F225" s="14"/>
      <c r="G225" s="19"/>
    </row>
    <row r="226">
      <c r="A226" s="17"/>
      <c r="B226" s="17"/>
      <c r="C226" s="17"/>
      <c r="D226" s="17"/>
      <c r="E226" s="17"/>
      <c r="F226" s="14"/>
      <c r="G226" s="19"/>
    </row>
    <row r="227">
      <c r="A227" s="17"/>
      <c r="B227" s="17"/>
      <c r="C227" s="17"/>
      <c r="D227" s="17"/>
      <c r="E227" s="17"/>
      <c r="F227" s="14"/>
      <c r="G227" s="19"/>
    </row>
    <row r="228">
      <c r="A228" s="17"/>
      <c r="B228" s="17"/>
      <c r="C228" s="17"/>
      <c r="D228" s="17"/>
      <c r="E228" s="17"/>
      <c r="F228" s="14"/>
      <c r="G228" s="19"/>
    </row>
    <row r="229">
      <c r="A229" s="17"/>
      <c r="B229" s="17"/>
      <c r="C229" s="17"/>
      <c r="D229" s="17"/>
      <c r="E229" s="17"/>
      <c r="F229" s="14"/>
      <c r="G229" s="19"/>
    </row>
    <row r="230">
      <c r="A230" s="17"/>
      <c r="B230" s="17"/>
      <c r="C230" s="17"/>
      <c r="D230" s="17"/>
      <c r="E230" s="17"/>
      <c r="F230" s="14"/>
      <c r="G230" s="18"/>
    </row>
    <row r="231">
      <c r="A231" s="17"/>
      <c r="B231" s="17"/>
      <c r="C231" s="17"/>
      <c r="D231" s="17"/>
      <c r="E231" s="17"/>
      <c r="F231" s="14"/>
      <c r="G231" s="19"/>
    </row>
    <row r="232">
      <c r="A232" s="17"/>
      <c r="B232" s="17"/>
      <c r="C232" s="17"/>
      <c r="D232" s="17"/>
      <c r="E232" s="17"/>
      <c r="F232" s="14"/>
      <c r="G232" s="18"/>
    </row>
    <row r="233">
      <c r="A233" s="17"/>
      <c r="B233" s="17"/>
      <c r="C233" s="17"/>
      <c r="D233" s="17"/>
      <c r="E233" s="17"/>
      <c r="F233" s="14"/>
      <c r="G233" s="18"/>
    </row>
    <row r="234">
      <c r="A234" s="17"/>
      <c r="B234" s="17"/>
      <c r="C234" s="17"/>
      <c r="D234" s="17"/>
      <c r="E234" s="17"/>
      <c r="F234" s="14"/>
      <c r="G234" s="19"/>
    </row>
    <row r="235">
      <c r="A235" s="17"/>
      <c r="B235" s="17"/>
      <c r="C235" s="17"/>
      <c r="D235" s="17"/>
      <c r="E235" s="17"/>
      <c r="F235" s="14"/>
      <c r="G235" s="19"/>
    </row>
    <row r="236">
      <c r="A236" s="17"/>
      <c r="B236" s="17"/>
      <c r="C236" s="17"/>
      <c r="D236" s="17"/>
      <c r="E236" s="17"/>
      <c r="F236" s="14"/>
      <c r="G236" s="18"/>
    </row>
    <row r="237">
      <c r="A237" s="17"/>
      <c r="B237" s="17"/>
      <c r="C237" s="17"/>
      <c r="D237" s="17"/>
      <c r="E237" s="17"/>
      <c r="F237" s="14"/>
      <c r="G237" s="19"/>
    </row>
    <row r="238">
      <c r="A238" s="17"/>
      <c r="B238" s="17"/>
      <c r="C238" s="17"/>
      <c r="D238" s="17"/>
      <c r="E238" s="17"/>
      <c r="F238" s="14"/>
      <c r="G238" s="18"/>
    </row>
    <row r="239">
      <c r="A239" s="17"/>
      <c r="B239" s="17"/>
      <c r="C239" s="17"/>
      <c r="D239" s="17"/>
      <c r="E239" s="17"/>
      <c r="F239" s="14"/>
      <c r="G239" s="19"/>
    </row>
    <row r="240">
      <c r="A240" s="17"/>
      <c r="B240" s="17"/>
      <c r="C240" s="17"/>
      <c r="D240" s="17"/>
      <c r="E240" s="17"/>
      <c r="F240" s="14"/>
      <c r="G240" s="18"/>
    </row>
    <row r="241">
      <c r="A241" s="17"/>
      <c r="B241" s="17"/>
      <c r="C241" s="17"/>
      <c r="D241" s="17"/>
      <c r="E241" s="17"/>
      <c r="F241" s="14"/>
      <c r="G241" s="19"/>
    </row>
    <row r="242">
      <c r="A242" s="17"/>
      <c r="B242" s="17"/>
      <c r="C242" s="17"/>
      <c r="D242" s="17"/>
      <c r="E242" s="17"/>
      <c r="F242" s="14"/>
      <c r="G242" s="19"/>
    </row>
    <row r="243">
      <c r="A243" s="17"/>
      <c r="B243" s="17"/>
      <c r="C243" s="17"/>
      <c r="D243" s="17"/>
      <c r="E243" s="17"/>
      <c r="F243" s="14"/>
      <c r="G243" s="18"/>
    </row>
    <row r="244">
      <c r="A244" s="17"/>
      <c r="B244" s="17"/>
      <c r="C244" s="17"/>
      <c r="D244" s="17"/>
      <c r="E244" s="17"/>
      <c r="F244" s="14"/>
      <c r="G244" s="18"/>
    </row>
    <row r="245">
      <c r="A245" s="17"/>
      <c r="B245" s="17"/>
      <c r="C245" s="17"/>
      <c r="D245" s="17"/>
      <c r="E245" s="17"/>
      <c r="F245" s="14"/>
      <c r="G245" s="18"/>
    </row>
    <row r="246">
      <c r="A246" s="17"/>
      <c r="B246" s="17"/>
      <c r="C246" s="17"/>
      <c r="D246" s="17"/>
      <c r="E246" s="17"/>
      <c r="F246" s="14"/>
      <c r="G246" s="18"/>
    </row>
    <row r="247">
      <c r="A247" s="17"/>
      <c r="B247" s="17"/>
      <c r="C247" s="17"/>
      <c r="D247" s="17"/>
      <c r="E247" s="17"/>
      <c r="F247" s="14"/>
      <c r="G247" s="18"/>
    </row>
    <row r="248">
      <c r="A248" s="17"/>
      <c r="B248" s="17"/>
      <c r="C248" s="17"/>
      <c r="D248" s="17"/>
      <c r="E248" s="17"/>
      <c r="F248" s="14"/>
      <c r="G248" s="18"/>
    </row>
    <row r="249">
      <c r="A249" s="17"/>
      <c r="B249" s="17"/>
      <c r="C249" s="17"/>
      <c r="D249" s="17"/>
      <c r="E249" s="17"/>
      <c r="F249" s="14"/>
      <c r="G249" s="18"/>
    </row>
    <row r="250">
      <c r="A250" s="17"/>
      <c r="B250" s="17"/>
      <c r="C250" s="17"/>
      <c r="D250" s="17"/>
      <c r="E250" s="17"/>
      <c r="F250" s="14"/>
      <c r="G250" s="18"/>
    </row>
    <row r="251">
      <c r="A251" s="17"/>
      <c r="B251" s="17"/>
      <c r="C251" s="17"/>
      <c r="D251" s="17"/>
      <c r="E251" s="17"/>
      <c r="F251" s="14"/>
      <c r="G251" s="18"/>
    </row>
    <row r="252">
      <c r="A252" s="17"/>
      <c r="B252" s="17"/>
      <c r="C252" s="17"/>
      <c r="D252" s="17"/>
      <c r="E252" s="17"/>
      <c r="F252" s="14"/>
      <c r="G252" s="18"/>
    </row>
    <row r="253">
      <c r="A253" s="17"/>
      <c r="B253" s="17"/>
      <c r="C253" s="17"/>
      <c r="D253" s="17"/>
      <c r="E253" s="17"/>
      <c r="F253" s="14"/>
      <c r="G253" s="18"/>
    </row>
    <row r="254">
      <c r="A254" s="17"/>
      <c r="B254" s="17"/>
      <c r="C254" s="17"/>
      <c r="D254" s="17"/>
      <c r="E254" s="17"/>
      <c r="F254" s="14"/>
      <c r="G254" s="18"/>
    </row>
  </sheetData>
  <mergeCells count="1">
    <mergeCell ref="F1:G1"/>
  </mergeCells>
  <conditionalFormatting sqref="G254">
    <cfRule type="expression" dxfId="0" priority="1">
      <formula>OR(F254&gt;G254*1.2)</formula>
    </cfRule>
  </conditionalFormatting>
  <conditionalFormatting sqref="G254">
    <cfRule type="expression" dxfId="1" priority="2">
      <formula>OR(F254*1.2&lt;G254)</formula>
    </cfRule>
  </conditionalFormatting>
  <conditionalFormatting sqref="F3:H140">
    <cfRule type="expression" dxfId="0" priority="3">
      <formula>F3=MIN($G3:$H3)</formula>
    </cfRule>
  </conditionalFormatting>
  <conditionalFormatting sqref="F3:H140">
    <cfRule type="expression" dxfId="2" priority="4">
      <formula>F3=MAX($G3:$H3)</formula>
    </cfRule>
  </conditionalFormatting>
  <conditionalFormatting sqref="J3:J140">
    <cfRule type="cellIs" dxfId="3" priority="5" operator="lessThan">
      <formula>-0.1</formula>
    </cfRule>
  </conditionalFormatting>
  <conditionalFormatting sqref="J3:J140">
    <cfRule type="cellIs" dxfId="4" priority="6" operator="greaterThan">
      <formula>0.1</formula>
    </cfRule>
  </conditionalFormatting>
  <hyperlinks>
    <hyperlink r:id="rId1" ref="C7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14.13"/>
    <col customWidth="1" min="3" max="3" width="29.75"/>
  </cols>
  <sheetData>
    <row r="1">
      <c r="A1" s="7"/>
      <c r="B1" s="7"/>
      <c r="C1" s="7"/>
      <c r="D1" s="8"/>
      <c r="E1" s="8"/>
      <c r="F1" s="8" t="s">
        <v>34</v>
      </c>
    </row>
    <row r="2">
      <c r="A2" s="7" t="s">
        <v>36</v>
      </c>
      <c r="B2" s="7" t="s">
        <v>37</v>
      </c>
      <c r="C2" s="7" t="s">
        <v>38</v>
      </c>
      <c r="D2" s="7"/>
      <c r="E2" s="7"/>
      <c r="F2" s="7" t="s">
        <v>40</v>
      </c>
      <c r="G2" s="7" t="s">
        <v>41</v>
      </c>
    </row>
    <row r="3" hidden="1">
      <c r="A3" s="13" t="s">
        <v>341</v>
      </c>
      <c r="B3" s="13" t="s">
        <v>342</v>
      </c>
      <c r="C3" s="13"/>
      <c r="D3" s="13" t="s">
        <v>54</v>
      </c>
      <c r="E3" s="13" t="s">
        <v>30</v>
      </c>
      <c r="F3" s="14">
        <v>21.509</v>
      </c>
      <c r="G3" s="18">
        <v>35.353</v>
      </c>
    </row>
    <row r="4">
      <c r="A4" s="13" t="s">
        <v>44</v>
      </c>
      <c r="B4" s="13" t="s">
        <v>45</v>
      </c>
      <c r="C4" s="13" t="s">
        <v>46</v>
      </c>
      <c r="D4" s="13" t="s">
        <v>12</v>
      </c>
      <c r="E4" s="13" t="s">
        <v>12</v>
      </c>
      <c r="F4" s="14">
        <v>161.545</v>
      </c>
      <c r="G4" s="18">
        <v>181.4</v>
      </c>
    </row>
    <row r="5">
      <c r="A5" s="13" t="s">
        <v>343</v>
      </c>
      <c r="B5" s="13" t="s">
        <v>45</v>
      </c>
      <c r="C5" s="13" t="s">
        <v>344</v>
      </c>
      <c r="D5" s="13" t="s">
        <v>196</v>
      </c>
      <c r="E5" s="13" t="s">
        <v>24</v>
      </c>
      <c r="F5" s="14" t="s">
        <v>345</v>
      </c>
      <c r="G5" s="13" t="s">
        <v>345</v>
      </c>
    </row>
    <row r="6">
      <c r="A6" s="13" t="s">
        <v>346</v>
      </c>
      <c r="B6" s="13" t="s">
        <v>45</v>
      </c>
      <c r="C6" s="13" t="s">
        <v>347</v>
      </c>
      <c r="D6" s="13" t="s">
        <v>196</v>
      </c>
      <c r="E6" s="13" t="s">
        <v>24</v>
      </c>
      <c r="F6" s="14" t="s">
        <v>345</v>
      </c>
      <c r="G6" s="18">
        <v>40.695</v>
      </c>
    </row>
    <row r="7" hidden="1">
      <c r="A7" s="13" t="s">
        <v>348</v>
      </c>
      <c r="B7" s="13" t="s">
        <v>342</v>
      </c>
      <c r="C7" s="13"/>
      <c r="D7" s="13" t="s">
        <v>349</v>
      </c>
      <c r="E7" s="13" t="s">
        <v>30</v>
      </c>
      <c r="F7" s="14">
        <v>28.454</v>
      </c>
      <c r="G7" s="18">
        <v>34.09</v>
      </c>
    </row>
    <row r="8" hidden="1">
      <c r="A8" s="13" t="s">
        <v>350</v>
      </c>
      <c r="B8" s="13" t="s">
        <v>342</v>
      </c>
      <c r="C8" s="13"/>
      <c r="D8" s="13" t="s">
        <v>351</v>
      </c>
      <c r="E8" s="13" t="s">
        <v>23</v>
      </c>
      <c r="F8" s="14">
        <v>15.845</v>
      </c>
      <c r="G8" s="18">
        <v>18.68</v>
      </c>
    </row>
    <row r="9" hidden="1">
      <c r="A9" s="13" t="s">
        <v>352</v>
      </c>
      <c r="B9" s="13" t="s">
        <v>342</v>
      </c>
      <c r="C9" s="13"/>
      <c r="D9" s="13" t="s">
        <v>353</v>
      </c>
      <c r="E9" s="13" t="s">
        <v>17</v>
      </c>
      <c r="F9" s="14">
        <v>222.759</v>
      </c>
      <c r="G9" s="18">
        <v>247.687</v>
      </c>
    </row>
    <row r="10" hidden="1">
      <c r="A10" s="13" t="s">
        <v>354</v>
      </c>
      <c r="B10" s="13" t="s">
        <v>342</v>
      </c>
      <c r="C10" s="13"/>
      <c r="D10" s="13" t="s">
        <v>12</v>
      </c>
      <c r="E10" s="13" t="s">
        <v>12</v>
      </c>
      <c r="F10" s="14">
        <v>158.297</v>
      </c>
      <c r="G10" s="18">
        <v>180.723</v>
      </c>
    </row>
    <row r="11" hidden="1">
      <c r="A11" s="13" t="s">
        <v>355</v>
      </c>
      <c r="B11" s="13" t="s">
        <v>342</v>
      </c>
      <c r="C11" s="13"/>
      <c r="D11" s="13" t="s">
        <v>356</v>
      </c>
      <c r="E11" s="13" t="s">
        <v>23</v>
      </c>
      <c r="F11" s="14" t="s">
        <v>345</v>
      </c>
      <c r="G11" s="13" t="s">
        <v>345</v>
      </c>
    </row>
    <row r="12" hidden="1">
      <c r="A12" s="13" t="s">
        <v>357</v>
      </c>
      <c r="B12" s="13" t="s">
        <v>342</v>
      </c>
      <c r="C12" s="13"/>
      <c r="D12" s="13" t="s">
        <v>12</v>
      </c>
      <c r="E12" s="13" t="s">
        <v>12</v>
      </c>
      <c r="F12" s="14">
        <v>165.945</v>
      </c>
      <c r="G12" s="18">
        <v>181.436</v>
      </c>
    </row>
    <row r="13" hidden="1">
      <c r="A13" s="13" t="s">
        <v>358</v>
      </c>
      <c r="B13" s="13" t="s">
        <v>342</v>
      </c>
      <c r="C13" s="13"/>
      <c r="D13" s="13" t="s">
        <v>69</v>
      </c>
      <c r="E13" s="13" t="s">
        <v>23</v>
      </c>
      <c r="F13" s="14">
        <v>125.102</v>
      </c>
      <c r="G13" s="18">
        <v>193.987</v>
      </c>
    </row>
    <row r="14" hidden="1">
      <c r="A14" s="13" t="s">
        <v>359</v>
      </c>
      <c r="B14" s="13" t="s">
        <v>342</v>
      </c>
      <c r="C14" s="13"/>
      <c r="D14" s="13" t="s">
        <v>54</v>
      </c>
      <c r="E14" s="13" t="s">
        <v>30</v>
      </c>
      <c r="F14" s="14">
        <v>19.733</v>
      </c>
      <c r="G14" s="18">
        <v>32.213</v>
      </c>
    </row>
    <row r="15" hidden="1">
      <c r="A15" s="13" t="s">
        <v>360</v>
      </c>
      <c r="B15" s="13" t="s">
        <v>342</v>
      </c>
      <c r="C15" s="13"/>
      <c r="D15" s="13" t="s">
        <v>361</v>
      </c>
      <c r="E15" s="13" t="s">
        <v>23</v>
      </c>
      <c r="F15" s="14">
        <v>104.631</v>
      </c>
      <c r="G15" s="18">
        <v>98.983</v>
      </c>
    </row>
    <row r="16">
      <c r="A16" s="13" t="s">
        <v>47</v>
      </c>
      <c r="B16" s="13" t="s">
        <v>45</v>
      </c>
      <c r="C16" s="13" t="s">
        <v>48</v>
      </c>
      <c r="D16" s="13" t="s">
        <v>49</v>
      </c>
      <c r="E16" s="13" t="s">
        <v>21</v>
      </c>
      <c r="F16" s="14">
        <v>51.867</v>
      </c>
      <c r="G16" s="18">
        <v>56.19</v>
      </c>
    </row>
    <row r="17">
      <c r="A17" s="13" t="s">
        <v>50</v>
      </c>
      <c r="B17" s="13" t="s">
        <v>45</v>
      </c>
      <c r="C17" s="13" t="s">
        <v>51</v>
      </c>
      <c r="D17" s="13" t="s">
        <v>49</v>
      </c>
      <c r="E17" s="13" t="s">
        <v>21</v>
      </c>
      <c r="F17" s="14">
        <v>52.038</v>
      </c>
      <c r="G17" s="18">
        <v>55.854</v>
      </c>
    </row>
    <row r="18" hidden="1">
      <c r="A18" s="13" t="s">
        <v>362</v>
      </c>
      <c r="B18" s="13" t="s">
        <v>342</v>
      </c>
      <c r="C18" s="13"/>
      <c r="D18" s="13" t="s">
        <v>71</v>
      </c>
      <c r="E18" s="13" t="s">
        <v>16</v>
      </c>
      <c r="F18" s="14">
        <v>12.998</v>
      </c>
      <c r="G18" s="18">
        <v>15.198</v>
      </c>
    </row>
    <row r="19">
      <c r="A19" s="13" t="s">
        <v>52</v>
      </c>
      <c r="B19" s="13" t="s">
        <v>45</v>
      </c>
      <c r="C19" s="13" t="s">
        <v>53</v>
      </c>
      <c r="D19" s="13" t="s">
        <v>54</v>
      </c>
      <c r="E19" s="13" t="s">
        <v>30</v>
      </c>
      <c r="F19" s="14">
        <v>19.91</v>
      </c>
      <c r="G19" s="18">
        <v>32.013</v>
      </c>
    </row>
    <row r="20" hidden="1">
      <c r="A20" s="13" t="s">
        <v>363</v>
      </c>
      <c r="B20" s="13" t="s">
        <v>342</v>
      </c>
      <c r="C20" s="13"/>
      <c r="D20" s="13" t="s">
        <v>364</v>
      </c>
      <c r="E20" s="13" t="s">
        <v>18</v>
      </c>
      <c r="F20" s="14">
        <v>29.487</v>
      </c>
      <c r="G20" s="18">
        <v>26.857</v>
      </c>
    </row>
    <row r="21" hidden="1">
      <c r="A21" s="13" t="s">
        <v>365</v>
      </c>
      <c r="B21" s="13" t="s">
        <v>342</v>
      </c>
      <c r="C21" s="13"/>
      <c r="D21" s="13" t="s">
        <v>57</v>
      </c>
      <c r="E21" s="13" t="s">
        <v>23</v>
      </c>
      <c r="F21" s="14">
        <v>137.134</v>
      </c>
      <c r="G21" s="18">
        <v>174.916</v>
      </c>
    </row>
    <row r="22" hidden="1">
      <c r="A22" s="13" t="s">
        <v>366</v>
      </c>
      <c r="B22" s="13" t="s">
        <v>342</v>
      </c>
      <c r="C22" s="13"/>
      <c r="D22" s="13" t="s">
        <v>57</v>
      </c>
      <c r="E22" s="13" t="s">
        <v>23</v>
      </c>
      <c r="F22" s="14">
        <v>137.285</v>
      </c>
      <c r="G22" s="18">
        <v>175.271</v>
      </c>
    </row>
    <row r="23" hidden="1">
      <c r="A23" s="13" t="s">
        <v>367</v>
      </c>
      <c r="B23" s="13" t="s">
        <v>342</v>
      </c>
      <c r="C23" s="13"/>
      <c r="D23" s="13" t="s">
        <v>57</v>
      </c>
      <c r="E23" s="13" t="s">
        <v>23</v>
      </c>
      <c r="F23" s="14">
        <v>136.999</v>
      </c>
      <c r="G23" s="18">
        <v>174.701</v>
      </c>
      <c r="I23" s="20"/>
      <c r="J23" s="20"/>
      <c r="K23" s="20"/>
      <c r="L23" s="20"/>
      <c r="M23" s="20"/>
      <c r="N23" s="20"/>
    </row>
    <row r="24" hidden="1">
      <c r="A24" s="13" t="s">
        <v>368</v>
      </c>
      <c r="B24" s="13" t="s">
        <v>342</v>
      </c>
      <c r="C24" s="13"/>
      <c r="D24" s="13" t="s">
        <v>57</v>
      </c>
      <c r="E24" s="13" t="s">
        <v>23</v>
      </c>
      <c r="F24" s="14">
        <v>138.261</v>
      </c>
      <c r="G24" s="18">
        <v>174.951</v>
      </c>
      <c r="I24" s="20"/>
      <c r="J24" s="20"/>
      <c r="K24" s="20"/>
      <c r="L24" s="20"/>
      <c r="M24" s="20"/>
      <c r="N24" s="20"/>
    </row>
    <row r="25" hidden="1">
      <c r="A25" s="13" t="s">
        <v>369</v>
      </c>
      <c r="B25" s="13" t="s">
        <v>342</v>
      </c>
      <c r="C25" s="13"/>
      <c r="D25" s="13" t="s">
        <v>57</v>
      </c>
      <c r="E25" s="13" t="s">
        <v>23</v>
      </c>
      <c r="F25" s="14">
        <v>137.068</v>
      </c>
      <c r="G25" s="18">
        <v>174.894</v>
      </c>
      <c r="I25" s="20"/>
      <c r="J25" s="20"/>
      <c r="K25" s="20"/>
      <c r="L25" s="20"/>
      <c r="M25" s="20"/>
      <c r="N25" s="20"/>
    </row>
    <row r="26">
      <c r="A26" s="13" t="s">
        <v>55</v>
      </c>
      <c r="B26" s="13" t="s">
        <v>56</v>
      </c>
      <c r="C26" s="13"/>
      <c r="D26" s="13" t="s">
        <v>57</v>
      </c>
      <c r="E26" s="13" t="s">
        <v>23</v>
      </c>
      <c r="F26" s="14">
        <v>137.016</v>
      </c>
      <c r="G26" s="18">
        <v>174.851</v>
      </c>
    </row>
    <row r="27">
      <c r="A27" s="13" t="s">
        <v>58</v>
      </c>
      <c r="B27" s="13" t="s">
        <v>45</v>
      </c>
      <c r="C27" s="13" t="s">
        <v>59</v>
      </c>
      <c r="D27" s="13" t="s">
        <v>60</v>
      </c>
      <c r="E27" s="13" t="s">
        <v>30</v>
      </c>
      <c r="F27" s="14">
        <v>18.425</v>
      </c>
      <c r="G27" s="18">
        <v>37.848</v>
      </c>
      <c r="I27" s="20"/>
      <c r="J27" s="20"/>
      <c r="K27" s="20"/>
      <c r="L27" s="20"/>
      <c r="M27" s="20"/>
      <c r="N27" s="20"/>
    </row>
    <row r="28">
      <c r="A28" s="13" t="s">
        <v>61</v>
      </c>
      <c r="B28" s="13" t="s">
        <v>45</v>
      </c>
      <c r="C28" s="13" t="s">
        <v>62</v>
      </c>
      <c r="D28" s="13" t="s">
        <v>63</v>
      </c>
      <c r="E28" s="13" t="s">
        <v>26</v>
      </c>
      <c r="F28" s="14">
        <v>22.277</v>
      </c>
      <c r="G28" s="18">
        <v>22.826</v>
      </c>
    </row>
    <row r="29" hidden="1">
      <c r="A29" s="13" t="s">
        <v>370</v>
      </c>
      <c r="B29" s="13" t="s">
        <v>342</v>
      </c>
      <c r="C29" s="13"/>
      <c r="D29" s="13" t="s">
        <v>371</v>
      </c>
      <c r="E29" s="13" t="s">
        <v>23</v>
      </c>
      <c r="F29" s="14">
        <v>126.145</v>
      </c>
      <c r="G29" s="18">
        <v>122.753</v>
      </c>
      <c r="I29" s="20"/>
      <c r="J29" s="20"/>
      <c r="K29" s="20"/>
      <c r="L29" s="20"/>
      <c r="M29" s="20"/>
      <c r="N29" s="20"/>
    </row>
    <row r="30">
      <c r="A30" s="13" t="s">
        <v>372</v>
      </c>
      <c r="B30" s="13" t="s">
        <v>56</v>
      </c>
      <c r="C30" s="13"/>
      <c r="D30" s="13" t="s">
        <v>54</v>
      </c>
      <c r="E30" s="13" t="s">
        <v>30</v>
      </c>
      <c r="F30" s="14">
        <v>18.448</v>
      </c>
      <c r="G30" s="13" t="s">
        <v>345</v>
      </c>
      <c r="I30" s="20"/>
      <c r="J30" s="20"/>
      <c r="K30" s="20"/>
      <c r="L30" s="20"/>
      <c r="M30" s="20"/>
      <c r="N30" s="20"/>
    </row>
    <row r="31">
      <c r="A31" s="13" t="s">
        <v>64</v>
      </c>
      <c r="B31" s="13" t="s">
        <v>45</v>
      </c>
      <c r="C31" s="13" t="s">
        <v>65</v>
      </c>
      <c r="D31" s="13" t="s">
        <v>66</v>
      </c>
      <c r="E31" s="13" t="s">
        <v>18</v>
      </c>
      <c r="F31" s="14">
        <v>24.106</v>
      </c>
      <c r="G31" s="18">
        <v>24.297</v>
      </c>
      <c r="I31" s="20"/>
      <c r="J31" s="20"/>
      <c r="K31" s="20"/>
      <c r="L31" s="20"/>
      <c r="M31" s="20"/>
      <c r="N31" s="20"/>
    </row>
    <row r="32">
      <c r="A32" s="13" t="s">
        <v>67</v>
      </c>
      <c r="B32" s="13" t="s">
        <v>45</v>
      </c>
      <c r="C32" s="13" t="s">
        <v>68</v>
      </c>
      <c r="D32" s="13" t="s">
        <v>69</v>
      </c>
      <c r="E32" s="13" t="s">
        <v>23</v>
      </c>
      <c r="F32" s="14">
        <v>131.534</v>
      </c>
      <c r="G32" s="18">
        <v>315.65</v>
      </c>
      <c r="I32" s="20"/>
      <c r="J32" s="20"/>
      <c r="K32" s="20"/>
      <c r="L32" s="20"/>
      <c r="M32" s="20"/>
      <c r="N32" s="20"/>
    </row>
    <row r="33">
      <c r="A33" s="13" t="s">
        <v>70</v>
      </c>
      <c r="B33" s="13" t="s">
        <v>56</v>
      </c>
      <c r="C33" s="13"/>
      <c r="D33" s="13" t="s">
        <v>71</v>
      </c>
      <c r="E33" s="13" t="s">
        <v>16</v>
      </c>
      <c r="F33" s="14">
        <v>12.81</v>
      </c>
      <c r="G33" s="18">
        <v>14.036</v>
      </c>
    </row>
    <row r="34" hidden="1">
      <c r="A34" s="13" t="s">
        <v>373</v>
      </c>
      <c r="B34" s="13" t="s">
        <v>342</v>
      </c>
      <c r="C34" s="13"/>
      <c r="D34" s="13" t="s">
        <v>71</v>
      </c>
      <c r="E34" s="13" t="s">
        <v>16</v>
      </c>
      <c r="F34" s="14">
        <v>12.811</v>
      </c>
      <c r="G34" s="18">
        <v>14.056</v>
      </c>
      <c r="I34" s="20"/>
      <c r="J34" s="20"/>
      <c r="K34" s="20"/>
      <c r="L34" s="20"/>
      <c r="M34" s="20"/>
      <c r="N34" s="20"/>
    </row>
    <row r="35">
      <c r="A35" s="13" t="s">
        <v>72</v>
      </c>
      <c r="B35" s="13" t="s">
        <v>45</v>
      </c>
      <c r="C35" s="13" t="s">
        <v>73</v>
      </c>
      <c r="D35" s="13" t="s">
        <v>12</v>
      </c>
      <c r="E35" s="13" t="s">
        <v>12</v>
      </c>
      <c r="F35" s="14">
        <v>235.943</v>
      </c>
      <c r="G35" s="18">
        <v>212.941</v>
      </c>
      <c r="I35" s="20"/>
      <c r="J35" s="20"/>
      <c r="K35" s="20"/>
      <c r="L35" s="20"/>
      <c r="M35" s="20"/>
      <c r="N35" s="20"/>
    </row>
    <row r="36" hidden="1">
      <c r="A36" s="13" t="s">
        <v>374</v>
      </c>
      <c r="B36" s="13" t="s">
        <v>342</v>
      </c>
      <c r="C36" s="13"/>
      <c r="D36" s="13" t="s">
        <v>71</v>
      </c>
      <c r="E36" s="13" t="s">
        <v>16</v>
      </c>
      <c r="F36" s="14">
        <v>12.829</v>
      </c>
      <c r="G36" s="18">
        <v>15.676</v>
      </c>
      <c r="I36" s="20"/>
      <c r="J36" s="20"/>
      <c r="K36" s="20"/>
      <c r="L36" s="20"/>
      <c r="M36" s="20"/>
      <c r="N36" s="20"/>
    </row>
    <row r="37" hidden="1">
      <c r="A37" s="13" t="s">
        <v>375</v>
      </c>
      <c r="B37" s="13" t="s">
        <v>342</v>
      </c>
      <c r="C37" s="13"/>
      <c r="D37" s="13" t="s">
        <v>71</v>
      </c>
      <c r="E37" s="13" t="s">
        <v>16</v>
      </c>
      <c r="F37" s="14">
        <v>12.931</v>
      </c>
      <c r="G37" s="18">
        <v>15.57</v>
      </c>
    </row>
    <row r="38">
      <c r="A38" s="13" t="s">
        <v>74</v>
      </c>
      <c r="B38" s="13" t="s">
        <v>45</v>
      </c>
      <c r="C38" s="13" t="s">
        <v>75</v>
      </c>
      <c r="D38" s="13" t="s">
        <v>71</v>
      </c>
      <c r="E38" s="13" t="s">
        <v>16</v>
      </c>
      <c r="F38" s="14">
        <v>12.724</v>
      </c>
      <c r="G38" s="18">
        <v>15.564</v>
      </c>
    </row>
    <row r="39">
      <c r="A39" s="13" t="s">
        <v>76</v>
      </c>
      <c r="B39" s="13" t="s">
        <v>56</v>
      </c>
      <c r="C39" s="13"/>
      <c r="D39" s="13" t="s">
        <v>77</v>
      </c>
      <c r="E39" s="13" t="s">
        <v>16</v>
      </c>
      <c r="F39" s="14">
        <v>12.355</v>
      </c>
      <c r="G39" s="18">
        <v>15.393</v>
      </c>
    </row>
    <row r="40">
      <c r="A40" s="13" t="s">
        <v>78</v>
      </c>
      <c r="B40" s="13" t="s">
        <v>45</v>
      </c>
      <c r="C40" s="13" t="s">
        <v>79</v>
      </c>
      <c r="D40" s="13" t="s">
        <v>77</v>
      </c>
      <c r="E40" s="13" t="s">
        <v>16</v>
      </c>
      <c r="F40" s="14">
        <v>12.296</v>
      </c>
      <c r="G40" s="18">
        <v>15.112</v>
      </c>
    </row>
    <row r="41" hidden="1">
      <c r="A41" s="13" t="s">
        <v>376</v>
      </c>
      <c r="B41" s="13" t="s">
        <v>342</v>
      </c>
      <c r="C41" s="13"/>
      <c r="D41" s="13" t="s">
        <v>77</v>
      </c>
      <c r="E41" s="13" t="s">
        <v>16</v>
      </c>
      <c r="F41" s="14">
        <v>12.48</v>
      </c>
      <c r="G41" s="18">
        <v>15.232</v>
      </c>
    </row>
    <row r="42">
      <c r="A42" s="13" t="s">
        <v>80</v>
      </c>
      <c r="B42" s="13" t="s">
        <v>45</v>
      </c>
      <c r="C42" s="13" t="s">
        <v>81</v>
      </c>
      <c r="D42" s="13" t="s">
        <v>82</v>
      </c>
      <c r="E42" s="13" t="s">
        <v>16</v>
      </c>
      <c r="F42" s="14">
        <v>12.461</v>
      </c>
      <c r="G42" s="18">
        <v>15.523</v>
      </c>
    </row>
    <row r="43">
      <c r="A43" s="13" t="s">
        <v>377</v>
      </c>
      <c r="B43" s="13" t="s">
        <v>45</v>
      </c>
      <c r="C43" s="13" t="s">
        <v>100</v>
      </c>
      <c r="D43" s="13" t="s">
        <v>82</v>
      </c>
      <c r="E43" s="13" t="s">
        <v>16</v>
      </c>
      <c r="F43" s="14">
        <v>12.383</v>
      </c>
      <c r="G43" s="18">
        <v>15.424</v>
      </c>
    </row>
    <row r="44">
      <c r="A44" s="13" t="s">
        <v>83</v>
      </c>
      <c r="B44" s="13" t="s">
        <v>56</v>
      </c>
      <c r="C44" s="13"/>
      <c r="D44" s="13" t="s">
        <v>82</v>
      </c>
      <c r="E44" s="13" t="s">
        <v>16</v>
      </c>
      <c r="F44" s="14">
        <v>12.659</v>
      </c>
      <c r="G44" s="18">
        <v>15.385</v>
      </c>
    </row>
    <row r="45">
      <c r="A45" s="13" t="s">
        <v>84</v>
      </c>
      <c r="B45" s="13" t="s">
        <v>45</v>
      </c>
      <c r="C45" s="13" t="s">
        <v>85</v>
      </c>
      <c r="D45" s="13" t="s">
        <v>82</v>
      </c>
      <c r="E45" s="13" t="s">
        <v>16</v>
      </c>
      <c r="F45" s="14">
        <v>12.643</v>
      </c>
      <c r="G45" s="18">
        <v>15.45</v>
      </c>
    </row>
    <row r="46">
      <c r="A46" s="13" t="s">
        <v>86</v>
      </c>
      <c r="B46" s="13" t="s">
        <v>45</v>
      </c>
      <c r="C46" s="13" t="s">
        <v>87</v>
      </c>
      <c r="D46" s="13" t="s">
        <v>82</v>
      </c>
      <c r="E46" s="13" t="s">
        <v>16</v>
      </c>
      <c r="F46" s="14">
        <v>12.583</v>
      </c>
      <c r="G46" s="18">
        <v>15.455</v>
      </c>
    </row>
    <row r="47">
      <c r="A47" s="13" t="s">
        <v>88</v>
      </c>
      <c r="B47" s="13" t="s">
        <v>45</v>
      </c>
      <c r="C47" s="13" t="s">
        <v>89</v>
      </c>
      <c r="D47" s="13" t="s">
        <v>82</v>
      </c>
      <c r="E47" s="13" t="s">
        <v>16</v>
      </c>
      <c r="F47" s="14">
        <v>12.521</v>
      </c>
      <c r="G47" s="18">
        <v>15.429</v>
      </c>
    </row>
    <row r="48">
      <c r="A48" s="13" t="s">
        <v>90</v>
      </c>
      <c r="B48" s="13" t="s">
        <v>45</v>
      </c>
      <c r="C48" s="13" t="s">
        <v>91</v>
      </c>
      <c r="D48" s="13" t="s">
        <v>82</v>
      </c>
      <c r="E48" s="13" t="s">
        <v>16</v>
      </c>
      <c r="F48" s="14">
        <v>12.633</v>
      </c>
      <c r="G48" s="18">
        <v>15.403</v>
      </c>
    </row>
    <row r="49">
      <c r="A49" s="13" t="s">
        <v>92</v>
      </c>
      <c r="B49" s="13" t="s">
        <v>56</v>
      </c>
      <c r="C49" s="13"/>
      <c r="D49" s="13" t="s">
        <v>82</v>
      </c>
      <c r="E49" s="13" t="s">
        <v>16</v>
      </c>
      <c r="F49" s="14">
        <v>12.708</v>
      </c>
      <c r="G49" s="18">
        <v>15.459</v>
      </c>
    </row>
    <row r="50" hidden="1">
      <c r="A50" s="13" t="s">
        <v>378</v>
      </c>
      <c r="B50" s="13" t="s">
        <v>342</v>
      </c>
      <c r="C50" s="13"/>
      <c r="D50" s="13" t="s">
        <v>82</v>
      </c>
      <c r="E50" s="13" t="s">
        <v>16</v>
      </c>
      <c r="F50" s="14">
        <v>12.4</v>
      </c>
      <c r="G50" s="18">
        <v>15.446</v>
      </c>
    </row>
    <row r="51">
      <c r="A51" s="13" t="s">
        <v>93</v>
      </c>
      <c r="B51" s="13" t="s">
        <v>45</v>
      </c>
      <c r="C51" s="13" t="s">
        <v>94</v>
      </c>
      <c r="D51" s="13" t="s">
        <v>82</v>
      </c>
      <c r="E51" s="13" t="s">
        <v>16</v>
      </c>
      <c r="F51" s="14">
        <v>12.473</v>
      </c>
      <c r="G51" s="18">
        <v>15.256</v>
      </c>
    </row>
    <row r="52">
      <c r="A52" s="13" t="s">
        <v>95</v>
      </c>
      <c r="B52" s="13" t="s">
        <v>45</v>
      </c>
      <c r="C52" s="13" t="s">
        <v>96</v>
      </c>
      <c r="D52" s="13" t="s">
        <v>82</v>
      </c>
      <c r="E52" s="13" t="s">
        <v>16</v>
      </c>
      <c r="F52" s="14">
        <v>12.798</v>
      </c>
      <c r="G52" s="18">
        <v>15.476</v>
      </c>
    </row>
    <row r="53">
      <c r="A53" s="13" t="s">
        <v>379</v>
      </c>
      <c r="B53" s="13" t="s">
        <v>45</v>
      </c>
      <c r="C53" s="13" t="s">
        <v>380</v>
      </c>
      <c r="D53" s="13" t="s">
        <v>82</v>
      </c>
      <c r="E53" s="13" t="s">
        <v>16</v>
      </c>
      <c r="F53" s="14">
        <v>12.441</v>
      </c>
      <c r="G53" s="18">
        <v>15.338</v>
      </c>
    </row>
    <row r="54">
      <c r="A54" s="13" t="s">
        <v>97</v>
      </c>
      <c r="B54" s="13" t="s">
        <v>45</v>
      </c>
      <c r="C54" s="13" t="s">
        <v>98</v>
      </c>
      <c r="D54" s="13" t="s">
        <v>82</v>
      </c>
      <c r="E54" s="13" t="s">
        <v>16</v>
      </c>
      <c r="F54" s="14">
        <v>12.708</v>
      </c>
      <c r="G54" s="18">
        <v>15.244</v>
      </c>
    </row>
    <row r="55">
      <c r="A55" s="13" t="s">
        <v>99</v>
      </c>
      <c r="B55" s="13" t="s">
        <v>45</v>
      </c>
      <c r="C55" s="13" t="s">
        <v>100</v>
      </c>
      <c r="D55" s="13" t="s">
        <v>71</v>
      </c>
      <c r="E55" s="13" t="s">
        <v>16</v>
      </c>
      <c r="F55" s="14">
        <v>12.61</v>
      </c>
      <c r="G55" s="18">
        <v>15.385</v>
      </c>
    </row>
    <row r="56" hidden="1">
      <c r="A56" s="13" t="s">
        <v>381</v>
      </c>
      <c r="B56" s="13" t="s">
        <v>342</v>
      </c>
      <c r="C56" s="13"/>
      <c r="D56" s="13" t="s">
        <v>71</v>
      </c>
      <c r="E56" s="13" t="s">
        <v>16</v>
      </c>
      <c r="F56" s="14">
        <v>12.781</v>
      </c>
      <c r="G56" s="18">
        <v>15.485</v>
      </c>
    </row>
    <row r="57" hidden="1">
      <c r="A57" s="13" t="s">
        <v>382</v>
      </c>
      <c r="B57" s="13" t="s">
        <v>342</v>
      </c>
      <c r="C57" s="13"/>
      <c r="D57" s="13" t="s">
        <v>54</v>
      </c>
      <c r="E57" s="13" t="s">
        <v>30</v>
      </c>
      <c r="F57" s="14">
        <v>21.569</v>
      </c>
      <c r="G57" s="18">
        <v>40.858</v>
      </c>
    </row>
    <row r="58" hidden="1">
      <c r="A58" s="13" t="s">
        <v>383</v>
      </c>
      <c r="B58" s="13" t="s">
        <v>342</v>
      </c>
      <c r="C58" s="13"/>
      <c r="D58" s="13" t="s">
        <v>384</v>
      </c>
      <c r="E58" s="13" t="s">
        <v>23</v>
      </c>
      <c r="F58" s="14">
        <v>147.123</v>
      </c>
      <c r="G58" s="18">
        <v>161.415</v>
      </c>
    </row>
    <row r="59" hidden="1">
      <c r="A59" s="13" t="s">
        <v>385</v>
      </c>
      <c r="B59" s="13" t="s">
        <v>342</v>
      </c>
      <c r="C59" s="13"/>
      <c r="D59" s="13" t="s">
        <v>204</v>
      </c>
      <c r="E59" s="13" t="s">
        <v>26</v>
      </c>
      <c r="F59" s="14" t="s">
        <v>345</v>
      </c>
      <c r="G59" s="18">
        <v>41.881</v>
      </c>
    </row>
    <row r="60">
      <c r="A60" s="13" t="s">
        <v>101</v>
      </c>
      <c r="B60" s="13" t="s">
        <v>45</v>
      </c>
      <c r="C60" s="13" t="s">
        <v>102</v>
      </c>
      <c r="D60" s="13" t="s">
        <v>103</v>
      </c>
      <c r="E60" s="13" t="s">
        <v>32</v>
      </c>
      <c r="F60" s="14">
        <v>0.087</v>
      </c>
      <c r="G60" s="18">
        <v>29.544</v>
      </c>
    </row>
    <row r="61" hidden="1">
      <c r="A61" s="13" t="s">
        <v>386</v>
      </c>
      <c r="B61" s="13" t="s">
        <v>342</v>
      </c>
      <c r="C61" s="13"/>
      <c r="D61" s="13" t="s">
        <v>387</v>
      </c>
      <c r="E61" s="13" t="s">
        <v>23</v>
      </c>
      <c r="F61" s="14">
        <v>154.403</v>
      </c>
      <c r="G61" s="18">
        <v>193.459</v>
      </c>
    </row>
    <row r="62">
      <c r="A62" s="13" t="s">
        <v>104</v>
      </c>
      <c r="B62" s="13" t="s">
        <v>45</v>
      </c>
      <c r="C62" s="13" t="s">
        <v>105</v>
      </c>
      <c r="D62" s="13" t="s">
        <v>54</v>
      </c>
      <c r="E62" s="13" t="s">
        <v>30</v>
      </c>
      <c r="F62" s="14">
        <v>18.411</v>
      </c>
      <c r="G62" s="18">
        <v>37.737</v>
      </c>
    </row>
    <row r="63" hidden="1">
      <c r="A63" s="13" t="s">
        <v>388</v>
      </c>
      <c r="B63" s="13" t="s">
        <v>342</v>
      </c>
      <c r="C63" s="13"/>
      <c r="D63" s="13" t="s">
        <v>389</v>
      </c>
      <c r="E63" s="13" t="s">
        <v>23</v>
      </c>
      <c r="F63" s="14">
        <v>103.406</v>
      </c>
      <c r="G63" s="18">
        <v>98.484</v>
      </c>
    </row>
    <row r="64">
      <c r="A64" s="13" t="s">
        <v>106</v>
      </c>
      <c r="B64" s="13" t="s">
        <v>56</v>
      </c>
      <c r="C64" s="13"/>
      <c r="D64" s="13" t="s">
        <v>107</v>
      </c>
      <c r="E64" s="13" t="s">
        <v>16</v>
      </c>
      <c r="F64" s="14">
        <v>12.988</v>
      </c>
      <c r="G64" s="18">
        <v>15.243</v>
      </c>
    </row>
    <row r="65">
      <c r="A65" s="13" t="s">
        <v>108</v>
      </c>
      <c r="B65" s="13" t="s">
        <v>56</v>
      </c>
      <c r="C65" s="13"/>
      <c r="D65" s="13" t="s">
        <v>107</v>
      </c>
      <c r="E65" s="13" t="s">
        <v>16</v>
      </c>
      <c r="F65" s="14">
        <v>12.835</v>
      </c>
      <c r="G65" s="18">
        <v>15.173</v>
      </c>
    </row>
    <row r="66" hidden="1">
      <c r="A66" s="13" t="s">
        <v>390</v>
      </c>
      <c r="B66" s="13" t="s">
        <v>342</v>
      </c>
      <c r="C66" s="13"/>
      <c r="D66" s="13" t="s">
        <v>107</v>
      </c>
      <c r="E66" s="13" t="s">
        <v>16</v>
      </c>
      <c r="F66" s="14">
        <v>12.82</v>
      </c>
      <c r="G66" s="18">
        <v>37.622</v>
      </c>
    </row>
    <row r="67">
      <c r="A67" s="13" t="s">
        <v>109</v>
      </c>
      <c r="B67" s="13" t="s">
        <v>45</v>
      </c>
      <c r="C67" s="13" t="s">
        <v>110</v>
      </c>
      <c r="D67" s="13" t="s">
        <v>107</v>
      </c>
      <c r="E67" s="13" t="s">
        <v>16</v>
      </c>
      <c r="F67" s="14">
        <v>12.876</v>
      </c>
      <c r="G67" s="18">
        <v>15.028</v>
      </c>
    </row>
    <row r="68">
      <c r="A68" s="13" t="s">
        <v>111</v>
      </c>
      <c r="B68" s="13" t="s">
        <v>45</v>
      </c>
      <c r="C68" s="13" t="s">
        <v>112</v>
      </c>
      <c r="D68" s="13" t="s">
        <v>107</v>
      </c>
      <c r="E68" s="13" t="s">
        <v>16</v>
      </c>
      <c r="F68" s="14">
        <v>12.985</v>
      </c>
      <c r="G68" s="18">
        <v>15.063</v>
      </c>
    </row>
    <row r="69">
      <c r="A69" s="13" t="s">
        <v>113</v>
      </c>
      <c r="B69" s="13" t="s">
        <v>45</v>
      </c>
      <c r="C69" s="13" t="s">
        <v>114</v>
      </c>
      <c r="D69" s="13" t="s">
        <v>107</v>
      </c>
      <c r="E69" s="13" t="s">
        <v>16</v>
      </c>
      <c r="F69" s="14">
        <v>12.856</v>
      </c>
      <c r="G69" s="18">
        <v>15.037</v>
      </c>
    </row>
    <row r="70">
      <c r="A70" s="13" t="s">
        <v>115</v>
      </c>
      <c r="B70" s="13" t="s">
        <v>45</v>
      </c>
      <c r="C70" s="13" t="s">
        <v>116</v>
      </c>
      <c r="D70" s="13" t="s">
        <v>117</v>
      </c>
      <c r="E70" s="13" t="s">
        <v>23</v>
      </c>
      <c r="F70" s="14">
        <v>104.054</v>
      </c>
      <c r="G70" s="18">
        <v>94.812</v>
      </c>
    </row>
    <row r="71">
      <c r="A71" s="13" t="s">
        <v>391</v>
      </c>
      <c r="B71" s="13" t="s">
        <v>45</v>
      </c>
      <c r="C71" s="13" t="s">
        <v>392</v>
      </c>
      <c r="D71" s="13" t="s">
        <v>117</v>
      </c>
      <c r="E71" s="13" t="s">
        <v>23</v>
      </c>
      <c r="F71" s="14" t="s">
        <v>345</v>
      </c>
      <c r="G71" s="13" t="s">
        <v>345</v>
      </c>
    </row>
    <row r="72">
      <c r="A72" s="13" t="s">
        <v>118</v>
      </c>
      <c r="B72" s="13" t="s">
        <v>45</v>
      </c>
      <c r="C72" s="13" t="s">
        <v>119</v>
      </c>
      <c r="D72" s="13" t="s">
        <v>107</v>
      </c>
      <c r="E72" s="13" t="s">
        <v>16</v>
      </c>
      <c r="F72" s="14">
        <v>13.011</v>
      </c>
      <c r="G72" s="18">
        <v>15.166</v>
      </c>
    </row>
    <row r="73">
      <c r="A73" s="13" t="s">
        <v>120</v>
      </c>
      <c r="B73" s="13" t="s">
        <v>45</v>
      </c>
      <c r="C73" s="13" t="s">
        <v>121</v>
      </c>
      <c r="D73" s="13" t="s">
        <v>107</v>
      </c>
      <c r="E73" s="13" t="s">
        <v>16</v>
      </c>
      <c r="F73" s="14">
        <v>12.852</v>
      </c>
      <c r="G73" s="18">
        <v>15.142</v>
      </c>
    </row>
    <row r="74">
      <c r="A74" s="13" t="s">
        <v>122</v>
      </c>
      <c r="B74" s="13" t="s">
        <v>45</v>
      </c>
      <c r="C74" s="13" t="s">
        <v>123</v>
      </c>
      <c r="D74" s="13" t="s">
        <v>54</v>
      </c>
      <c r="E74" s="13" t="s">
        <v>29</v>
      </c>
      <c r="F74" s="14">
        <v>18.575</v>
      </c>
      <c r="G74" s="18">
        <v>31.768</v>
      </c>
    </row>
    <row r="75">
      <c r="A75" s="13" t="s">
        <v>393</v>
      </c>
      <c r="B75" s="13" t="s">
        <v>45</v>
      </c>
      <c r="C75" s="13" t="s">
        <v>394</v>
      </c>
      <c r="D75" s="13" t="s">
        <v>126</v>
      </c>
      <c r="E75" s="13" t="s">
        <v>17</v>
      </c>
      <c r="F75" s="14" t="s">
        <v>345</v>
      </c>
      <c r="G75" s="13" t="s">
        <v>345</v>
      </c>
    </row>
    <row r="76" hidden="1">
      <c r="A76" s="13" t="s">
        <v>395</v>
      </c>
      <c r="B76" s="13" t="s">
        <v>342</v>
      </c>
      <c r="C76" s="13"/>
      <c r="D76" s="13" t="s">
        <v>126</v>
      </c>
      <c r="E76" s="13" t="s">
        <v>17</v>
      </c>
      <c r="F76" s="14">
        <v>280.294</v>
      </c>
      <c r="G76" s="18">
        <v>248.083</v>
      </c>
    </row>
    <row r="77">
      <c r="A77" s="13" t="s">
        <v>124</v>
      </c>
      <c r="B77" s="13" t="s">
        <v>45</v>
      </c>
      <c r="C77" s="13" t="s">
        <v>125</v>
      </c>
      <c r="D77" s="13" t="s">
        <v>126</v>
      </c>
      <c r="E77" s="13" t="s">
        <v>17</v>
      </c>
      <c r="F77" s="14">
        <v>257.605</v>
      </c>
      <c r="G77" s="18">
        <v>248.009</v>
      </c>
    </row>
    <row r="78">
      <c r="A78" s="13" t="s">
        <v>127</v>
      </c>
      <c r="B78" s="13" t="s">
        <v>56</v>
      </c>
      <c r="C78" s="13"/>
      <c r="D78" s="13" t="s">
        <v>107</v>
      </c>
      <c r="E78" s="13" t="s">
        <v>16</v>
      </c>
      <c r="F78" s="14">
        <v>12.825</v>
      </c>
      <c r="G78" s="18">
        <v>15.308</v>
      </c>
    </row>
    <row r="79">
      <c r="A79" s="13" t="s">
        <v>128</v>
      </c>
      <c r="B79" s="13" t="s">
        <v>56</v>
      </c>
      <c r="C79" s="13"/>
      <c r="D79" s="13" t="s">
        <v>117</v>
      </c>
      <c r="E79" s="13" t="s">
        <v>23</v>
      </c>
      <c r="F79" s="14">
        <v>103.966</v>
      </c>
      <c r="G79" s="18">
        <v>95.016</v>
      </c>
    </row>
    <row r="80" hidden="1">
      <c r="A80" s="13" t="s">
        <v>396</v>
      </c>
      <c r="B80" s="13" t="s">
        <v>342</v>
      </c>
      <c r="C80" s="13"/>
      <c r="D80" s="13" t="s">
        <v>117</v>
      </c>
      <c r="E80" s="13" t="s">
        <v>23</v>
      </c>
      <c r="F80" s="14">
        <v>103.94</v>
      </c>
      <c r="G80" s="18">
        <v>95.076</v>
      </c>
    </row>
    <row r="81">
      <c r="A81" s="13" t="s">
        <v>129</v>
      </c>
      <c r="B81" s="13" t="s">
        <v>45</v>
      </c>
      <c r="C81" s="13" t="s">
        <v>130</v>
      </c>
      <c r="D81" s="13" t="s">
        <v>54</v>
      </c>
      <c r="E81" s="13" t="s">
        <v>29</v>
      </c>
      <c r="F81" s="14">
        <v>18.686</v>
      </c>
      <c r="G81" s="18">
        <v>31.81</v>
      </c>
    </row>
    <row r="82">
      <c r="A82" s="13" t="s">
        <v>131</v>
      </c>
      <c r="B82" s="13" t="s">
        <v>45</v>
      </c>
      <c r="C82" s="13" t="s">
        <v>132</v>
      </c>
      <c r="D82" s="13" t="s">
        <v>54</v>
      </c>
      <c r="E82" s="13" t="s">
        <v>29</v>
      </c>
      <c r="F82" s="14">
        <v>18.701</v>
      </c>
      <c r="G82" s="18">
        <v>32.329</v>
      </c>
    </row>
    <row r="83" hidden="1">
      <c r="A83" s="13" t="s">
        <v>397</v>
      </c>
      <c r="B83" s="13" t="s">
        <v>342</v>
      </c>
      <c r="C83" s="13"/>
      <c r="D83" s="13" t="s">
        <v>54</v>
      </c>
      <c r="E83" s="13" t="s">
        <v>29</v>
      </c>
      <c r="F83" s="14" t="s">
        <v>345</v>
      </c>
      <c r="G83" s="18">
        <v>32.164</v>
      </c>
    </row>
    <row r="84" hidden="1">
      <c r="A84" s="13" t="s">
        <v>398</v>
      </c>
      <c r="B84" s="13" t="s">
        <v>342</v>
      </c>
      <c r="C84" s="13"/>
      <c r="D84" s="13" t="s">
        <v>54</v>
      </c>
      <c r="E84" s="13" t="s">
        <v>29</v>
      </c>
      <c r="F84" s="14" t="s">
        <v>345</v>
      </c>
      <c r="G84" s="18">
        <v>31.898</v>
      </c>
    </row>
    <row r="85">
      <c r="A85" s="13" t="s">
        <v>133</v>
      </c>
      <c r="B85" s="13" t="s">
        <v>56</v>
      </c>
      <c r="C85" s="13"/>
      <c r="D85" s="13" t="s">
        <v>54</v>
      </c>
      <c r="E85" s="13" t="s">
        <v>29</v>
      </c>
      <c r="F85" s="14">
        <v>18.526</v>
      </c>
      <c r="G85" s="18">
        <v>31.844</v>
      </c>
    </row>
    <row r="86" hidden="1">
      <c r="A86" s="13" t="s">
        <v>399</v>
      </c>
      <c r="B86" s="13" t="s">
        <v>342</v>
      </c>
      <c r="C86" s="13"/>
      <c r="D86" s="13" t="s">
        <v>107</v>
      </c>
      <c r="E86" s="13" t="s">
        <v>16</v>
      </c>
      <c r="F86" s="14" t="s">
        <v>345</v>
      </c>
      <c r="G86" s="13" t="s">
        <v>345</v>
      </c>
    </row>
    <row r="87">
      <c r="A87" s="13" t="s">
        <v>134</v>
      </c>
      <c r="B87" s="13" t="s">
        <v>45</v>
      </c>
      <c r="C87" s="13" t="s">
        <v>135</v>
      </c>
      <c r="D87" s="13" t="s">
        <v>107</v>
      </c>
      <c r="E87" s="13" t="s">
        <v>16</v>
      </c>
      <c r="F87" s="14">
        <v>12.837</v>
      </c>
      <c r="G87" s="18">
        <v>15.205</v>
      </c>
    </row>
    <row r="88">
      <c r="A88" s="13" t="s">
        <v>400</v>
      </c>
      <c r="B88" s="13" t="s">
        <v>45</v>
      </c>
      <c r="C88" s="13" t="s">
        <v>401</v>
      </c>
      <c r="D88" s="13" t="s">
        <v>156</v>
      </c>
      <c r="E88" s="13" t="s">
        <v>18</v>
      </c>
      <c r="F88" s="14" t="s">
        <v>345</v>
      </c>
      <c r="G88" s="13" t="s">
        <v>345</v>
      </c>
    </row>
    <row r="89">
      <c r="A89" s="13" t="s">
        <v>136</v>
      </c>
      <c r="B89" s="13" t="s">
        <v>45</v>
      </c>
      <c r="C89" s="13" t="s">
        <v>137</v>
      </c>
      <c r="D89" s="13" t="s">
        <v>138</v>
      </c>
      <c r="E89" s="13" t="s">
        <v>15</v>
      </c>
      <c r="F89" s="14">
        <v>239.041</v>
      </c>
      <c r="G89" s="18">
        <v>216.404</v>
      </c>
    </row>
    <row r="90">
      <c r="A90" s="13" t="s">
        <v>139</v>
      </c>
      <c r="B90" s="13" t="s">
        <v>45</v>
      </c>
      <c r="C90" s="13" t="s">
        <v>140</v>
      </c>
      <c r="D90" s="13" t="s">
        <v>138</v>
      </c>
      <c r="E90" s="13" t="s">
        <v>15</v>
      </c>
      <c r="F90" s="14">
        <v>242.764</v>
      </c>
      <c r="G90" s="18">
        <v>215.013</v>
      </c>
    </row>
    <row r="91">
      <c r="A91" s="13" t="s">
        <v>141</v>
      </c>
      <c r="B91" s="13" t="s">
        <v>56</v>
      </c>
      <c r="C91" s="13"/>
      <c r="D91" s="13" t="s">
        <v>142</v>
      </c>
      <c r="E91" s="13" t="s">
        <v>27</v>
      </c>
      <c r="F91" s="14">
        <v>48.953</v>
      </c>
      <c r="G91" s="18">
        <v>59.358</v>
      </c>
    </row>
    <row r="92" hidden="1">
      <c r="A92" s="13" t="s">
        <v>402</v>
      </c>
      <c r="B92" s="13" t="s">
        <v>342</v>
      </c>
      <c r="C92" s="13"/>
      <c r="D92" s="13" t="s">
        <v>403</v>
      </c>
      <c r="E92" s="13" t="s">
        <v>23</v>
      </c>
      <c r="F92" s="14">
        <v>104.526</v>
      </c>
      <c r="G92" s="18">
        <v>97.498</v>
      </c>
    </row>
    <row r="93" hidden="1">
      <c r="A93" s="13" t="s">
        <v>404</v>
      </c>
      <c r="B93" s="13" t="s">
        <v>342</v>
      </c>
      <c r="C93" s="13"/>
      <c r="D93" s="13" t="s">
        <v>389</v>
      </c>
      <c r="E93" s="13" t="s">
        <v>23</v>
      </c>
      <c r="F93" s="14">
        <v>102.962</v>
      </c>
      <c r="G93" s="18">
        <v>99.963</v>
      </c>
    </row>
    <row r="94">
      <c r="A94" s="13" t="s">
        <v>143</v>
      </c>
      <c r="B94" s="13" t="s">
        <v>45</v>
      </c>
      <c r="C94" s="13" t="s">
        <v>144</v>
      </c>
      <c r="D94" s="13" t="s">
        <v>145</v>
      </c>
      <c r="E94" s="13" t="s">
        <v>23</v>
      </c>
      <c r="F94" s="14">
        <v>103.173</v>
      </c>
      <c r="G94" s="18">
        <v>95.057</v>
      </c>
    </row>
    <row r="95" hidden="1">
      <c r="A95" s="13" t="s">
        <v>405</v>
      </c>
      <c r="B95" s="13" t="s">
        <v>342</v>
      </c>
      <c r="C95" s="13"/>
      <c r="D95" s="13" t="s">
        <v>71</v>
      </c>
      <c r="E95" s="13" t="s">
        <v>16</v>
      </c>
      <c r="F95" s="14">
        <v>12.624</v>
      </c>
      <c r="G95" s="18">
        <v>15.425</v>
      </c>
    </row>
    <row r="96">
      <c r="A96" s="13" t="s">
        <v>406</v>
      </c>
      <c r="B96" s="13" t="s">
        <v>45</v>
      </c>
      <c r="C96" s="13" t="s">
        <v>100</v>
      </c>
      <c r="D96" s="13" t="s">
        <v>156</v>
      </c>
      <c r="E96" s="13" t="s">
        <v>18</v>
      </c>
      <c r="F96" s="14" t="s">
        <v>345</v>
      </c>
      <c r="G96" s="13" t="s">
        <v>345</v>
      </c>
    </row>
    <row r="97">
      <c r="A97" s="13" t="s">
        <v>146</v>
      </c>
      <c r="B97" s="13" t="s">
        <v>56</v>
      </c>
      <c r="C97" s="13"/>
      <c r="D97" s="13" t="s">
        <v>147</v>
      </c>
      <c r="E97" s="13" t="s">
        <v>23</v>
      </c>
      <c r="F97" s="14">
        <v>96.297</v>
      </c>
      <c r="G97" s="18">
        <v>93.833</v>
      </c>
    </row>
    <row r="98">
      <c r="A98" s="13" t="s">
        <v>148</v>
      </c>
      <c r="B98" s="13" t="s">
        <v>45</v>
      </c>
      <c r="C98" s="13" t="s">
        <v>149</v>
      </c>
      <c r="D98" s="13" t="s">
        <v>71</v>
      </c>
      <c r="E98" s="13" t="s">
        <v>16</v>
      </c>
      <c r="F98" s="14">
        <v>13.238</v>
      </c>
      <c r="G98" s="18">
        <v>15.563</v>
      </c>
    </row>
    <row r="99">
      <c r="A99" s="13" t="s">
        <v>150</v>
      </c>
      <c r="B99" s="13" t="s">
        <v>45</v>
      </c>
      <c r="C99" s="13" t="s">
        <v>151</v>
      </c>
      <c r="D99" s="13" t="s">
        <v>71</v>
      </c>
      <c r="E99" s="13" t="s">
        <v>16</v>
      </c>
      <c r="F99" s="14">
        <v>13.399</v>
      </c>
      <c r="G99" s="18">
        <v>15.738</v>
      </c>
    </row>
    <row r="100">
      <c r="A100" s="13" t="s">
        <v>152</v>
      </c>
      <c r="B100" s="13" t="s">
        <v>45</v>
      </c>
      <c r="C100" s="13" t="s">
        <v>153</v>
      </c>
      <c r="D100" s="13" t="s">
        <v>71</v>
      </c>
      <c r="E100" s="13" t="s">
        <v>16</v>
      </c>
      <c r="F100" s="14">
        <v>13.238</v>
      </c>
      <c r="G100" s="18">
        <v>15.578</v>
      </c>
    </row>
    <row r="101">
      <c r="A101" s="13" t="s">
        <v>154</v>
      </c>
      <c r="B101" s="13" t="s">
        <v>45</v>
      </c>
      <c r="C101" s="13" t="s">
        <v>155</v>
      </c>
      <c r="D101" s="13" t="s">
        <v>156</v>
      </c>
      <c r="E101" s="13" t="s">
        <v>18</v>
      </c>
      <c r="F101" s="14">
        <v>27.314</v>
      </c>
      <c r="G101" s="18">
        <v>27.425</v>
      </c>
    </row>
    <row r="102" hidden="1">
      <c r="A102" s="13" t="s">
        <v>407</v>
      </c>
      <c r="B102" s="13" t="s">
        <v>342</v>
      </c>
      <c r="C102" s="13"/>
      <c r="D102" s="13" t="s">
        <v>147</v>
      </c>
      <c r="E102" s="13" t="s">
        <v>23</v>
      </c>
      <c r="F102" s="14">
        <v>100.844</v>
      </c>
      <c r="G102" s="18">
        <v>94.044</v>
      </c>
    </row>
    <row r="103" hidden="1">
      <c r="A103" s="13" t="s">
        <v>408</v>
      </c>
      <c r="B103" s="13" t="s">
        <v>342</v>
      </c>
      <c r="C103" s="13"/>
      <c r="D103" s="13" t="s">
        <v>409</v>
      </c>
      <c r="E103" s="13" t="s">
        <v>16</v>
      </c>
      <c r="F103" s="14">
        <v>13.222</v>
      </c>
      <c r="G103" s="18">
        <v>15.733</v>
      </c>
    </row>
    <row r="104">
      <c r="A104" s="13" t="s">
        <v>157</v>
      </c>
      <c r="B104" s="13" t="s">
        <v>56</v>
      </c>
      <c r="C104" s="13"/>
      <c r="D104" s="13" t="s">
        <v>12</v>
      </c>
      <c r="E104" s="13" t="s">
        <v>12</v>
      </c>
      <c r="F104" s="14">
        <v>251.127</v>
      </c>
      <c r="G104" s="18">
        <v>181.207</v>
      </c>
    </row>
    <row r="105">
      <c r="A105" s="13" t="s">
        <v>158</v>
      </c>
      <c r="B105" s="13" t="s">
        <v>45</v>
      </c>
      <c r="C105" s="13" t="s">
        <v>159</v>
      </c>
      <c r="D105" s="13" t="s">
        <v>12</v>
      </c>
      <c r="E105" s="13" t="s">
        <v>12</v>
      </c>
      <c r="F105" s="14">
        <v>247.504</v>
      </c>
      <c r="G105" s="18">
        <v>181.221</v>
      </c>
    </row>
    <row r="106">
      <c r="A106" s="13" t="s">
        <v>160</v>
      </c>
      <c r="B106" s="13" t="s">
        <v>45</v>
      </c>
      <c r="C106" s="13" t="s">
        <v>161</v>
      </c>
      <c r="D106" s="13" t="s">
        <v>54</v>
      </c>
      <c r="E106" s="13" t="s">
        <v>30</v>
      </c>
      <c r="F106" s="14">
        <v>19.387</v>
      </c>
      <c r="G106" s="18">
        <v>32.168</v>
      </c>
    </row>
    <row r="107" hidden="1">
      <c r="A107" s="13" t="s">
        <v>410</v>
      </c>
      <c r="B107" s="13" t="s">
        <v>342</v>
      </c>
      <c r="C107" s="13"/>
      <c r="D107" s="13" t="s">
        <v>389</v>
      </c>
      <c r="E107" s="13" t="s">
        <v>23</v>
      </c>
      <c r="F107" s="14">
        <v>104.653</v>
      </c>
      <c r="G107" s="18">
        <v>100.437</v>
      </c>
    </row>
    <row r="108">
      <c r="A108" s="13" t="s">
        <v>162</v>
      </c>
      <c r="B108" s="13" t="s">
        <v>45</v>
      </c>
      <c r="C108" s="13" t="s">
        <v>163</v>
      </c>
      <c r="D108" s="13" t="s">
        <v>164</v>
      </c>
      <c r="E108" s="13" t="s">
        <v>28</v>
      </c>
      <c r="F108" s="14">
        <v>170.392</v>
      </c>
      <c r="G108" s="18">
        <v>214.565</v>
      </c>
    </row>
    <row r="109" hidden="1">
      <c r="A109" s="13" t="s">
        <v>411</v>
      </c>
      <c r="B109" s="13" t="s">
        <v>342</v>
      </c>
      <c r="C109" s="13"/>
      <c r="D109" s="13" t="s">
        <v>384</v>
      </c>
      <c r="E109" s="13" t="s">
        <v>23</v>
      </c>
      <c r="F109" s="14">
        <v>166.877</v>
      </c>
      <c r="G109" s="18">
        <v>161.514</v>
      </c>
    </row>
    <row r="110" hidden="1">
      <c r="A110" s="13" t="s">
        <v>412</v>
      </c>
      <c r="B110" s="13" t="s">
        <v>342</v>
      </c>
      <c r="C110" s="13"/>
      <c r="D110" s="13" t="s">
        <v>147</v>
      </c>
      <c r="E110" s="13" t="s">
        <v>23</v>
      </c>
      <c r="F110" s="14" t="s">
        <v>345</v>
      </c>
      <c r="G110" s="13" t="s">
        <v>345</v>
      </c>
    </row>
    <row r="111">
      <c r="A111" s="13" t="s">
        <v>165</v>
      </c>
      <c r="B111" s="13" t="s">
        <v>45</v>
      </c>
      <c r="C111" s="13" t="s">
        <v>166</v>
      </c>
      <c r="D111" s="13" t="s">
        <v>156</v>
      </c>
      <c r="E111" s="13" t="s">
        <v>18</v>
      </c>
      <c r="F111" s="14">
        <v>26.241</v>
      </c>
      <c r="G111" s="18">
        <v>26.887</v>
      </c>
    </row>
    <row r="112">
      <c r="A112" s="13" t="s">
        <v>167</v>
      </c>
      <c r="B112" s="13" t="s">
        <v>45</v>
      </c>
      <c r="C112" s="13" t="s">
        <v>168</v>
      </c>
      <c r="D112" s="13" t="s">
        <v>156</v>
      </c>
      <c r="E112" s="13" t="s">
        <v>18</v>
      </c>
      <c r="F112" s="14">
        <v>29.941</v>
      </c>
      <c r="G112" s="18">
        <v>26.799</v>
      </c>
    </row>
    <row r="113">
      <c r="A113" s="13" t="s">
        <v>169</v>
      </c>
      <c r="B113" s="13" t="s">
        <v>45</v>
      </c>
      <c r="C113" s="13" t="s">
        <v>170</v>
      </c>
      <c r="D113" s="13" t="s">
        <v>156</v>
      </c>
      <c r="E113" s="13" t="s">
        <v>18</v>
      </c>
      <c r="F113" s="14">
        <v>27.341</v>
      </c>
      <c r="G113" s="18">
        <v>28.074</v>
      </c>
    </row>
    <row r="114">
      <c r="A114" s="13" t="s">
        <v>171</v>
      </c>
      <c r="B114" s="13" t="s">
        <v>56</v>
      </c>
      <c r="C114" s="13"/>
      <c r="D114" s="13" t="s">
        <v>69</v>
      </c>
      <c r="E114" s="13" t="s">
        <v>23</v>
      </c>
      <c r="F114" s="14">
        <v>138.1</v>
      </c>
      <c r="G114" s="18">
        <v>192.491</v>
      </c>
    </row>
    <row r="115" hidden="1">
      <c r="A115" s="13" t="s">
        <v>413</v>
      </c>
      <c r="B115" s="13" t="s">
        <v>342</v>
      </c>
      <c r="C115" s="13"/>
      <c r="D115" s="13" t="s">
        <v>12</v>
      </c>
      <c r="E115" s="13" t="s">
        <v>12</v>
      </c>
      <c r="F115" s="14">
        <v>251.986</v>
      </c>
      <c r="G115" s="18">
        <v>181.15</v>
      </c>
    </row>
    <row r="116">
      <c r="A116" s="13" t="s">
        <v>172</v>
      </c>
      <c r="B116" s="13" t="s">
        <v>45</v>
      </c>
      <c r="C116" s="13" t="s">
        <v>173</v>
      </c>
      <c r="D116" s="13" t="s">
        <v>12</v>
      </c>
      <c r="E116" s="13" t="s">
        <v>12</v>
      </c>
      <c r="F116" s="14">
        <v>253.19</v>
      </c>
      <c r="G116" s="18">
        <v>181.217</v>
      </c>
    </row>
    <row r="117" hidden="1">
      <c r="A117" s="13" t="s">
        <v>414</v>
      </c>
      <c r="B117" s="13" t="s">
        <v>342</v>
      </c>
      <c r="C117" s="13"/>
      <c r="D117" s="13" t="s">
        <v>54</v>
      </c>
      <c r="E117" s="13" t="s">
        <v>29</v>
      </c>
      <c r="F117" s="14">
        <v>18.927</v>
      </c>
      <c r="G117" s="18">
        <v>32.703</v>
      </c>
    </row>
    <row r="118">
      <c r="A118" s="13" t="s">
        <v>174</v>
      </c>
      <c r="B118" s="13" t="s">
        <v>45</v>
      </c>
      <c r="C118" s="13" t="s">
        <v>175</v>
      </c>
      <c r="D118" s="13" t="s">
        <v>176</v>
      </c>
      <c r="E118" s="13" t="s">
        <v>27</v>
      </c>
      <c r="F118" s="14">
        <v>49.895</v>
      </c>
      <c r="G118" s="18">
        <v>63.296</v>
      </c>
    </row>
    <row r="119" hidden="1">
      <c r="A119" s="13" t="s">
        <v>415</v>
      </c>
      <c r="B119" s="13" t="s">
        <v>342</v>
      </c>
      <c r="C119" s="13"/>
      <c r="D119" s="13" t="s">
        <v>176</v>
      </c>
      <c r="E119" s="13" t="s">
        <v>27</v>
      </c>
      <c r="F119" s="14">
        <v>49.803</v>
      </c>
      <c r="G119" s="18">
        <v>64.303</v>
      </c>
    </row>
    <row r="120" hidden="1">
      <c r="A120" s="13" t="s">
        <v>416</v>
      </c>
      <c r="B120" s="13" t="s">
        <v>342</v>
      </c>
      <c r="C120" s="13"/>
      <c r="D120" s="13" t="s">
        <v>49</v>
      </c>
      <c r="E120" s="13" t="s">
        <v>21</v>
      </c>
      <c r="F120" s="14">
        <v>46.619</v>
      </c>
      <c r="G120" s="18">
        <v>53.0</v>
      </c>
    </row>
    <row r="121">
      <c r="A121" s="13" t="s">
        <v>177</v>
      </c>
      <c r="B121" s="13" t="s">
        <v>45</v>
      </c>
      <c r="C121" s="13" t="s">
        <v>178</v>
      </c>
      <c r="D121" s="13" t="s">
        <v>179</v>
      </c>
      <c r="E121" s="13" t="s">
        <v>25</v>
      </c>
      <c r="F121" s="14">
        <v>20.978</v>
      </c>
      <c r="G121" s="18">
        <v>21.229</v>
      </c>
    </row>
    <row r="122" hidden="1">
      <c r="A122" s="13" t="s">
        <v>417</v>
      </c>
      <c r="B122" s="13" t="s">
        <v>342</v>
      </c>
      <c r="C122" s="13"/>
      <c r="D122" s="13" t="s">
        <v>179</v>
      </c>
      <c r="E122" s="13" t="s">
        <v>25</v>
      </c>
      <c r="F122" s="14">
        <v>20.961</v>
      </c>
      <c r="G122" s="18">
        <v>21.304</v>
      </c>
    </row>
    <row r="123">
      <c r="A123" s="13" t="s">
        <v>180</v>
      </c>
      <c r="B123" s="13" t="s">
        <v>45</v>
      </c>
      <c r="C123" s="13" t="s">
        <v>181</v>
      </c>
      <c r="D123" s="13" t="s">
        <v>182</v>
      </c>
      <c r="E123" s="13" t="s">
        <v>11</v>
      </c>
      <c r="F123" s="14">
        <v>34.773</v>
      </c>
      <c r="G123" s="18">
        <v>33.434</v>
      </c>
    </row>
    <row r="124">
      <c r="A124" s="13" t="s">
        <v>183</v>
      </c>
      <c r="B124" s="13" t="s">
        <v>45</v>
      </c>
      <c r="C124" s="13" t="s">
        <v>184</v>
      </c>
      <c r="D124" s="13" t="s">
        <v>54</v>
      </c>
      <c r="E124" s="13" t="s">
        <v>30</v>
      </c>
      <c r="F124" s="14">
        <v>28.259</v>
      </c>
      <c r="G124" s="18">
        <v>31.843</v>
      </c>
    </row>
    <row r="125" hidden="1">
      <c r="A125" s="13" t="s">
        <v>418</v>
      </c>
      <c r="B125" s="13" t="s">
        <v>342</v>
      </c>
      <c r="C125" s="13"/>
      <c r="D125" s="13" t="s">
        <v>54</v>
      </c>
      <c r="E125" s="13" t="s">
        <v>30</v>
      </c>
      <c r="F125" s="14" t="s">
        <v>345</v>
      </c>
      <c r="G125" s="13" t="s">
        <v>345</v>
      </c>
    </row>
    <row r="126" hidden="1">
      <c r="A126" s="13" t="s">
        <v>419</v>
      </c>
      <c r="B126" s="13" t="s">
        <v>342</v>
      </c>
      <c r="C126" s="13"/>
      <c r="D126" s="13" t="s">
        <v>54</v>
      </c>
      <c r="E126" s="13" t="s">
        <v>30</v>
      </c>
      <c r="F126" s="14" t="s">
        <v>345</v>
      </c>
      <c r="G126" s="13" t="s">
        <v>345</v>
      </c>
    </row>
    <row r="127">
      <c r="A127" s="13" t="s">
        <v>185</v>
      </c>
      <c r="B127" s="13" t="s">
        <v>45</v>
      </c>
      <c r="C127" s="13" t="s">
        <v>186</v>
      </c>
      <c r="D127" s="13" t="s">
        <v>54</v>
      </c>
      <c r="E127" s="13" t="s">
        <v>30</v>
      </c>
      <c r="F127" s="14">
        <v>26.556</v>
      </c>
      <c r="G127" s="18">
        <v>31.727</v>
      </c>
    </row>
    <row r="128">
      <c r="A128" s="13" t="s">
        <v>187</v>
      </c>
      <c r="B128" s="13" t="s">
        <v>45</v>
      </c>
      <c r="C128" s="13" t="s">
        <v>188</v>
      </c>
      <c r="D128" s="13" t="s">
        <v>54</v>
      </c>
      <c r="E128" s="13" t="s">
        <v>30</v>
      </c>
      <c r="F128" s="14">
        <v>26.563</v>
      </c>
      <c r="G128" s="18">
        <v>31.815</v>
      </c>
    </row>
    <row r="129">
      <c r="A129" s="13" t="s">
        <v>420</v>
      </c>
      <c r="B129" s="13" t="s">
        <v>56</v>
      </c>
      <c r="C129" s="13"/>
      <c r="D129" s="13" t="s">
        <v>54</v>
      </c>
      <c r="E129" s="13" t="s">
        <v>30</v>
      </c>
      <c r="F129" s="14" t="s">
        <v>345</v>
      </c>
      <c r="G129" s="13" t="s">
        <v>345</v>
      </c>
    </row>
    <row r="130" hidden="1">
      <c r="A130" s="13" t="s">
        <v>421</v>
      </c>
      <c r="B130" s="13" t="s">
        <v>342</v>
      </c>
      <c r="C130" s="13"/>
      <c r="D130" s="13" t="s">
        <v>71</v>
      </c>
      <c r="E130" s="13" t="s">
        <v>16</v>
      </c>
      <c r="F130" s="14">
        <v>15.945</v>
      </c>
      <c r="G130" s="18">
        <v>15.546</v>
      </c>
    </row>
    <row r="131">
      <c r="A131" s="13" t="s">
        <v>189</v>
      </c>
      <c r="B131" s="13" t="s">
        <v>45</v>
      </c>
      <c r="C131" s="13" t="s">
        <v>190</v>
      </c>
      <c r="D131" s="13" t="s">
        <v>71</v>
      </c>
      <c r="E131" s="13" t="s">
        <v>16</v>
      </c>
      <c r="F131" s="14">
        <v>15.897</v>
      </c>
      <c r="G131" s="18">
        <v>15.244</v>
      </c>
    </row>
    <row r="132">
      <c r="A132" s="13" t="s">
        <v>191</v>
      </c>
      <c r="B132" s="13" t="s">
        <v>45</v>
      </c>
      <c r="C132" s="16" t="s">
        <v>192</v>
      </c>
      <c r="D132" s="13" t="s">
        <v>193</v>
      </c>
      <c r="E132" s="13" t="s">
        <v>30</v>
      </c>
      <c r="F132" s="14">
        <v>21.245</v>
      </c>
      <c r="G132" s="18">
        <v>33.105</v>
      </c>
    </row>
    <row r="133" hidden="1">
      <c r="A133" s="13" t="s">
        <v>422</v>
      </c>
      <c r="B133" s="13" t="s">
        <v>342</v>
      </c>
      <c r="C133" s="13"/>
      <c r="D133" s="13" t="s">
        <v>182</v>
      </c>
      <c r="E133" s="13" t="s">
        <v>11</v>
      </c>
      <c r="F133" s="14" t="s">
        <v>345</v>
      </c>
      <c r="G133" s="18">
        <v>33.405</v>
      </c>
    </row>
    <row r="134" hidden="1">
      <c r="A134" s="13" t="s">
        <v>423</v>
      </c>
      <c r="B134" s="13" t="s">
        <v>342</v>
      </c>
      <c r="C134" s="13"/>
      <c r="D134" s="13" t="s">
        <v>156</v>
      </c>
      <c r="E134" s="13" t="s">
        <v>18</v>
      </c>
      <c r="F134" s="14">
        <v>32.625</v>
      </c>
      <c r="G134" s="18">
        <v>28.987</v>
      </c>
    </row>
    <row r="135">
      <c r="A135" s="13" t="s">
        <v>424</v>
      </c>
      <c r="B135" s="13" t="s">
        <v>45</v>
      </c>
      <c r="C135" s="13" t="s">
        <v>425</v>
      </c>
      <c r="D135" s="13" t="s">
        <v>196</v>
      </c>
      <c r="E135" s="13" t="s">
        <v>24</v>
      </c>
      <c r="F135" s="14" t="s">
        <v>345</v>
      </c>
      <c r="G135" s="13" t="s">
        <v>345</v>
      </c>
    </row>
    <row r="136">
      <c r="A136" s="13" t="s">
        <v>194</v>
      </c>
      <c r="B136" s="13" t="s">
        <v>45</v>
      </c>
      <c r="C136" s="13" t="s">
        <v>195</v>
      </c>
      <c r="D136" s="13" t="s">
        <v>196</v>
      </c>
      <c r="E136" s="13" t="s">
        <v>24</v>
      </c>
      <c r="F136" s="14">
        <v>40.368</v>
      </c>
      <c r="G136" s="18">
        <v>40.698</v>
      </c>
    </row>
    <row r="137">
      <c r="A137" s="13" t="s">
        <v>197</v>
      </c>
      <c r="B137" s="13" t="s">
        <v>45</v>
      </c>
      <c r="C137" s="13" t="s">
        <v>198</v>
      </c>
      <c r="D137" s="13" t="s">
        <v>196</v>
      </c>
      <c r="E137" s="13" t="s">
        <v>24</v>
      </c>
      <c r="F137" s="14">
        <v>40.37</v>
      </c>
      <c r="G137" s="18">
        <v>40.667</v>
      </c>
    </row>
    <row r="138" hidden="1">
      <c r="A138" s="13" t="s">
        <v>426</v>
      </c>
      <c r="B138" s="13" t="s">
        <v>342</v>
      </c>
      <c r="C138" s="13"/>
      <c r="D138" s="13" t="s">
        <v>427</v>
      </c>
      <c r="E138" s="13" t="s">
        <v>23</v>
      </c>
      <c r="F138" s="14" t="s">
        <v>345</v>
      </c>
      <c r="G138" s="13" t="s">
        <v>345</v>
      </c>
    </row>
    <row r="139" hidden="1">
      <c r="A139" s="13" t="s">
        <v>428</v>
      </c>
      <c r="B139" s="13" t="s">
        <v>342</v>
      </c>
      <c r="C139" s="13"/>
      <c r="D139" s="13" t="s">
        <v>54</v>
      </c>
      <c r="E139" s="13" t="s">
        <v>30</v>
      </c>
      <c r="F139" s="14">
        <v>19.69</v>
      </c>
      <c r="G139" s="18">
        <v>37.808</v>
      </c>
    </row>
    <row r="140">
      <c r="A140" s="13" t="s">
        <v>199</v>
      </c>
      <c r="B140" s="13" t="s">
        <v>45</v>
      </c>
      <c r="C140" s="13" t="s">
        <v>200</v>
      </c>
      <c r="D140" s="13" t="s">
        <v>54</v>
      </c>
      <c r="E140" s="13" t="s">
        <v>30</v>
      </c>
      <c r="F140" s="14">
        <v>19.125</v>
      </c>
      <c r="G140" s="18">
        <v>37.853</v>
      </c>
    </row>
    <row r="141">
      <c r="A141" s="13" t="s">
        <v>201</v>
      </c>
      <c r="B141" s="13" t="s">
        <v>45</v>
      </c>
      <c r="C141" s="13" t="s">
        <v>202</v>
      </c>
      <c r="D141" s="13" t="s">
        <v>54</v>
      </c>
      <c r="E141" s="13" t="s">
        <v>30</v>
      </c>
      <c r="F141" s="14">
        <v>20.232</v>
      </c>
      <c r="G141" s="18">
        <v>38.011</v>
      </c>
    </row>
    <row r="142" hidden="1">
      <c r="A142" s="13" t="s">
        <v>429</v>
      </c>
      <c r="B142" s="13" t="s">
        <v>342</v>
      </c>
      <c r="C142" s="13"/>
      <c r="D142" s="13" t="s">
        <v>430</v>
      </c>
      <c r="E142" s="13" t="s">
        <v>431</v>
      </c>
      <c r="F142" s="14">
        <v>36.72</v>
      </c>
      <c r="G142" s="18">
        <v>38.672</v>
      </c>
    </row>
    <row r="143">
      <c r="A143" s="13" t="s">
        <v>432</v>
      </c>
      <c r="B143" s="13" t="s">
        <v>45</v>
      </c>
      <c r="C143" s="13" t="s">
        <v>433</v>
      </c>
      <c r="D143" s="13" t="s">
        <v>182</v>
      </c>
      <c r="E143" s="13" t="s">
        <v>11</v>
      </c>
      <c r="F143" s="14" t="s">
        <v>345</v>
      </c>
      <c r="G143" s="18">
        <v>33.528</v>
      </c>
    </row>
    <row r="144">
      <c r="A144" s="13" t="s">
        <v>203</v>
      </c>
      <c r="B144" s="13" t="s">
        <v>56</v>
      </c>
      <c r="C144" s="13"/>
      <c r="D144" s="13" t="s">
        <v>204</v>
      </c>
      <c r="E144" s="13" t="s">
        <v>26</v>
      </c>
      <c r="F144" s="14">
        <v>26.943</v>
      </c>
      <c r="G144" s="18">
        <v>27.695</v>
      </c>
    </row>
    <row r="145">
      <c r="A145" s="13" t="s">
        <v>205</v>
      </c>
      <c r="B145" s="13" t="s">
        <v>45</v>
      </c>
      <c r="C145" s="13" t="s">
        <v>206</v>
      </c>
      <c r="D145" s="13" t="s">
        <v>156</v>
      </c>
      <c r="E145" s="13" t="s">
        <v>18</v>
      </c>
      <c r="F145" s="14">
        <v>31.669</v>
      </c>
      <c r="G145" s="18">
        <v>33.759</v>
      </c>
    </row>
    <row r="146" hidden="1">
      <c r="A146" s="13" t="s">
        <v>434</v>
      </c>
      <c r="B146" s="13" t="s">
        <v>342</v>
      </c>
      <c r="C146" s="13"/>
      <c r="D146" s="13" t="s">
        <v>156</v>
      </c>
      <c r="E146" s="13" t="s">
        <v>18</v>
      </c>
      <c r="F146" s="14">
        <v>32.082</v>
      </c>
      <c r="G146" s="18">
        <v>33.122</v>
      </c>
    </row>
    <row r="147" hidden="1">
      <c r="A147" s="13" t="s">
        <v>435</v>
      </c>
      <c r="B147" s="13" t="s">
        <v>342</v>
      </c>
      <c r="C147" s="13"/>
      <c r="D147" s="13" t="s">
        <v>436</v>
      </c>
      <c r="E147" s="13" t="s">
        <v>21</v>
      </c>
      <c r="F147" s="14">
        <v>36.895</v>
      </c>
      <c r="G147" s="18">
        <v>47.77</v>
      </c>
    </row>
    <row r="148" hidden="1">
      <c r="A148" s="13" t="s">
        <v>437</v>
      </c>
      <c r="B148" s="13" t="s">
        <v>342</v>
      </c>
      <c r="C148" s="13"/>
      <c r="D148" s="13" t="s">
        <v>196</v>
      </c>
      <c r="E148" s="13" t="s">
        <v>24</v>
      </c>
      <c r="F148" s="14">
        <v>41.93</v>
      </c>
      <c r="G148" s="18">
        <v>39.749</v>
      </c>
    </row>
    <row r="149" hidden="1">
      <c r="A149" s="13" t="s">
        <v>438</v>
      </c>
      <c r="B149" s="13" t="s">
        <v>342</v>
      </c>
      <c r="C149" s="13"/>
      <c r="D149" s="13" t="s">
        <v>196</v>
      </c>
      <c r="E149" s="13" t="s">
        <v>24</v>
      </c>
      <c r="F149" s="14">
        <v>41.861</v>
      </c>
      <c r="G149" s="18">
        <v>40.626</v>
      </c>
    </row>
    <row r="150">
      <c r="A150" s="13" t="s">
        <v>207</v>
      </c>
      <c r="B150" s="13" t="s">
        <v>45</v>
      </c>
      <c r="C150" s="13" t="s">
        <v>208</v>
      </c>
      <c r="D150" s="13" t="s">
        <v>209</v>
      </c>
      <c r="E150" s="13" t="s">
        <v>21</v>
      </c>
      <c r="F150" s="14">
        <v>52.349</v>
      </c>
      <c r="G150" s="18">
        <v>52.362</v>
      </c>
    </row>
    <row r="151" hidden="1">
      <c r="A151" s="13" t="s">
        <v>439</v>
      </c>
      <c r="B151" s="13" t="s">
        <v>342</v>
      </c>
      <c r="C151" s="13"/>
      <c r="D151" s="13" t="s">
        <v>54</v>
      </c>
      <c r="E151" s="13" t="s">
        <v>30</v>
      </c>
      <c r="F151" s="14">
        <v>19.279</v>
      </c>
      <c r="G151" s="18">
        <v>32.414</v>
      </c>
    </row>
    <row r="152" hidden="1">
      <c r="A152" s="13" t="s">
        <v>440</v>
      </c>
      <c r="B152" s="13" t="s">
        <v>342</v>
      </c>
      <c r="C152" s="13"/>
      <c r="D152" s="13" t="s">
        <v>293</v>
      </c>
      <c r="E152" s="13" t="s">
        <v>16</v>
      </c>
      <c r="F152" s="14">
        <v>17.155</v>
      </c>
      <c r="G152" s="18">
        <v>20.794</v>
      </c>
    </row>
    <row r="153">
      <c r="A153" s="13" t="s">
        <v>210</v>
      </c>
      <c r="B153" s="13" t="s">
        <v>45</v>
      </c>
      <c r="C153" s="13" t="s">
        <v>211</v>
      </c>
      <c r="D153" s="13" t="s">
        <v>212</v>
      </c>
      <c r="E153" s="13" t="s">
        <v>31</v>
      </c>
      <c r="F153" s="14">
        <v>20.035</v>
      </c>
      <c r="G153" s="18">
        <v>43.491</v>
      </c>
    </row>
    <row r="154">
      <c r="A154" s="13" t="s">
        <v>213</v>
      </c>
      <c r="B154" s="13" t="s">
        <v>45</v>
      </c>
      <c r="C154" s="13" t="s">
        <v>214</v>
      </c>
      <c r="D154" s="13" t="s">
        <v>63</v>
      </c>
      <c r="E154" s="13" t="s">
        <v>26</v>
      </c>
      <c r="F154" s="14">
        <v>23.69</v>
      </c>
      <c r="G154" s="18">
        <v>22.882</v>
      </c>
    </row>
    <row r="155" hidden="1">
      <c r="A155" s="13" t="s">
        <v>441</v>
      </c>
      <c r="B155" s="13" t="s">
        <v>342</v>
      </c>
      <c r="C155" s="13"/>
      <c r="D155" s="13" t="s">
        <v>442</v>
      </c>
      <c r="E155" s="13" t="s">
        <v>443</v>
      </c>
      <c r="F155" s="14">
        <v>14.999</v>
      </c>
      <c r="G155" s="18">
        <v>30.979</v>
      </c>
    </row>
    <row r="156">
      <c r="A156" s="13" t="s">
        <v>215</v>
      </c>
      <c r="B156" s="13" t="s">
        <v>45</v>
      </c>
      <c r="C156" s="13" t="s">
        <v>216</v>
      </c>
      <c r="D156" s="13" t="s">
        <v>217</v>
      </c>
      <c r="E156" s="13" t="s">
        <v>22</v>
      </c>
      <c r="F156" s="14">
        <v>177.938</v>
      </c>
      <c r="G156" s="18">
        <v>174.209</v>
      </c>
    </row>
    <row r="157">
      <c r="A157" s="13" t="s">
        <v>218</v>
      </c>
      <c r="B157" s="13" t="s">
        <v>45</v>
      </c>
      <c r="C157" s="13" t="s">
        <v>219</v>
      </c>
      <c r="D157" s="13" t="s">
        <v>220</v>
      </c>
      <c r="E157" s="13" t="s">
        <v>13</v>
      </c>
      <c r="F157" s="14">
        <v>212.524</v>
      </c>
      <c r="G157" s="18">
        <v>211.208</v>
      </c>
    </row>
    <row r="158" hidden="1">
      <c r="A158" s="13" t="s">
        <v>444</v>
      </c>
      <c r="B158" s="13" t="s">
        <v>342</v>
      </c>
      <c r="C158" s="13"/>
      <c r="D158" s="13" t="s">
        <v>223</v>
      </c>
      <c r="E158" s="13" t="s">
        <v>18</v>
      </c>
      <c r="F158" s="14">
        <v>27.468</v>
      </c>
      <c r="G158" s="18">
        <v>28.749</v>
      </c>
    </row>
    <row r="159">
      <c r="A159" s="13" t="s">
        <v>221</v>
      </c>
      <c r="B159" s="13" t="s">
        <v>45</v>
      </c>
      <c r="C159" s="13" t="s">
        <v>222</v>
      </c>
      <c r="D159" s="13" t="s">
        <v>223</v>
      </c>
      <c r="E159" s="13" t="s">
        <v>18</v>
      </c>
      <c r="F159" s="14">
        <v>27.112</v>
      </c>
      <c r="G159" s="18">
        <v>27.982</v>
      </c>
    </row>
    <row r="160">
      <c r="A160" s="13" t="s">
        <v>224</v>
      </c>
      <c r="B160" s="13" t="s">
        <v>45</v>
      </c>
      <c r="C160" s="13" t="s">
        <v>225</v>
      </c>
      <c r="D160" s="13" t="s">
        <v>164</v>
      </c>
      <c r="E160" s="13" t="s">
        <v>28</v>
      </c>
      <c r="F160" s="14">
        <v>165.63</v>
      </c>
      <c r="G160" s="18">
        <v>214.454</v>
      </c>
    </row>
    <row r="161">
      <c r="A161" s="13" t="s">
        <v>226</v>
      </c>
      <c r="B161" s="13" t="s">
        <v>45</v>
      </c>
      <c r="C161" s="13" t="s">
        <v>227</v>
      </c>
      <c r="D161" s="13" t="s">
        <v>164</v>
      </c>
      <c r="E161" s="13" t="s">
        <v>28</v>
      </c>
      <c r="F161" s="14">
        <v>165.619</v>
      </c>
      <c r="G161" s="18">
        <v>214.433</v>
      </c>
    </row>
    <row r="162">
      <c r="A162" s="13" t="s">
        <v>228</v>
      </c>
      <c r="B162" s="13" t="s">
        <v>45</v>
      </c>
      <c r="C162" s="13" t="s">
        <v>229</v>
      </c>
      <c r="D162" s="13" t="s">
        <v>164</v>
      </c>
      <c r="E162" s="13" t="s">
        <v>28</v>
      </c>
      <c r="F162" s="14">
        <v>170.388</v>
      </c>
      <c r="G162" s="18">
        <v>217.155</v>
      </c>
    </row>
    <row r="163">
      <c r="A163" s="13" t="s">
        <v>230</v>
      </c>
      <c r="B163" s="13" t="s">
        <v>56</v>
      </c>
      <c r="C163" s="13"/>
      <c r="D163" s="13" t="s">
        <v>231</v>
      </c>
      <c r="E163" s="13" t="s">
        <v>10</v>
      </c>
      <c r="F163" s="14">
        <v>26.521</v>
      </c>
      <c r="G163" s="18">
        <v>15.061</v>
      </c>
    </row>
    <row r="164">
      <c r="A164" s="13" t="s">
        <v>232</v>
      </c>
      <c r="B164" s="13" t="s">
        <v>45</v>
      </c>
      <c r="C164" s="13" t="s">
        <v>233</v>
      </c>
      <c r="D164" s="13" t="s">
        <v>71</v>
      </c>
      <c r="E164" s="13" t="s">
        <v>16</v>
      </c>
      <c r="F164" s="14">
        <v>13.377</v>
      </c>
      <c r="G164" s="18">
        <v>15.48</v>
      </c>
    </row>
    <row r="165" hidden="1">
      <c r="A165" s="13" t="s">
        <v>445</v>
      </c>
      <c r="B165" s="13" t="s">
        <v>342</v>
      </c>
      <c r="C165" s="13"/>
      <c r="D165" s="13" t="s">
        <v>446</v>
      </c>
      <c r="E165" s="13" t="s">
        <v>23</v>
      </c>
      <c r="F165" s="14">
        <v>151.125</v>
      </c>
      <c r="G165" s="18">
        <v>161.886</v>
      </c>
    </row>
    <row r="166" hidden="1">
      <c r="A166" s="13" t="s">
        <v>447</v>
      </c>
      <c r="B166" s="13" t="s">
        <v>342</v>
      </c>
      <c r="C166" s="13"/>
      <c r="D166" s="13" t="s">
        <v>446</v>
      </c>
      <c r="E166" s="13" t="s">
        <v>23</v>
      </c>
      <c r="F166" s="14">
        <v>151.582</v>
      </c>
      <c r="G166" s="18">
        <v>161.887</v>
      </c>
    </row>
    <row r="167" hidden="1">
      <c r="A167" s="13" t="s">
        <v>448</v>
      </c>
      <c r="B167" s="13" t="s">
        <v>342</v>
      </c>
      <c r="C167" s="13"/>
      <c r="D167" s="13" t="s">
        <v>384</v>
      </c>
      <c r="E167" s="13" t="s">
        <v>23</v>
      </c>
      <c r="F167" s="14">
        <v>143.784</v>
      </c>
      <c r="G167" s="18">
        <v>162.392</v>
      </c>
    </row>
    <row r="168">
      <c r="A168" s="13" t="s">
        <v>234</v>
      </c>
      <c r="B168" s="13" t="s">
        <v>45</v>
      </c>
      <c r="C168" s="13" t="s">
        <v>235</v>
      </c>
      <c r="D168" s="13" t="s">
        <v>236</v>
      </c>
      <c r="E168" s="13" t="s">
        <v>23</v>
      </c>
      <c r="F168" s="14">
        <v>93.446</v>
      </c>
      <c r="G168" s="18">
        <v>97.046</v>
      </c>
    </row>
    <row r="169" hidden="1">
      <c r="A169" s="13" t="s">
        <v>449</v>
      </c>
      <c r="B169" s="13" t="s">
        <v>342</v>
      </c>
      <c r="C169" s="13"/>
      <c r="D169" s="13" t="s">
        <v>450</v>
      </c>
      <c r="E169" s="13" t="s">
        <v>23</v>
      </c>
      <c r="F169" s="14">
        <v>149.278</v>
      </c>
      <c r="G169" s="18">
        <v>173.218</v>
      </c>
    </row>
    <row r="170" hidden="1">
      <c r="A170" s="13" t="s">
        <v>451</v>
      </c>
      <c r="B170" s="13" t="s">
        <v>342</v>
      </c>
      <c r="C170" s="13"/>
      <c r="D170" s="13" t="s">
        <v>259</v>
      </c>
      <c r="E170" s="13" t="s">
        <v>19</v>
      </c>
      <c r="F170" s="14">
        <v>122.143</v>
      </c>
      <c r="G170" s="18">
        <v>106.987</v>
      </c>
    </row>
    <row r="171" hidden="1">
      <c r="A171" s="13" t="s">
        <v>452</v>
      </c>
      <c r="B171" s="13" t="s">
        <v>342</v>
      </c>
      <c r="C171" s="13"/>
      <c r="D171" s="13" t="s">
        <v>453</v>
      </c>
      <c r="E171" s="13" t="s">
        <v>13</v>
      </c>
      <c r="F171" s="14">
        <v>158.667</v>
      </c>
      <c r="G171" s="18">
        <v>211.129</v>
      </c>
    </row>
    <row r="172" hidden="1">
      <c r="A172" s="13" t="s">
        <v>454</v>
      </c>
      <c r="B172" s="13" t="s">
        <v>342</v>
      </c>
      <c r="C172" s="13"/>
      <c r="D172" s="13" t="s">
        <v>455</v>
      </c>
      <c r="E172" s="13" t="s">
        <v>23</v>
      </c>
      <c r="F172" s="14">
        <v>141.111</v>
      </c>
      <c r="G172" s="18">
        <v>193.194</v>
      </c>
    </row>
    <row r="173" hidden="1">
      <c r="A173" s="13" t="s">
        <v>456</v>
      </c>
      <c r="B173" s="13" t="s">
        <v>342</v>
      </c>
      <c r="C173" s="13"/>
      <c r="D173" s="13" t="s">
        <v>455</v>
      </c>
      <c r="E173" s="13" t="s">
        <v>23</v>
      </c>
      <c r="F173" s="14">
        <v>156.876</v>
      </c>
      <c r="G173" s="18">
        <v>193.399</v>
      </c>
    </row>
    <row r="174">
      <c r="A174" s="13" t="s">
        <v>237</v>
      </c>
      <c r="B174" s="13" t="s">
        <v>56</v>
      </c>
      <c r="C174" s="13"/>
      <c r="D174" s="13" t="s">
        <v>71</v>
      </c>
      <c r="E174" s="13" t="s">
        <v>16</v>
      </c>
      <c r="F174" s="14">
        <v>13.462</v>
      </c>
      <c r="G174" s="18">
        <v>15.701</v>
      </c>
    </row>
    <row r="175" hidden="1">
      <c r="A175" s="13" t="s">
        <v>457</v>
      </c>
      <c r="B175" s="13" t="s">
        <v>342</v>
      </c>
      <c r="C175" s="13"/>
      <c r="D175" s="13" t="s">
        <v>71</v>
      </c>
      <c r="E175" s="13" t="s">
        <v>16</v>
      </c>
      <c r="F175" s="14">
        <v>26.038</v>
      </c>
      <c r="G175" s="18">
        <v>26.881</v>
      </c>
    </row>
    <row r="176">
      <c r="A176" s="13" t="s">
        <v>238</v>
      </c>
      <c r="B176" s="13" t="s">
        <v>45</v>
      </c>
      <c r="C176" s="13" t="s">
        <v>239</v>
      </c>
      <c r="D176" s="13" t="s">
        <v>71</v>
      </c>
      <c r="E176" s="13" t="s">
        <v>16</v>
      </c>
      <c r="F176" s="14">
        <v>26.136</v>
      </c>
      <c r="G176" s="18">
        <v>27.3</v>
      </c>
    </row>
    <row r="177">
      <c r="A177" s="13" t="s">
        <v>240</v>
      </c>
      <c r="B177" s="13" t="s">
        <v>45</v>
      </c>
      <c r="C177" s="13" t="s">
        <v>241</v>
      </c>
      <c r="D177" s="13" t="s">
        <v>71</v>
      </c>
      <c r="E177" s="13" t="s">
        <v>16</v>
      </c>
      <c r="F177" s="14">
        <v>30.256</v>
      </c>
      <c r="G177" s="18">
        <v>27.457</v>
      </c>
    </row>
    <row r="178" hidden="1">
      <c r="A178" s="13" t="s">
        <v>458</v>
      </c>
      <c r="B178" s="13" t="s">
        <v>342</v>
      </c>
      <c r="C178" s="13"/>
      <c r="D178" s="13" t="s">
        <v>126</v>
      </c>
      <c r="E178" s="13" t="s">
        <v>17</v>
      </c>
      <c r="F178" s="14">
        <v>239.362</v>
      </c>
      <c r="G178" s="18">
        <v>248.273</v>
      </c>
    </row>
    <row r="179">
      <c r="A179" s="13" t="s">
        <v>242</v>
      </c>
      <c r="B179" s="13" t="s">
        <v>45</v>
      </c>
      <c r="C179" s="13" t="s">
        <v>243</v>
      </c>
      <c r="D179" s="13" t="s">
        <v>126</v>
      </c>
      <c r="E179" s="13" t="s">
        <v>17</v>
      </c>
      <c r="F179" s="14">
        <v>239.141</v>
      </c>
      <c r="G179" s="18">
        <v>248.203</v>
      </c>
    </row>
    <row r="180">
      <c r="A180" s="13" t="s">
        <v>244</v>
      </c>
      <c r="B180" s="13" t="s">
        <v>45</v>
      </c>
      <c r="C180" s="13" t="s">
        <v>245</v>
      </c>
      <c r="D180" s="13" t="s">
        <v>71</v>
      </c>
      <c r="E180" s="13" t="s">
        <v>16</v>
      </c>
      <c r="F180" s="14">
        <v>12.775</v>
      </c>
      <c r="G180" s="18">
        <v>13.965</v>
      </c>
    </row>
    <row r="181">
      <c r="A181" s="13" t="s">
        <v>459</v>
      </c>
      <c r="B181" s="13" t="s">
        <v>45</v>
      </c>
      <c r="C181" s="13" t="s">
        <v>460</v>
      </c>
      <c r="D181" s="13" t="s">
        <v>54</v>
      </c>
      <c r="E181" s="13" t="s">
        <v>30</v>
      </c>
      <c r="F181" s="14">
        <v>17.56</v>
      </c>
      <c r="G181" s="13" t="s">
        <v>345</v>
      </c>
    </row>
    <row r="182">
      <c r="A182" s="13" t="s">
        <v>246</v>
      </c>
      <c r="B182" s="13" t="s">
        <v>45</v>
      </c>
      <c r="C182" s="13" t="s">
        <v>247</v>
      </c>
      <c r="D182" s="13" t="s">
        <v>248</v>
      </c>
      <c r="E182" s="13" t="s">
        <v>22</v>
      </c>
      <c r="F182" s="14">
        <v>185.14</v>
      </c>
      <c r="G182" s="18">
        <v>192.036</v>
      </c>
    </row>
    <row r="183">
      <c r="A183" s="13" t="s">
        <v>249</v>
      </c>
      <c r="B183" s="13" t="s">
        <v>45</v>
      </c>
      <c r="C183" s="13" t="s">
        <v>250</v>
      </c>
      <c r="D183" s="13" t="s">
        <v>251</v>
      </c>
      <c r="E183" s="13" t="s">
        <v>22</v>
      </c>
      <c r="F183" s="14">
        <v>199.607</v>
      </c>
      <c r="G183" s="18">
        <v>190.761</v>
      </c>
    </row>
    <row r="184" hidden="1">
      <c r="A184" s="13" t="s">
        <v>461</v>
      </c>
      <c r="B184" s="13" t="s">
        <v>342</v>
      </c>
      <c r="C184" s="13"/>
      <c r="D184" s="13" t="s">
        <v>384</v>
      </c>
      <c r="E184" s="13" t="s">
        <v>23</v>
      </c>
      <c r="F184" s="14">
        <v>151.617</v>
      </c>
      <c r="G184" s="18">
        <v>161.427</v>
      </c>
    </row>
    <row r="185" hidden="1">
      <c r="A185" s="13" t="s">
        <v>462</v>
      </c>
      <c r="B185" s="13" t="s">
        <v>342</v>
      </c>
      <c r="C185" s="13"/>
      <c r="D185" s="13" t="s">
        <v>455</v>
      </c>
      <c r="E185" s="13" t="s">
        <v>23</v>
      </c>
      <c r="F185" s="14">
        <v>156.851</v>
      </c>
      <c r="G185" s="18">
        <v>182.745</v>
      </c>
    </row>
    <row r="186">
      <c r="A186" s="13" t="s">
        <v>252</v>
      </c>
      <c r="B186" s="13" t="s">
        <v>45</v>
      </c>
      <c r="C186" s="13" t="s">
        <v>253</v>
      </c>
      <c r="D186" s="13" t="s">
        <v>54</v>
      </c>
      <c r="E186" s="13" t="s">
        <v>30</v>
      </c>
      <c r="F186" s="14">
        <v>20.166</v>
      </c>
      <c r="G186" s="18">
        <v>31.92</v>
      </c>
    </row>
    <row r="187" hidden="1">
      <c r="A187" s="13" t="s">
        <v>463</v>
      </c>
      <c r="B187" s="13" t="s">
        <v>342</v>
      </c>
      <c r="C187" s="13"/>
      <c r="D187" s="13" t="s">
        <v>427</v>
      </c>
      <c r="E187" s="13" t="s">
        <v>23</v>
      </c>
      <c r="F187" s="14">
        <v>118.121</v>
      </c>
      <c r="G187" s="18">
        <v>111.191</v>
      </c>
    </row>
    <row r="188" hidden="1">
      <c r="A188" s="13" t="s">
        <v>464</v>
      </c>
      <c r="B188" s="13" t="s">
        <v>342</v>
      </c>
      <c r="C188" s="13"/>
      <c r="D188" s="13" t="s">
        <v>465</v>
      </c>
      <c r="E188" s="13" t="s">
        <v>466</v>
      </c>
      <c r="F188" s="14">
        <v>35.573</v>
      </c>
      <c r="G188" s="18">
        <v>40.121</v>
      </c>
    </row>
    <row r="189">
      <c r="A189" s="13" t="s">
        <v>254</v>
      </c>
      <c r="B189" s="13" t="s">
        <v>45</v>
      </c>
      <c r="C189" s="13" t="s">
        <v>100</v>
      </c>
      <c r="D189" s="13" t="s">
        <v>255</v>
      </c>
      <c r="E189" s="13" t="s">
        <v>14</v>
      </c>
      <c r="F189" s="14">
        <v>31.436</v>
      </c>
      <c r="G189" s="18">
        <v>33.785</v>
      </c>
    </row>
    <row r="190">
      <c r="A190" s="13" t="s">
        <v>256</v>
      </c>
      <c r="B190" s="13" t="s">
        <v>56</v>
      </c>
      <c r="C190" s="13"/>
      <c r="D190" s="13" t="s">
        <v>255</v>
      </c>
      <c r="E190" s="13" t="s">
        <v>14</v>
      </c>
      <c r="F190" s="14">
        <v>31.284</v>
      </c>
      <c r="G190" s="18">
        <v>33.494</v>
      </c>
    </row>
    <row r="191" hidden="1">
      <c r="A191" s="13" t="s">
        <v>467</v>
      </c>
      <c r="B191" s="13" t="s">
        <v>342</v>
      </c>
      <c r="C191" s="13"/>
      <c r="D191" s="13" t="s">
        <v>54</v>
      </c>
      <c r="E191" s="13" t="s">
        <v>30</v>
      </c>
      <c r="F191" s="14" t="s">
        <v>345</v>
      </c>
      <c r="G191" s="13" t="s">
        <v>345</v>
      </c>
    </row>
    <row r="192" hidden="1">
      <c r="A192" s="13" t="s">
        <v>468</v>
      </c>
      <c r="B192" s="13" t="s">
        <v>342</v>
      </c>
      <c r="C192" s="13"/>
      <c r="D192" s="13" t="s">
        <v>469</v>
      </c>
      <c r="E192" s="13" t="s">
        <v>19</v>
      </c>
      <c r="F192" s="14">
        <v>108.188</v>
      </c>
      <c r="G192" s="18">
        <v>101.786</v>
      </c>
    </row>
    <row r="193" hidden="1">
      <c r="A193" s="13" t="s">
        <v>470</v>
      </c>
      <c r="B193" s="13" t="s">
        <v>342</v>
      </c>
      <c r="C193" s="13"/>
      <c r="D193" s="13" t="s">
        <v>236</v>
      </c>
      <c r="E193" s="13" t="s">
        <v>23</v>
      </c>
      <c r="F193" s="14">
        <v>88.632</v>
      </c>
      <c r="G193" s="18">
        <v>94.864</v>
      </c>
    </row>
    <row r="194" hidden="1">
      <c r="A194" s="13" t="s">
        <v>471</v>
      </c>
      <c r="B194" s="13" t="s">
        <v>342</v>
      </c>
      <c r="C194" s="13"/>
      <c r="D194" s="13" t="s">
        <v>236</v>
      </c>
      <c r="E194" s="13" t="s">
        <v>23</v>
      </c>
      <c r="F194" s="14">
        <v>96.021</v>
      </c>
      <c r="G194" s="18">
        <v>95.651</v>
      </c>
    </row>
    <row r="195" hidden="1">
      <c r="A195" s="13" t="s">
        <v>472</v>
      </c>
      <c r="B195" s="13" t="s">
        <v>342</v>
      </c>
      <c r="C195" s="13"/>
      <c r="D195" s="13" t="s">
        <v>371</v>
      </c>
      <c r="E195" s="13" t="s">
        <v>23</v>
      </c>
      <c r="F195" s="14">
        <v>129.234</v>
      </c>
      <c r="G195" s="18">
        <v>123.165</v>
      </c>
    </row>
    <row r="196" hidden="1">
      <c r="A196" s="13" t="s">
        <v>473</v>
      </c>
      <c r="B196" s="13" t="s">
        <v>342</v>
      </c>
      <c r="C196" s="13"/>
      <c r="D196" s="13" t="s">
        <v>69</v>
      </c>
      <c r="E196" s="13" t="s">
        <v>23</v>
      </c>
      <c r="F196" s="14">
        <v>130.355</v>
      </c>
      <c r="G196" s="18">
        <v>193.063</v>
      </c>
    </row>
    <row r="197" hidden="1">
      <c r="A197" s="13" t="s">
        <v>474</v>
      </c>
      <c r="B197" s="13" t="s">
        <v>342</v>
      </c>
      <c r="C197" s="13"/>
      <c r="D197" s="13" t="s">
        <v>442</v>
      </c>
      <c r="E197" s="13" t="s">
        <v>443</v>
      </c>
      <c r="F197" s="14">
        <v>17.608</v>
      </c>
      <c r="G197" s="18">
        <v>30.872</v>
      </c>
    </row>
    <row r="198" hidden="1">
      <c r="A198" s="13" t="s">
        <v>475</v>
      </c>
      <c r="B198" s="13" t="s">
        <v>342</v>
      </c>
      <c r="C198" s="13"/>
      <c r="D198" s="13" t="s">
        <v>442</v>
      </c>
      <c r="E198" s="13" t="s">
        <v>443</v>
      </c>
      <c r="F198" s="14">
        <v>14.763</v>
      </c>
      <c r="G198" s="18">
        <v>31.059</v>
      </c>
    </row>
    <row r="199" hidden="1">
      <c r="A199" s="13" t="s">
        <v>476</v>
      </c>
      <c r="B199" s="13" t="s">
        <v>342</v>
      </c>
      <c r="C199" s="13"/>
      <c r="D199" s="13" t="s">
        <v>442</v>
      </c>
      <c r="E199" s="13" t="s">
        <v>443</v>
      </c>
      <c r="F199" s="14">
        <v>17.179</v>
      </c>
      <c r="G199" s="18">
        <v>30.896</v>
      </c>
    </row>
    <row r="200">
      <c r="A200" s="13" t="s">
        <v>257</v>
      </c>
      <c r="B200" s="13" t="s">
        <v>45</v>
      </c>
      <c r="C200" s="13" t="s">
        <v>258</v>
      </c>
      <c r="D200" s="13" t="s">
        <v>259</v>
      </c>
      <c r="E200" s="13" t="s">
        <v>19</v>
      </c>
      <c r="F200" s="14">
        <v>130.227</v>
      </c>
      <c r="G200" s="18">
        <v>108.305</v>
      </c>
    </row>
    <row r="201" hidden="1">
      <c r="A201" s="13" t="s">
        <v>477</v>
      </c>
      <c r="B201" s="13" t="s">
        <v>342</v>
      </c>
      <c r="C201" s="13"/>
      <c r="D201" s="13" t="s">
        <v>427</v>
      </c>
      <c r="E201" s="13" t="s">
        <v>23</v>
      </c>
      <c r="F201" s="14">
        <v>116.748</v>
      </c>
      <c r="G201" s="18">
        <v>111.122</v>
      </c>
    </row>
    <row r="202">
      <c r="A202" s="13" t="s">
        <v>260</v>
      </c>
      <c r="B202" s="13" t="s">
        <v>45</v>
      </c>
      <c r="C202" s="13" t="s">
        <v>261</v>
      </c>
      <c r="D202" s="13" t="s">
        <v>54</v>
      </c>
      <c r="E202" s="13" t="s">
        <v>30</v>
      </c>
      <c r="F202" s="14">
        <v>20.362</v>
      </c>
      <c r="G202" s="18">
        <v>32.298</v>
      </c>
    </row>
    <row r="203">
      <c r="A203" s="13" t="s">
        <v>262</v>
      </c>
      <c r="B203" s="13" t="s">
        <v>56</v>
      </c>
      <c r="C203" s="13"/>
      <c r="D203" s="13" t="s">
        <v>263</v>
      </c>
      <c r="E203" s="13" t="s">
        <v>23</v>
      </c>
      <c r="F203" s="14">
        <v>104.138</v>
      </c>
      <c r="G203" s="18">
        <v>111.524</v>
      </c>
    </row>
    <row r="204" hidden="1">
      <c r="A204" s="13" t="s">
        <v>478</v>
      </c>
      <c r="B204" s="13" t="s">
        <v>342</v>
      </c>
      <c r="C204" s="13"/>
      <c r="D204" s="13" t="s">
        <v>430</v>
      </c>
      <c r="E204" s="13" t="s">
        <v>431</v>
      </c>
      <c r="F204" s="14" t="s">
        <v>345</v>
      </c>
      <c r="G204" s="13" t="s">
        <v>345</v>
      </c>
    </row>
    <row r="205">
      <c r="A205" s="13" t="s">
        <v>479</v>
      </c>
      <c r="B205" s="13" t="s">
        <v>45</v>
      </c>
      <c r="C205" s="13" t="s">
        <v>480</v>
      </c>
      <c r="D205" s="13" t="s">
        <v>430</v>
      </c>
      <c r="E205" s="13" t="s">
        <v>431</v>
      </c>
      <c r="F205" s="14" t="s">
        <v>345</v>
      </c>
      <c r="G205" s="13" t="s">
        <v>345</v>
      </c>
    </row>
    <row r="206">
      <c r="A206" s="13" t="s">
        <v>264</v>
      </c>
      <c r="B206" s="13" t="s">
        <v>45</v>
      </c>
      <c r="C206" s="13" t="s">
        <v>265</v>
      </c>
      <c r="D206" s="13" t="s">
        <v>71</v>
      </c>
      <c r="E206" s="13" t="s">
        <v>16</v>
      </c>
      <c r="F206" s="14">
        <v>13.103</v>
      </c>
      <c r="G206" s="18">
        <v>15.366</v>
      </c>
    </row>
    <row r="207" hidden="1">
      <c r="A207" s="13" t="s">
        <v>481</v>
      </c>
      <c r="B207" s="13" t="s">
        <v>342</v>
      </c>
      <c r="C207" s="13"/>
      <c r="D207" s="13" t="s">
        <v>389</v>
      </c>
      <c r="E207" s="13" t="s">
        <v>23</v>
      </c>
      <c r="F207" s="14">
        <v>102.839</v>
      </c>
      <c r="G207" s="18">
        <v>101.941</v>
      </c>
    </row>
    <row r="208" hidden="1">
      <c r="A208" s="13" t="s">
        <v>482</v>
      </c>
      <c r="B208" s="13" t="s">
        <v>342</v>
      </c>
      <c r="C208" s="13"/>
      <c r="D208" s="13" t="s">
        <v>100</v>
      </c>
      <c r="E208" s="13" t="s">
        <v>100</v>
      </c>
      <c r="F208" s="14" t="s">
        <v>345</v>
      </c>
      <c r="G208" s="13" t="s">
        <v>345</v>
      </c>
    </row>
    <row r="209" hidden="1">
      <c r="A209" s="13" t="s">
        <v>483</v>
      </c>
      <c r="B209" s="13" t="s">
        <v>342</v>
      </c>
      <c r="C209" s="13"/>
      <c r="D209" s="13" t="s">
        <v>484</v>
      </c>
      <c r="E209" s="13" t="s">
        <v>23</v>
      </c>
      <c r="F209" s="14">
        <v>122.331</v>
      </c>
      <c r="G209" s="18">
        <v>116.489</v>
      </c>
    </row>
    <row r="210" hidden="1">
      <c r="A210" s="13" t="s">
        <v>485</v>
      </c>
      <c r="B210" s="13" t="s">
        <v>342</v>
      </c>
      <c r="C210" s="13"/>
      <c r="D210" s="13" t="s">
        <v>484</v>
      </c>
      <c r="E210" s="13" t="s">
        <v>23</v>
      </c>
      <c r="F210" s="14">
        <v>119.551</v>
      </c>
      <c r="G210" s="18">
        <v>117.088</v>
      </c>
    </row>
    <row r="211" hidden="1">
      <c r="A211" s="13" t="s">
        <v>486</v>
      </c>
      <c r="B211" s="13" t="s">
        <v>342</v>
      </c>
      <c r="C211" s="13"/>
      <c r="D211" s="13" t="s">
        <v>387</v>
      </c>
      <c r="E211" s="13" t="s">
        <v>23</v>
      </c>
      <c r="F211" s="14">
        <v>157.149</v>
      </c>
      <c r="G211" s="18">
        <v>183.047</v>
      </c>
    </row>
    <row r="212" hidden="1">
      <c r="A212" s="13" t="s">
        <v>487</v>
      </c>
      <c r="B212" s="13" t="s">
        <v>342</v>
      </c>
      <c r="C212" s="13"/>
      <c r="D212" s="13" t="s">
        <v>147</v>
      </c>
      <c r="E212" s="13" t="s">
        <v>23</v>
      </c>
      <c r="F212" s="14">
        <v>108.776</v>
      </c>
      <c r="G212" s="18">
        <v>96.812</v>
      </c>
    </row>
    <row r="213" hidden="1">
      <c r="A213" s="13" t="s">
        <v>488</v>
      </c>
      <c r="B213" s="13" t="s">
        <v>342</v>
      </c>
      <c r="C213" s="13"/>
      <c r="D213" s="13" t="s">
        <v>12</v>
      </c>
      <c r="E213" s="13" t="s">
        <v>12</v>
      </c>
      <c r="F213" s="14">
        <v>245.76</v>
      </c>
      <c r="G213" s="18">
        <v>181.253</v>
      </c>
    </row>
    <row r="214">
      <c r="A214" s="13" t="s">
        <v>266</v>
      </c>
      <c r="B214" s="13" t="s">
        <v>45</v>
      </c>
      <c r="C214" s="13" t="s">
        <v>267</v>
      </c>
      <c r="D214" s="13" t="s">
        <v>12</v>
      </c>
      <c r="E214" s="13" t="s">
        <v>12</v>
      </c>
      <c r="F214" s="14">
        <v>254.472</v>
      </c>
      <c r="G214" s="18">
        <v>181.25</v>
      </c>
    </row>
    <row r="215">
      <c r="A215" s="13" t="s">
        <v>268</v>
      </c>
      <c r="B215" s="13" t="s">
        <v>56</v>
      </c>
      <c r="C215" s="13"/>
      <c r="D215" s="13" t="s">
        <v>12</v>
      </c>
      <c r="E215" s="13" t="s">
        <v>12</v>
      </c>
      <c r="F215" s="14">
        <v>259.202</v>
      </c>
      <c r="G215" s="18">
        <v>181.135</v>
      </c>
    </row>
    <row r="216" hidden="1">
      <c r="A216" s="13" t="s">
        <v>489</v>
      </c>
      <c r="B216" s="13" t="s">
        <v>342</v>
      </c>
      <c r="C216" s="13"/>
      <c r="D216" s="13" t="s">
        <v>427</v>
      </c>
      <c r="E216" s="13" t="s">
        <v>23</v>
      </c>
      <c r="F216" s="14">
        <v>112.008</v>
      </c>
      <c r="G216" s="18">
        <v>110.756</v>
      </c>
    </row>
    <row r="217">
      <c r="A217" s="13" t="s">
        <v>269</v>
      </c>
      <c r="B217" s="13" t="s">
        <v>45</v>
      </c>
      <c r="C217" s="13" t="s">
        <v>270</v>
      </c>
      <c r="D217" s="13" t="s">
        <v>271</v>
      </c>
      <c r="E217" s="13" t="s">
        <v>23</v>
      </c>
      <c r="F217" s="14">
        <v>102.557</v>
      </c>
      <c r="G217" s="18">
        <v>99.425</v>
      </c>
    </row>
    <row r="218" hidden="1">
      <c r="A218" s="13" t="s">
        <v>490</v>
      </c>
      <c r="B218" s="13" t="s">
        <v>342</v>
      </c>
      <c r="C218" s="13"/>
      <c r="D218" s="13" t="s">
        <v>54</v>
      </c>
      <c r="E218" s="13" t="s">
        <v>30</v>
      </c>
      <c r="F218" s="14">
        <v>27.239</v>
      </c>
      <c r="G218" s="18">
        <v>37.329</v>
      </c>
    </row>
    <row r="219" hidden="1">
      <c r="A219" s="13" t="s">
        <v>491</v>
      </c>
      <c r="B219" s="13" t="s">
        <v>342</v>
      </c>
      <c r="C219" s="13"/>
      <c r="D219" s="13" t="s">
        <v>271</v>
      </c>
      <c r="E219" s="13" t="s">
        <v>23</v>
      </c>
      <c r="F219" s="14">
        <v>109.448</v>
      </c>
      <c r="G219" s="18">
        <v>98.739</v>
      </c>
    </row>
    <row r="220" hidden="1">
      <c r="A220" s="13" t="s">
        <v>492</v>
      </c>
      <c r="B220" s="13" t="s">
        <v>342</v>
      </c>
      <c r="C220" s="13"/>
      <c r="D220" s="13" t="s">
        <v>427</v>
      </c>
      <c r="E220" s="13" t="s">
        <v>23</v>
      </c>
      <c r="F220" s="14">
        <v>123.798</v>
      </c>
      <c r="G220" s="18">
        <v>110.435</v>
      </c>
    </row>
    <row r="221">
      <c r="A221" s="13" t="s">
        <v>272</v>
      </c>
      <c r="B221" s="13" t="s">
        <v>45</v>
      </c>
      <c r="C221" s="13" t="s">
        <v>100</v>
      </c>
      <c r="D221" s="13" t="s">
        <v>69</v>
      </c>
      <c r="E221" s="13" t="s">
        <v>23</v>
      </c>
      <c r="F221" s="14">
        <v>138.228</v>
      </c>
      <c r="G221" s="18">
        <v>129.824</v>
      </c>
    </row>
    <row r="222" hidden="1">
      <c r="A222" s="13" t="s">
        <v>493</v>
      </c>
      <c r="B222" s="13" t="s">
        <v>342</v>
      </c>
      <c r="C222" s="13"/>
      <c r="D222" s="13" t="s">
        <v>271</v>
      </c>
      <c r="E222" s="13" t="s">
        <v>23</v>
      </c>
      <c r="F222" s="14">
        <v>101.392</v>
      </c>
      <c r="G222" s="18">
        <v>99.181</v>
      </c>
    </row>
    <row r="223" hidden="1">
      <c r="A223" s="13" t="s">
        <v>494</v>
      </c>
      <c r="B223" s="13" t="s">
        <v>342</v>
      </c>
      <c r="C223" s="13"/>
      <c r="D223" s="13" t="s">
        <v>71</v>
      </c>
      <c r="E223" s="13" t="s">
        <v>16</v>
      </c>
      <c r="F223" s="14">
        <v>13.228</v>
      </c>
      <c r="G223" s="18">
        <v>15.437</v>
      </c>
    </row>
    <row r="224">
      <c r="A224" s="13" t="s">
        <v>273</v>
      </c>
      <c r="B224" s="13" t="s">
        <v>56</v>
      </c>
      <c r="C224" s="13"/>
      <c r="D224" s="13" t="s">
        <v>71</v>
      </c>
      <c r="E224" s="13" t="s">
        <v>16</v>
      </c>
      <c r="F224" s="14">
        <v>13.247</v>
      </c>
      <c r="G224" s="18">
        <v>15.539</v>
      </c>
    </row>
    <row r="225">
      <c r="A225" s="13" t="s">
        <v>274</v>
      </c>
      <c r="B225" s="13" t="s">
        <v>56</v>
      </c>
      <c r="C225" s="13"/>
      <c r="D225" s="13" t="s">
        <v>71</v>
      </c>
      <c r="E225" s="13" t="s">
        <v>16</v>
      </c>
      <c r="F225" s="14">
        <v>13.399</v>
      </c>
      <c r="G225" s="18">
        <v>15.649</v>
      </c>
    </row>
    <row r="226">
      <c r="A226" s="13" t="s">
        <v>275</v>
      </c>
      <c r="B226" s="13" t="s">
        <v>45</v>
      </c>
      <c r="C226" s="13" t="s">
        <v>276</v>
      </c>
      <c r="D226" s="13" t="s">
        <v>71</v>
      </c>
      <c r="E226" s="13" t="s">
        <v>16</v>
      </c>
      <c r="F226" s="14">
        <v>13.242</v>
      </c>
      <c r="G226" s="18">
        <v>15.703</v>
      </c>
    </row>
    <row r="227">
      <c r="A227" s="13" t="s">
        <v>277</v>
      </c>
      <c r="B227" s="13" t="s">
        <v>45</v>
      </c>
      <c r="C227" s="13" t="s">
        <v>278</v>
      </c>
      <c r="D227" s="13" t="s">
        <v>71</v>
      </c>
      <c r="E227" s="13" t="s">
        <v>16</v>
      </c>
      <c r="F227" s="14">
        <v>13.44</v>
      </c>
      <c r="G227" s="18">
        <v>15.63</v>
      </c>
    </row>
    <row r="228">
      <c r="A228" s="13" t="s">
        <v>279</v>
      </c>
      <c r="B228" s="13" t="s">
        <v>45</v>
      </c>
      <c r="C228" s="13" t="s">
        <v>280</v>
      </c>
      <c r="D228" s="13" t="s">
        <v>223</v>
      </c>
      <c r="E228" s="13" t="s">
        <v>18</v>
      </c>
      <c r="F228" s="14">
        <v>37.853</v>
      </c>
      <c r="G228" s="18">
        <v>27.37</v>
      </c>
    </row>
    <row r="229">
      <c r="A229" s="13" t="s">
        <v>281</v>
      </c>
      <c r="B229" s="13" t="s">
        <v>45</v>
      </c>
      <c r="C229" s="13" t="s">
        <v>282</v>
      </c>
      <c r="D229" s="13" t="s">
        <v>223</v>
      </c>
      <c r="E229" s="13" t="s">
        <v>18</v>
      </c>
      <c r="F229" s="14">
        <v>29.837</v>
      </c>
      <c r="G229" s="18">
        <v>26.815</v>
      </c>
    </row>
    <row r="230">
      <c r="A230" s="13" t="s">
        <v>283</v>
      </c>
      <c r="B230" s="13" t="s">
        <v>45</v>
      </c>
      <c r="C230" s="13" t="s">
        <v>284</v>
      </c>
      <c r="D230" s="13" t="s">
        <v>223</v>
      </c>
      <c r="E230" s="13" t="s">
        <v>18</v>
      </c>
      <c r="F230" s="14">
        <v>26.093</v>
      </c>
      <c r="G230" s="18">
        <v>27.909</v>
      </c>
    </row>
    <row r="231">
      <c r="A231" s="13" t="s">
        <v>285</v>
      </c>
      <c r="B231" s="13" t="s">
        <v>45</v>
      </c>
      <c r="C231" s="13" t="s">
        <v>286</v>
      </c>
      <c r="D231" s="13" t="s">
        <v>287</v>
      </c>
      <c r="E231" s="13" t="s">
        <v>33</v>
      </c>
      <c r="F231" s="14">
        <v>10.996</v>
      </c>
      <c r="G231" s="18">
        <v>27.061</v>
      </c>
    </row>
    <row r="232">
      <c r="A232" s="13" t="s">
        <v>288</v>
      </c>
      <c r="B232" s="13" t="s">
        <v>45</v>
      </c>
      <c r="C232" s="13" t="s">
        <v>289</v>
      </c>
      <c r="D232" s="13" t="s">
        <v>290</v>
      </c>
      <c r="E232" s="13" t="s">
        <v>30</v>
      </c>
      <c r="F232" s="14">
        <v>25.748</v>
      </c>
      <c r="G232" s="18">
        <v>33.105</v>
      </c>
    </row>
    <row r="233">
      <c r="A233" s="13" t="s">
        <v>291</v>
      </c>
      <c r="B233" s="13" t="s">
        <v>45</v>
      </c>
      <c r="C233" s="13" t="s">
        <v>292</v>
      </c>
      <c r="D233" s="13" t="s">
        <v>293</v>
      </c>
      <c r="E233" s="13" t="s">
        <v>16</v>
      </c>
      <c r="F233" s="14">
        <v>11.655</v>
      </c>
      <c r="G233" s="18">
        <v>20.826</v>
      </c>
    </row>
    <row r="234">
      <c r="A234" s="13" t="s">
        <v>294</v>
      </c>
      <c r="B234" s="13" t="s">
        <v>45</v>
      </c>
      <c r="C234" s="13" t="s">
        <v>295</v>
      </c>
      <c r="D234" s="13" t="s">
        <v>296</v>
      </c>
      <c r="E234" s="13" t="s">
        <v>30</v>
      </c>
      <c r="F234" s="14">
        <v>27.452</v>
      </c>
      <c r="G234" s="18">
        <v>38.297</v>
      </c>
    </row>
    <row r="235" hidden="1">
      <c r="A235" s="13" t="s">
        <v>495</v>
      </c>
      <c r="B235" s="13" t="s">
        <v>342</v>
      </c>
      <c r="C235" s="13"/>
      <c r="D235" s="13" t="s">
        <v>54</v>
      </c>
      <c r="E235" s="13" t="s">
        <v>30</v>
      </c>
      <c r="F235" s="14">
        <v>35.905</v>
      </c>
      <c r="G235" s="18">
        <v>32.828</v>
      </c>
    </row>
    <row r="236" hidden="1">
      <c r="A236" s="13" t="s">
        <v>496</v>
      </c>
      <c r="B236" s="13" t="s">
        <v>342</v>
      </c>
      <c r="C236" s="13"/>
      <c r="D236" s="13" t="s">
        <v>204</v>
      </c>
      <c r="E236" s="13" t="s">
        <v>26</v>
      </c>
      <c r="F236" s="14">
        <v>26.767</v>
      </c>
      <c r="G236" s="18">
        <v>26.232</v>
      </c>
    </row>
    <row r="237">
      <c r="A237" s="13" t="s">
        <v>297</v>
      </c>
      <c r="B237" s="13" t="s">
        <v>45</v>
      </c>
      <c r="C237" s="13" t="s">
        <v>298</v>
      </c>
      <c r="D237" s="13" t="s">
        <v>204</v>
      </c>
      <c r="E237" s="13" t="s">
        <v>26</v>
      </c>
      <c r="F237" s="14">
        <v>26.376</v>
      </c>
      <c r="G237" s="18">
        <v>42.715</v>
      </c>
    </row>
    <row r="238" hidden="1">
      <c r="A238" s="13" t="s">
        <v>497</v>
      </c>
      <c r="B238" s="13" t="s">
        <v>342</v>
      </c>
      <c r="C238" s="13"/>
      <c r="D238" s="13" t="s">
        <v>54</v>
      </c>
      <c r="E238" s="13" t="s">
        <v>30</v>
      </c>
      <c r="F238" s="14">
        <v>20.734</v>
      </c>
      <c r="G238" s="18">
        <v>21.152</v>
      </c>
    </row>
    <row r="239" hidden="1">
      <c r="A239" s="13" t="s">
        <v>498</v>
      </c>
      <c r="B239" s="13" t="s">
        <v>342</v>
      </c>
      <c r="C239" s="13"/>
      <c r="D239" s="13" t="s">
        <v>255</v>
      </c>
      <c r="E239" s="13" t="s">
        <v>14</v>
      </c>
      <c r="F239" s="14" t="s">
        <v>345</v>
      </c>
      <c r="G239" s="13" t="s">
        <v>345</v>
      </c>
    </row>
    <row r="240">
      <c r="A240" s="13" t="s">
        <v>299</v>
      </c>
      <c r="B240" s="13" t="s">
        <v>45</v>
      </c>
      <c r="C240" s="13" t="s">
        <v>300</v>
      </c>
      <c r="D240" s="13" t="s">
        <v>147</v>
      </c>
      <c r="E240" s="13" t="s">
        <v>23</v>
      </c>
      <c r="F240" s="14">
        <v>97.114</v>
      </c>
      <c r="G240" s="18">
        <v>94.019</v>
      </c>
    </row>
    <row r="241" hidden="1">
      <c r="A241" s="17" t="s">
        <v>499</v>
      </c>
      <c r="B241" s="17" t="s">
        <v>342</v>
      </c>
      <c r="C241" s="17"/>
      <c r="D241" s="17" t="s">
        <v>196</v>
      </c>
      <c r="E241" s="17" t="s">
        <v>24</v>
      </c>
      <c r="F241" s="14">
        <v>40.818</v>
      </c>
      <c r="G241" s="18">
        <v>40.582</v>
      </c>
    </row>
    <row r="242" hidden="1">
      <c r="A242" s="17" t="s">
        <v>500</v>
      </c>
      <c r="B242" s="17" t="s">
        <v>342</v>
      </c>
      <c r="C242" s="17"/>
      <c r="D242" s="17" t="s">
        <v>196</v>
      </c>
      <c r="E242" s="17" t="s">
        <v>24</v>
      </c>
      <c r="F242" s="14">
        <v>40.898</v>
      </c>
      <c r="G242" s="18">
        <v>40.719</v>
      </c>
    </row>
    <row r="243" hidden="1">
      <c r="A243" s="17" t="s">
        <v>501</v>
      </c>
      <c r="B243" s="17" t="s">
        <v>342</v>
      </c>
      <c r="C243" s="17"/>
      <c r="D243" s="17" t="s">
        <v>196</v>
      </c>
      <c r="E243" s="17" t="s">
        <v>24</v>
      </c>
      <c r="F243" s="14">
        <v>40.875</v>
      </c>
      <c r="G243" s="18">
        <v>40.733</v>
      </c>
    </row>
    <row r="244">
      <c r="A244" s="17" t="s">
        <v>301</v>
      </c>
      <c r="B244" s="17" t="s">
        <v>45</v>
      </c>
      <c r="C244" s="17" t="s">
        <v>302</v>
      </c>
      <c r="D244" s="17" t="s">
        <v>71</v>
      </c>
      <c r="E244" s="17" t="s">
        <v>16</v>
      </c>
      <c r="F244" s="14">
        <v>13.411</v>
      </c>
      <c r="G244" s="18">
        <v>15.898</v>
      </c>
    </row>
    <row r="245" hidden="1">
      <c r="A245" s="17" t="s">
        <v>502</v>
      </c>
      <c r="B245" s="17" t="s">
        <v>342</v>
      </c>
      <c r="C245" s="17"/>
      <c r="D245" s="17" t="s">
        <v>71</v>
      </c>
      <c r="E245" s="17" t="s">
        <v>16</v>
      </c>
      <c r="F245" s="14">
        <v>13.426</v>
      </c>
      <c r="G245" s="18">
        <v>15.669</v>
      </c>
    </row>
    <row r="246">
      <c r="A246" s="17" t="s">
        <v>303</v>
      </c>
      <c r="B246" s="17" t="s">
        <v>45</v>
      </c>
      <c r="C246" s="17" t="s">
        <v>304</v>
      </c>
      <c r="D246" s="17" t="s">
        <v>71</v>
      </c>
      <c r="E246" s="17" t="s">
        <v>16</v>
      </c>
      <c r="F246" s="14">
        <v>13.387</v>
      </c>
      <c r="G246" s="18">
        <v>15.635</v>
      </c>
    </row>
    <row r="247">
      <c r="A247" s="17" t="s">
        <v>305</v>
      </c>
      <c r="B247" s="17" t="s">
        <v>45</v>
      </c>
      <c r="C247" s="17" t="s">
        <v>306</v>
      </c>
      <c r="D247" s="17" t="s">
        <v>147</v>
      </c>
      <c r="E247" s="17" t="s">
        <v>23</v>
      </c>
      <c r="F247" s="14">
        <v>107.909</v>
      </c>
      <c r="G247" s="18">
        <v>99.089</v>
      </c>
    </row>
    <row r="248" hidden="1">
      <c r="A248" s="17" t="s">
        <v>503</v>
      </c>
      <c r="B248" s="17" t="s">
        <v>342</v>
      </c>
      <c r="C248" s="17"/>
      <c r="D248" s="17" t="s">
        <v>455</v>
      </c>
      <c r="E248" s="17" t="s">
        <v>23</v>
      </c>
      <c r="F248" s="14">
        <v>141.396</v>
      </c>
      <c r="G248" s="18">
        <v>193.477</v>
      </c>
    </row>
    <row r="249" hidden="1">
      <c r="A249" s="17" t="s">
        <v>504</v>
      </c>
      <c r="B249" s="17" t="s">
        <v>342</v>
      </c>
      <c r="C249" s="17"/>
      <c r="D249" s="17" t="s">
        <v>455</v>
      </c>
      <c r="E249" s="17" t="s">
        <v>23</v>
      </c>
      <c r="F249" s="14">
        <v>145.102</v>
      </c>
      <c r="G249" s="18">
        <v>182.987</v>
      </c>
    </row>
    <row r="250" hidden="1">
      <c r="A250" s="17" t="s">
        <v>505</v>
      </c>
      <c r="B250" s="17" t="s">
        <v>342</v>
      </c>
      <c r="C250" s="17"/>
      <c r="D250" s="17" t="s">
        <v>442</v>
      </c>
      <c r="E250" s="17" t="s">
        <v>443</v>
      </c>
      <c r="F250" s="14">
        <v>17.648</v>
      </c>
      <c r="G250" s="18">
        <v>30.904</v>
      </c>
    </row>
    <row r="251" hidden="1">
      <c r="A251" s="17" t="s">
        <v>506</v>
      </c>
      <c r="B251" s="17" t="s">
        <v>342</v>
      </c>
      <c r="C251" s="17"/>
      <c r="D251" s="17" t="s">
        <v>507</v>
      </c>
      <c r="E251" s="17" t="s">
        <v>18</v>
      </c>
      <c r="F251" s="14">
        <v>26.927</v>
      </c>
      <c r="G251" s="18">
        <v>26.756</v>
      </c>
    </row>
    <row r="252" hidden="1">
      <c r="A252" s="17" t="s">
        <v>508</v>
      </c>
      <c r="B252" s="17" t="s">
        <v>342</v>
      </c>
      <c r="C252" s="17"/>
      <c r="D252" s="17" t="s">
        <v>54</v>
      </c>
      <c r="E252" s="17" t="s">
        <v>30</v>
      </c>
      <c r="F252" s="14">
        <v>19.602</v>
      </c>
      <c r="G252" s="18">
        <v>32.236</v>
      </c>
    </row>
    <row r="253" hidden="1">
      <c r="A253" s="17" t="s">
        <v>509</v>
      </c>
      <c r="B253" s="17" t="s">
        <v>342</v>
      </c>
      <c r="C253" s="17"/>
      <c r="D253" s="17" t="s">
        <v>54</v>
      </c>
      <c r="E253" s="17" t="s">
        <v>30</v>
      </c>
      <c r="F253" s="14">
        <v>21.15</v>
      </c>
      <c r="G253" s="18">
        <v>32.092</v>
      </c>
    </row>
    <row r="254">
      <c r="A254" s="17" t="s">
        <v>307</v>
      </c>
      <c r="B254" s="17" t="s">
        <v>56</v>
      </c>
      <c r="C254" s="17"/>
      <c r="D254" s="17" t="s">
        <v>308</v>
      </c>
      <c r="E254" s="17" t="s">
        <v>20</v>
      </c>
      <c r="F254" s="14">
        <v>22.579</v>
      </c>
      <c r="G254" s="18">
        <v>25.331</v>
      </c>
    </row>
    <row r="255" hidden="1">
      <c r="A255" s="17" t="s">
        <v>510</v>
      </c>
      <c r="B255" s="17" t="s">
        <v>342</v>
      </c>
      <c r="C255" s="17"/>
      <c r="D255" s="17" t="s">
        <v>156</v>
      </c>
      <c r="E255" s="17" t="s">
        <v>18</v>
      </c>
      <c r="F255" s="14">
        <v>27.073</v>
      </c>
      <c r="G255" s="18">
        <v>27.915</v>
      </c>
    </row>
    <row r="256">
      <c r="A256" s="17" t="s">
        <v>309</v>
      </c>
      <c r="B256" s="17" t="s">
        <v>45</v>
      </c>
      <c r="C256" s="17" t="s">
        <v>310</v>
      </c>
      <c r="D256" s="17" t="s">
        <v>54</v>
      </c>
      <c r="E256" s="17" t="s">
        <v>29</v>
      </c>
      <c r="F256" s="14">
        <v>18.883</v>
      </c>
      <c r="G256" s="18">
        <v>32.232</v>
      </c>
    </row>
    <row r="257">
      <c r="A257" s="17" t="s">
        <v>511</v>
      </c>
      <c r="B257" s="17" t="s">
        <v>45</v>
      </c>
      <c r="C257" s="17" t="s">
        <v>512</v>
      </c>
      <c r="D257" s="17" t="s">
        <v>12</v>
      </c>
      <c r="E257" s="17" t="s">
        <v>12</v>
      </c>
      <c r="F257" s="14" t="s">
        <v>345</v>
      </c>
      <c r="G257" s="13" t="s">
        <v>345</v>
      </c>
    </row>
    <row r="258" hidden="1">
      <c r="A258" s="17" t="s">
        <v>513</v>
      </c>
      <c r="B258" s="17" t="s">
        <v>342</v>
      </c>
      <c r="C258" s="17"/>
      <c r="D258" s="17" t="s">
        <v>514</v>
      </c>
      <c r="E258" s="17" t="s">
        <v>23</v>
      </c>
      <c r="F258" s="14">
        <v>103.817</v>
      </c>
      <c r="G258" s="18">
        <v>106.388</v>
      </c>
    </row>
    <row r="259" hidden="1">
      <c r="A259" s="17" t="s">
        <v>515</v>
      </c>
      <c r="B259" s="17" t="s">
        <v>342</v>
      </c>
      <c r="C259" s="17"/>
      <c r="D259" s="17" t="s">
        <v>516</v>
      </c>
      <c r="E259" s="17" t="s">
        <v>23</v>
      </c>
      <c r="F259" s="14">
        <v>119.185</v>
      </c>
      <c r="G259" s="18">
        <v>116.642</v>
      </c>
    </row>
    <row r="260">
      <c r="A260" s="17" t="s">
        <v>311</v>
      </c>
      <c r="B260" s="17" t="s">
        <v>45</v>
      </c>
      <c r="C260" s="17" t="s">
        <v>312</v>
      </c>
      <c r="D260" s="17" t="s">
        <v>236</v>
      </c>
      <c r="E260" s="17" t="s">
        <v>23</v>
      </c>
      <c r="F260" s="14">
        <v>94.412</v>
      </c>
      <c r="G260" s="18">
        <v>100.509</v>
      </c>
    </row>
    <row r="261" hidden="1">
      <c r="A261" s="17" t="s">
        <v>517</v>
      </c>
      <c r="B261" s="17" t="s">
        <v>342</v>
      </c>
      <c r="C261" s="17"/>
      <c r="D261" s="17" t="s">
        <v>126</v>
      </c>
      <c r="E261" s="17" t="s">
        <v>17</v>
      </c>
      <c r="F261" s="14">
        <v>257.913</v>
      </c>
      <c r="G261" s="18">
        <v>248.091</v>
      </c>
    </row>
    <row r="262">
      <c r="A262" s="17" t="s">
        <v>313</v>
      </c>
      <c r="B262" s="17" t="s">
        <v>45</v>
      </c>
      <c r="C262" s="17" t="s">
        <v>314</v>
      </c>
      <c r="D262" s="17" t="s">
        <v>117</v>
      </c>
      <c r="E262" s="17" t="s">
        <v>23</v>
      </c>
      <c r="F262" s="14">
        <v>103.929</v>
      </c>
      <c r="G262" s="18">
        <v>95.211</v>
      </c>
    </row>
    <row r="263" hidden="1">
      <c r="A263" s="17" t="s">
        <v>518</v>
      </c>
      <c r="B263" s="17" t="s">
        <v>342</v>
      </c>
      <c r="C263" s="17"/>
      <c r="D263" s="17" t="s">
        <v>54</v>
      </c>
      <c r="E263" s="17" t="s">
        <v>30</v>
      </c>
      <c r="F263" s="14">
        <v>19.496</v>
      </c>
      <c r="G263" s="18">
        <v>32.02</v>
      </c>
    </row>
    <row r="264">
      <c r="A264" s="17" t="s">
        <v>315</v>
      </c>
      <c r="B264" s="17" t="s">
        <v>45</v>
      </c>
      <c r="C264" s="17" t="s">
        <v>316</v>
      </c>
      <c r="D264" s="17" t="s">
        <v>71</v>
      </c>
      <c r="E264" s="17" t="s">
        <v>16</v>
      </c>
      <c r="F264" s="14">
        <v>12.834</v>
      </c>
      <c r="G264" s="18">
        <v>15.075</v>
      </c>
    </row>
    <row r="265" hidden="1">
      <c r="A265" s="17" t="s">
        <v>519</v>
      </c>
      <c r="B265" s="17" t="s">
        <v>342</v>
      </c>
      <c r="C265" s="17"/>
      <c r="D265" s="17" t="s">
        <v>54</v>
      </c>
      <c r="E265" s="17" t="s">
        <v>30</v>
      </c>
      <c r="F265" s="14">
        <v>18.494</v>
      </c>
      <c r="G265" s="18">
        <v>32.205</v>
      </c>
    </row>
    <row r="266" hidden="1">
      <c r="A266" s="17" t="s">
        <v>520</v>
      </c>
      <c r="B266" s="17" t="s">
        <v>342</v>
      </c>
      <c r="C266" s="17"/>
      <c r="D266" s="17" t="s">
        <v>54</v>
      </c>
      <c r="E266" s="17" t="s">
        <v>30</v>
      </c>
      <c r="F266" s="14">
        <v>17.864</v>
      </c>
      <c r="G266" s="18">
        <v>32.163</v>
      </c>
    </row>
    <row r="267">
      <c r="A267" s="17" t="s">
        <v>317</v>
      </c>
      <c r="B267" s="17" t="s">
        <v>56</v>
      </c>
      <c r="C267" s="17"/>
      <c r="D267" s="17" t="s">
        <v>318</v>
      </c>
      <c r="E267" s="17" t="s">
        <v>16</v>
      </c>
      <c r="F267" s="14">
        <v>14.953</v>
      </c>
      <c r="G267" s="18">
        <v>15.373</v>
      </c>
    </row>
    <row r="268">
      <c r="A268" s="17" t="s">
        <v>319</v>
      </c>
      <c r="B268" s="17" t="s">
        <v>45</v>
      </c>
      <c r="C268" s="17" t="s">
        <v>320</v>
      </c>
      <c r="D268" s="17" t="s">
        <v>318</v>
      </c>
      <c r="E268" s="17" t="s">
        <v>16</v>
      </c>
      <c r="F268" s="14">
        <v>15.079</v>
      </c>
      <c r="G268" s="18">
        <v>15.352</v>
      </c>
    </row>
    <row r="269">
      <c r="A269" s="17" t="s">
        <v>321</v>
      </c>
      <c r="B269" s="17" t="s">
        <v>45</v>
      </c>
      <c r="C269" s="17" t="s">
        <v>322</v>
      </c>
      <c r="D269" s="17" t="s">
        <v>318</v>
      </c>
      <c r="E269" s="17" t="s">
        <v>16</v>
      </c>
      <c r="F269" s="14">
        <v>15.169</v>
      </c>
      <c r="G269" s="18">
        <v>15.195</v>
      </c>
    </row>
    <row r="270">
      <c r="A270" s="17" t="s">
        <v>323</v>
      </c>
      <c r="B270" s="17" t="s">
        <v>45</v>
      </c>
      <c r="C270" s="17" t="s">
        <v>324</v>
      </c>
      <c r="D270" s="17" t="s">
        <v>318</v>
      </c>
      <c r="E270" s="17" t="s">
        <v>16</v>
      </c>
      <c r="F270" s="14">
        <v>15.742</v>
      </c>
      <c r="G270" s="18">
        <v>15.33</v>
      </c>
    </row>
    <row r="271">
      <c r="A271" s="17" t="s">
        <v>325</v>
      </c>
      <c r="B271" s="17" t="s">
        <v>45</v>
      </c>
      <c r="C271" s="17" t="s">
        <v>326</v>
      </c>
      <c r="D271" s="17" t="s">
        <v>318</v>
      </c>
      <c r="E271" s="17" t="s">
        <v>16</v>
      </c>
      <c r="F271" s="14">
        <v>13.849</v>
      </c>
      <c r="G271" s="18">
        <v>15.347</v>
      </c>
    </row>
    <row r="272">
      <c r="A272" s="17" t="s">
        <v>327</v>
      </c>
      <c r="B272" s="17" t="s">
        <v>45</v>
      </c>
      <c r="C272" s="17" t="s">
        <v>328</v>
      </c>
      <c r="D272" s="17" t="s">
        <v>318</v>
      </c>
      <c r="E272" s="17" t="s">
        <v>16</v>
      </c>
      <c r="F272" s="14">
        <v>13.985</v>
      </c>
      <c r="G272" s="18">
        <v>15.243</v>
      </c>
    </row>
    <row r="273">
      <c r="A273" s="17" t="s">
        <v>329</v>
      </c>
      <c r="B273" s="17" t="s">
        <v>45</v>
      </c>
      <c r="C273" s="17" t="s">
        <v>330</v>
      </c>
      <c r="D273" s="17" t="s">
        <v>318</v>
      </c>
      <c r="E273" s="17" t="s">
        <v>16</v>
      </c>
      <c r="F273" s="14">
        <v>13.789</v>
      </c>
      <c r="G273" s="18">
        <v>15.381</v>
      </c>
    </row>
    <row r="274">
      <c r="A274" s="17" t="s">
        <v>331</v>
      </c>
      <c r="B274" s="17" t="s">
        <v>45</v>
      </c>
      <c r="C274" s="17" t="s">
        <v>332</v>
      </c>
      <c r="D274" s="17" t="s">
        <v>318</v>
      </c>
      <c r="E274" s="17" t="s">
        <v>16</v>
      </c>
      <c r="F274" s="14">
        <v>14.005</v>
      </c>
      <c r="G274" s="18">
        <v>15.231</v>
      </c>
    </row>
    <row r="275">
      <c r="A275" s="17" t="s">
        <v>333</v>
      </c>
      <c r="B275" s="17" t="s">
        <v>45</v>
      </c>
      <c r="C275" s="17" t="s">
        <v>334</v>
      </c>
      <c r="D275" s="17" t="s">
        <v>193</v>
      </c>
      <c r="E275" s="17" t="s">
        <v>30</v>
      </c>
      <c r="F275" s="14">
        <v>22.379</v>
      </c>
      <c r="G275" s="18">
        <v>32.882</v>
      </c>
    </row>
    <row r="276">
      <c r="A276" s="17" t="s">
        <v>335</v>
      </c>
      <c r="B276" s="17" t="s">
        <v>45</v>
      </c>
      <c r="C276" s="17" t="s">
        <v>336</v>
      </c>
      <c r="D276" s="17" t="s">
        <v>337</v>
      </c>
      <c r="E276" s="17" t="s">
        <v>28</v>
      </c>
      <c r="F276" s="14">
        <v>208.618</v>
      </c>
      <c r="G276" s="18">
        <v>220.779</v>
      </c>
    </row>
    <row r="277">
      <c r="A277" s="17" t="s">
        <v>338</v>
      </c>
      <c r="B277" s="17" t="s">
        <v>45</v>
      </c>
      <c r="C277" s="17" t="s">
        <v>100</v>
      </c>
      <c r="D277" s="17" t="s">
        <v>182</v>
      </c>
      <c r="E277" s="17" t="s">
        <v>11</v>
      </c>
      <c r="F277" s="14">
        <v>34.785</v>
      </c>
      <c r="G277" s="18">
        <v>33.569</v>
      </c>
    </row>
    <row r="278">
      <c r="A278" s="17" t="s">
        <v>339</v>
      </c>
      <c r="B278" s="17" t="s">
        <v>45</v>
      </c>
      <c r="C278" s="17" t="s">
        <v>340</v>
      </c>
      <c r="D278" s="17" t="s">
        <v>182</v>
      </c>
      <c r="E278" s="17" t="s">
        <v>11</v>
      </c>
      <c r="F278" s="14">
        <v>34.821</v>
      </c>
      <c r="G278" s="18">
        <v>33.634</v>
      </c>
    </row>
    <row r="279">
      <c r="A279" s="17"/>
      <c r="B279" s="17"/>
      <c r="C279" s="17"/>
      <c r="D279" s="17"/>
      <c r="E279" s="17"/>
      <c r="F279" s="14"/>
      <c r="G279" s="19"/>
    </row>
    <row r="280">
      <c r="A280" s="17"/>
      <c r="B280" s="17"/>
      <c r="C280" s="17"/>
      <c r="D280" s="17"/>
      <c r="E280" s="17"/>
      <c r="F280" s="14"/>
      <c r="G280" s="19"/>
    </row>
    <row r="281">
      <c r="A281" s="17"/>
      <c r="B281" s="17"/>
      <c r="C281" s="17"/>
      <c r="D281" s="17"/>
      <c r="E281" s="17"/>
      <c r="F281" s="14"/>
      <c r="G281" s="19"/>
    </row>
    <row r="282">
      <c r="A282" s="17"/>
      <c r="B282" s="17"/>
      <c r="C282" s="17"/>
      <c r="D282" s="17"/>
      <c r="E282" s="17"/>
      <c r="F282" s="14"/>
      <c r="G282" s="18"/>
    </row>
    <row r="283">
      <c r="A283" s="17"/>
      <c r="B283" s="17"/>
      <c r="C283" s="17"/>
      <c r="D283" s="17"/>
      <c r="E283" s="17"/>
      <c r="F283" s="14"/>
      <c r="G283" s="19"/>
    </row>
    <row r="284">
      <c r="A284" s="17"/>
      <c r="B284" s="17"/>
      <c r="C284" s="17"/>
      <c r="D284" s="17"/>
      <c r="E284" s="17"/>
      <c r="F284" s="14"/>
      <c r="G284" s="19"/>
    </row>
    <row r="285">
      <c r="A285" s="17"/>
      <c r="B285" s="17"/>
      <c r="C285" s="17"/>
      <c r="D285" s="17"/>
      <c r="E285" s="17"/>
      <c r="F285" s="14"/>
      <c r="G285" s="19"/>
    </row>
    <row r="286">
      <c r="A286" s="17"/>
      <c r="B286" s="17"/>
      <c r="C286" s="17"/>
      <c r="D286" s="17"/>
      <c r="E286" s="17"/>
      <c r="F286" s="14"/>
      <c r="G286" s="19"/>
    </row>
    <row r="287">
      <c r="A287" s="17"/>
      <c r="B287" s="17"/>
      <c r="C287" s="17"/>
      <c r="D287" s="17"/>
      <c r="E287" s="17"/>
      <c r="F287" s="14"/>
      <c r="G287" s="19"/>
    </row>
    <row r="288">
      <c r="A288" s="17"/>
      <c r="B288" s="17"/>
      <c r="C288" s="17"/>
      <c r="D288" s="17"/>
      <c r="E288" s="17"/>
      <c r="F288" s="14"/>
      <c r="G288" s="18"/>
    </row>
    <row r="289">
      <c r="A289" s="17"/>
      <c r="B289" s="17"/>
      <c r="C289" s="17"/>
      <c r="D289" s="17"/>
      <c r="E289" s="17"/>
      <c r="F289" s="14"/>
      <c r="G289" s="19"/>
    </row>
    <row r="290">
      <c r="A290" s="17"/>
      <c r="B290" s="17"/>
      <c r="C290" s="17"/>
      <c r="D290" s="17"/>
      <c r="E290" s="17"/>
      <c r="F290" s="14"/>
      <c r="G290" s="18"/>
    </row>
    <row r="291">
      <c r="A291" s="17"/>
      <c r="B291" s="17"/>
      <c r="C291" s="17"/>
      <c r="D291" s="17"/>
      <c r="E291" s="17"/>
      <c r="F291" s="14"/>
      <c r="G291" s="18"/>
    </row>
    <row r="292">
      <c r="A292" s="17"/>
      <c r="B292" s="17"/>
      <c r="C292" s="17"/>
      <c r="D292" s="17"/>
      <c r="E292" s="17"/>
      <c r="F292" s="14"/>
      <c r="G292" s="19"/>
    </row>
    <row r="293">
      <c r="A293" s="17"/>
      <c r="B293" s="17"/>
      <c r="C293" s="17"/>
      <c r="D293" s="17"/>
      <c r="E293" s="17"/>
      <c r="F293" s="14"/>
      <c r="G293" s="18"/>
    </row>
    <row r="294">
      <c r="A294" s="17"/>
      <c r="B294" s="17"/>
      <c r="C294" s="17"/>
      <c r="D294" s="17"/>
      <c r="E294" s="17"/>
      <c r="F294" s="14"/>
      <c r="G294" s="18"/>
    </row>
    <row r="295">
      <c r="A295" s="17"/>
      <c r="B295" s="17"/>
      <c r="C295" s="17"/>
      <c r="D295" s="17"/>
      <c r="E295" s="17"/>
      <c r="F295" s="14"/>
      <c r="G295" s="18"/>
    </row>
    <row r="296">
      <c r="A296" s="17"/>
      <c r="B296" s="17"/>
      <c r="C296" s="17"/>
      <c r="D296" s="17"/>
      <c r="E296" s="17"/>
      <c r="F296" s="14"/>
      <c r="G296" s="18"/>
    </row>
    <row r="297">
      <c r="A297" s="17"/>
      <c r="B297" s="17"/>
      <c r="C297" s="17"/>
      <c r="D297" s="17"/>
      <c r="E297" s="17"/>
      <c r="F297" s="14"/>
      <c r="G297" s="18"/>
    </row>
    <row r="298">
      <c r="A298" s="17"/>
      <c r="B298" s="17"/>
      <c r="C298" s="17"/>
      <c r="D298" s="17"/>
      <c r="E298" s="17"/>
      <c r="F298" s="14"/>
      <c r="G298" s="19"/>
    </row>
    <row r="299">
      <c r="A299" s="17"/>
      <c r="B299" s="17"/>
      <c r="C299" s="17"/>
      <c r="D299" s="17"/>
      <c r="E299" s="17"/>
      <c r="F299" s="14"/>
      <c r="G299" s="19"/>
    </row>
    <row r="300">
      <c r="A300" s="17"/>
      <c r="B300" s="17"/>
      <c r="C300" s="17"/>
      <c r="D300" s="17"/>
      <c r="E300" s="17"/>
      <c r="F300" s="14"/>
      <c r="G300" s="18"/>
    </row>
    <row r="301">
      <c r="A301" s="17"/>
      <c r="B301" s="17"/>
      <c r="C301" s="17"/>
      <c r="D301" s="17"/>
      <c r="E301" s="17"/>
      <c r="F301" s="14"/>
      <c r="G301" s="19"/>
    </row>
    <row r="302">
      <c r="A302" s="17"/>
      <c r="B302" s="17"/>
      <c r="C302" s="17"/>
      <c r="D302" s="17"/>
      <c r="E302" s="17"/>
      <c r="F302" s="14"/>
      <c r="G302" s="19"/>
    </row>
    <row r="303">
      <c r="A303" s="17"/>
      <c r="B303" s="17"/>
      <c r="C303" s="17"/>
      <c r="D303" s="17"/>
      <c r="E303" s="17"/>
      <c r="F303" s="14"/>
      <c r="G303" s="18"/>
    </row>
    <row r="304">
      <c r="A304" s="17"/>
      <c r="B304" s="17"/>
      <c r="C304" s="17"/>
      <c r="D304" s="17"/>
      <c r="E304" s="17"/>
      <c r="F304" s="14"/>
      <c r="G304" s="18"/>
    </row>
    <row r="305">
      <c r="A305" s="17"/>
      <c r="B305" s="17"/>
      <c r="C305" s="17"/>
      <c r="D305" s="17"/>
      <c r="E305" s="17"/>
      <c r="F305" s="14"/>
      <c r="G305" s="17"/>
    </row>
    <row r="306">
      <c r="A306" s="17"/>
      <c r="B306" s="17"/>
      <c r="C306" s="17"/>
      <c r="D306" s="17"/>
      <c r="E306" s="17"/>
      <c r="F306" s="14"/>
      <c r="G306" s="19"/>
    </row>
    <row r="307">
      <c r="A307" s="17"/>
      <c r="B307" s="17"/>
      <c r="C307" s="17"/>
      <c r="D307" s="17"/>
      <c r="E307" s="17"/>
      <c r="F307" s="14"/>
      <c r="G307" s="19"/>
    </row>
    <row r="308">
      <c r="A308" s="17"/>
      <c r="B308" s="17"/>
      <c r="C308" s="17"/>
      <c r="D308" s="17"/>
      <c r="E308" s="17"/>
      <c r="F308" s="14"/>
      <c r="G308" s="19"/>
    </row>
    <row r="309">
      <c r="A309" s="17"/>
      <c r="B309" s="17"/>
      <c r="C309" s="17"/>
      <c r="D309" s="17"/>
      <c r="E309" s="17"/>
      <c r="F309" s="14"/>
      <c r="G309" s="19"/>
    </row>
    <row r="310">
      <c r="A310" s="17"/>
      <c r="B310" s="17"/>
      <c r="C310" s="17"/>
      <c r="D310" s="17"/>
      <c r="E310" s="17"/>
      <c r="F310" s="14"/>
      <c r="G310" s="19"/>
    </row>
    <row r="311">
      <c r="A311" s="17"/>
      <c r="B311" s="17"/>
      <c r="C311" s="17"/>
      <c r="D311" s="17"/>
      <c r="E311" s="17"/>
      <c r="F311" s="14"/>
      <c r="G311" s="19"/>
    </row>
    <row r="312">
      <c r="A312" s="17"/>
      <c r="B312" s="17"/>
      <c r="C312" s="17"/>
      <c r="D312" s="17"/>
      <c r="E312" s="17"/>
      <c r="F312" s="14"/>
      <c r="G312" s="19"/>
    </row>
    <row r="313">
      <c r="A313" s="17"/>
      <c r="B313" s="17"/>
      <c r="C313" s="17"/>
      <c r="D313" s="17"/>
      <c r="E313" s="17"/>
      <c r="F313" s="14"/>
      <c r="G313" s="19"/>
    </row>
    <row r="314">
      <c r="A314" s="17"/>
      <c r="B314" s="17"/>
      <c r="C314" s="17"/>
      <c r="D314" s="17"/>
      <c r="E314" s="17"/>
      <c r="F314" s="14"/>
      <c r="G314" s="18"/>
    </row>
    <row r="315">
      <c r="A315" s="17"/>
      <c r="B315" s="17"/>
      <c r="C315" s="17"/>
      <c r="D315" s="17"/>
      <c r="E315" s="17"/>
      <c r="F315" s="14"/>
      <c r="G315" s="19"/>
    </row>
    <row r="316">
      <c r="A316" s="17"/>
      <c r="B316" s="17"/>
      <c r="C316" s="17"/>
      <c r="D316" s="17"/>
      <c r="E316" s="17"/>
      <c r="F316" s="14"/>
      <c r="G316" s="18"/>
    </row>
    <row r="317">
      <c r="A317" s="17"/>
      <c r="B317" s="17"/>
      <c r="C317" s="17"/>
      <c r="D317" s="17"/>
      <c r="E317" s="17"/>
      <c r="F317" s="14"/>
      <c r="G317" s="18"/>
    </row>
    <row r="318">
      <c r="A318" s="17"/>
      <c r="B318" s="17"/>
      <c r="C318" s="17"/>
      <c r="D318" s="17"/>
      <c r="E318" s="17"/>
      <c r="F318" s="14"/>
      <c r="G318" s="17"/>
    </row>
    <row r="319">
      <c r="A319" s="17"/>
      <c r="B319" s="17"/>
      <c r="C319" s="17"/>
      <c r="D319" s="17"/>
      <c r="E319" s="17"/>
      <c r="F319" s="14"/>
      <c r="G319" s="18"/>
    </row>
    <row r="320">
      <c r="A320" s="17"/>
      <c r="B320" s="17"/>
      <c r="C320" s="17"/>
      <c r="D320" s="17"/>
      <c r="E320" s="17"/>
      <c r="F320" s="14"/>
      <c r="G320" s="18"/>
    </row>
    <row r="321">
      <c r="A321" s="17"/>
      <c r="B321" s="17"/>
      <c r="C321" s="17"/>
      <c r="D321" s="17"/>
      <c r="E321" s="17"/>
      <c r="F321" s="14"/>
      <c r="G321" s="19"/>
    </row>
    <row r="322">
      <c r="A322" s="17"/>
      <c r="B322" s="17"/>
      <c r="C322" s="17"/>
      <c r="D322" s="17"/>
      <c r="E322" s="17"/>
      <c r="F322" s="14"/>
      <c r="G322" s="17"/>
    </row>
    <row r="323">
      <c r="A323" s="17"/>
      <c r="B323" s="17"/>
      <c r="C323" s="17"/>
      <c r="D323" s="17"/>
      <c r="E323" s="17"/>
      <c r="F323" s="14"/>
      <c r="G323" s="19"/>
    </row>
    <row r="324">
      <c r="A324" s="17"/>
      <c r="B324" s="17"/>
      <c r="C324" s="17"/>
      <c r="D324" s="17"/>
      <c r="E324" s="17"/>
      <c r="F324" s="14"/>
      <c r="G324" s="19"/>
    </row>
    <row r="325">
      <c r="A325" s="17"/>
      <c r="B325" s="17"/>
      <c r="C325" s="17"/>
      <c r="D325" s="17"/>
      <c r="E325" s="17"/>
      <c r="F325" s="14"/>
      <c r="G325" s="19"/>
    </row>
    <row r="326">
      <c r="A326" s="17"/>
      <c r="B326" s="17"/>
      <c r="C326" s="17"/>
      <c r="D326" s="17"/>
      <c r="E326" s="17"/>
      <c r="F326" s="14"/>
      <c r="G326" s="19"/>
    </row>
    <row r="327">
      <c r="A327" s="17"/>
      <c r="B327" s="17"/>
      <c r="C327" s="17"/>
      <c r="D327" s="17"/>
      <c r="E327" s="17"/>
      <c r="F327" s="14"/>
      <c r="G327" s="19"/>
    </row>
    <row r="328">
      <c r="A328" s="17"/>
      <c r="B328" s="17"/>
      <c r="C328" s="17"/>
      <c r="D328" s="17"/>
      <c r="E328" s="17"/>
      <c r="F328" s="14"/>
      <c r="G328" s="18"/>
    </row>
    <row r="329">
      <c r="A329" s="17"/>
      <c r="B329" s="17"/>
      <c r="C329" s="17"/>
      <c r="D329" s="17"/>
      <c r="E329" s="17"/>
      <c r="F329" s="14"/>
      <c r="G329" s="18"/>
    </row>
    <row r="330">
      <c r="A330" s="17"/>
      <c r="B330" s="17"/>
      <c r="C330" s="17"/>
      <c r="D330" s="17"/>
      <c r="E330" s="17"/>
      <c r="F330" s="14"/>
      <c r="G330" s="19"/>
    </row>
    <row r="331">
      <c r="A331" s="17"/>
      <c r="B331" s="17"/>
      <c r="C331" s="17"/>
      <c r="D331" s="17"/>
      <c r="E331" s="17"/>
      <c r="F331" s="14"/>
      <c r="G331" s="18"/>
    </row>
    <row r="332">
      <c r="A332" s="17"/>
      <c r="B332" s="17"/>
      <c r="C332" s="17"/>
      <c r="D332" s="17"/>
      <c r="E332" s="17"/>
      <c r="F332" s="14"/>
      <c r="G332" s="19"/>
    </row>
    <row r="333">
      <c r="A333" s="17"/>
      <c r="B333" s="17"/>
      <c r="C333" s="17"/>
      <c r="D333" s="17"/>
      <c r="E333" s="17"/>
      <c r="F333" s="14"/>
      <c r="G333" s="19"/>
    </row>
    <row r="334">
      <c r="A334" s="17"/>
      <c r="B334" s="17"/>
      <c r="C334" s="17"/>
      <c r="D334" s="17"/>
      <c r="E334" s="17"/>
      <c r="F334" s="14"/>
      <c r="G334" s="19"/>
    </row>
    <row r="335">
      <c r="A335" s="17"/>
      <c r="B335" s="17"/>
      <c r="C335" s="17"/>
      <c r="D335" s="17"/>
      <c r="E335" s="17"/>
      <c r="F335" s="14"/>
      <c r="G335" s="18"/>
    </row>
    <row r="336">
      <c r="A336" s="17"/>
      <c r="B336" s="17"/>
      <c r="C336" s="17"/>
      <c r="D336" s="17"/>
      <c r="E336" s="17"/>
      <c r="F336" s="14"/>
      <c r="G336" s="19"/>
    </row>
    <row r="337">
      <c r="A337" s="17"/>
      <c r="B337" s="17"/>
      <c r="C337" s="17"/>
      <c r="D337" s="17"/>
      <c r="E337" s="17"/>
      <c r="F337" s="14"/>
      <c r="G337" s="19"/>
    </row>
    <row r="338">
      <c r="A338" s="17"/>
      <c r="B338" s="17"/>
      <c r="C338" s="17"/>
      <c r="D338" s="17"/>
      <c r="E338" s="17"/>
      <c r="F338" s="14"/>
      <c r="G338" s="18"/>
    </row>
    <row r="339">
      <c r="A339" s="17"/>
      <c r="B339" s="17"/>
      <c r="C339" s="17"/>
      <c r="D339" s="17"/>
      <c r="E339" s="17"/>
      <c r="F339" s="14"/>
      <c r="G339" s="18"/>
    </row>
    <row r="340">
      <c r="A340" s="17"/>
      <c r="B340" s="17"/>
      <c r="C340" s="17"/>
      <c r="D340" s="17"/>
      <c r="E340" s="17"/>
      <c r="F340" s="14"/>
      <c r="G340" s="18"/>
    </row>
    <row r="341">
      <c r="A341" s="17"/>
      <c r="B341" s="17"/>
      <c r="C341" s="17"/>
      <c r="D341" s="17"/>
      <c r="E341" s="17"/>
      <c r="F341" s="14"/>
      <c r="G341" s="18"/>
    </row>
    <row r="342">
      <c r="A342" s="17"/>
      <c r="B342" s="17"/>
      <c r="C342" s="17"/>
      <c r="D342" s="17"/>
      <c r="E342" s="17"/>
      <c r="F342" s="14"/>
      <c r="G342" s="18"/>
    </row>
    <row r="343">
      <c r="A343" s="17"/>
      <c r="B343" s="17"/>
      <c r="C343" s="17"/>
      <c r="D343" s="17"/>
      <c r="E343" s="17"/>
      <c r="F343" s="14"/>
      <c r="G343" s="18"/>
    </row>
    <row r="344">
      <c r="A344" s="17"/>
      <c r="B344" s="17"/>
      <c r="C344" s="17"/>
      <c r="D344" s="17"/>
      <c r="E344" s="17"/>
      <c r="F344" s="14"/>
      <c r="G344" s="18"/>
    </row>
    <row r="345">
      <c r="A345" s="17"/>
      <c r="B345" s="17"/>
      <c r="C345" s="17"/>
      <c r="D345" s="17"/>
      <c r="E345" s="17"/>
      <c r="F345" s="14"/>
      <c r="G345" s="18"/>
    </row>
    <row r="346">
      <c r="A346" s="17"/>
      <c r="B346" s="17"/>
      <c r="C346" s="17"/>
      <c r="D346" s="17"/>
      <c r="E346" s="17"/>
      <c r="F346" s="14"/>
      <c r="G346" s="18"/>
    </row>
    <row r="347">
      <c r="A347" s="17"/>
      <c r="B347" s="17"/>
      <c r="C347" s="17"/>
      <c r="D347" s="17"/>
      <c r="E347" s="17"/>
      <c r="F347" s="14"/>
      <c r="G347" s="18"/>
    </row>
    <row r="348">
      <c r="A348" s="17"/>
      <c r="B348" s="17"/>
      <c r="C348" s="17"/>
      <c r="D348" s="17"/>
      <c r="E348" s="17"/>
      <c r="F348" s="14"/>
      <c r="G348" s="18"/>
    </row>
    <row r="349">
      <c r="A349" s="17"/>
      <c r="B349" s="17"/>
      <c r="C349" s="17"/>
      <c r="D349" s="17"/>
      <c r="E349" s="17"/>
      <c r="F349" s="14"/>
      <c r="G349" s="19"/>
    </row>
    <row r="350">
      <c r="A350" s="17"/>
      <c r="B350" s="17"/>
      <c r="C350" s="17"/>
      <c r="D350" s="17"/>
      <c r="E350" s="17"/>
      <c r="F350" s="14"/>
      <c r="G350" s="19"/>
    </row>
    <row r="351">
      <c r="A351" s="17"/>
      <c r="B351" s="17"/>
      <c r="C351" s="17"/>
      <c r="D351" s="17"/>
      <c r="E351" s="17"/>
      <c r="F351" s="14"/>
      <c r="G351" s="18"/>
    </row>
    <row r="352">
      <c r="A352" s="17"/>
      <c r="B352" s="17"/>
      <c r="C352" s="17"/>
      <c r="D352" s="17"/>
      <c r="E352" s="17"/>
      <c r="F352" s="14"/>
      <c r="G352" s="19"/>
    </row>
    <row r="353">
      <c r="A353" s="17"/>
      <c r="B353" s="17"/>
      <c r="C353" s="17"/>
      <c r="D353" s="17"/>
      <c r="E353" s="17"/>
      <c r="F353" s="14"/>
      <c r="G353" s="17"/>
    </row>
    <row r="354">
      <c r="A354" s="17"/>
      <c r="B354" s="17"/>
      <c r="C354" s="17"/>
      <c r="D354" s="17"/>
      <c r="E354" s="17"/>
      <c r="F354" s="14"/>
      <c r="G354" s="18"/>
    </row>
    <row r="355">
      <c r="A355" s="17"/>
      <c r="B355" s="17"/>
      <c r="C355" s="17"/>
      <c r="D355" s="17"/>
      <c r="E355" s="17"/>
      <c r="F355" s="14"/>
      <c r="G355" s="19"/>
    </row>
    <row r="356">
      <c r="A356" s="17"/>
      <c r="B356" s="17"/>
      <c r="C356" s="17"/>
      <c r="D356" s="17"/>
      <c r="E356" s="17"/>
      <c r="F356" s="14"/>
      <c r="G356" s="19"/>
    </row>
    <row r="357">
      <c r="A357" s="17"/>
      <c r="B357" s="17"/>
      <c r="C357" s="17"/>
      <c r="D357" s="17"/>
      <c r="E357" s="17"/>
      <c r="F357" s="14"/>
      <c r="G357" s="19"/>
    </row>
    <row r="358">
      <c r="A358" s="17"/>
      <c r="B358" s="17"/>
      <c r="C358" s="17"/>
      <c r="D358" s="17"/>
      <c r="E358" s="17"/>
      <c r="F358" s="14"/>
      <c r="G358" s="18"/>
    </row>
    <row r="359">
      <c r="A359" s="17"/>
      <c r="B359" s="17"/>
      <c r="C359" s="17"/>
      <c r="D359" s="17"/>
      <c r="E359" s="17"/>
      <c r="F359" s="14"/>
      <c r="G359" s="19"/>
    </row>
    <row r="360">
      <c r="A360" s="17"/>
      <c r="B360" s="17"/>
      <c r="C360" s="17"/>
      <c r="D360" s="17"/>
      <c r="E360" s="17"/>
      <c r="F360" s="14"/>
      <c r="G360" s="18"/>
    </row>
    <row r="361">
      <c r="A361" s="17"/>
      <c r="B361" s="17"/>
      <c r="C361" s="17"/>
      <c r="D361" s="17"/>
      <c r="E361" s="17"/>
      <c r="F361" s="14"/>
      <c r="G361" s="18"/>
    </row>
    <row r="362">
      <c r="A362" s="17"/>
      <c r="B362" s="17"/>
      <c r="C362" s="17"/>
      <c r="D362" s="17"/>
      <c r="E362" s="17"/>
      <c r="F362" s="14"/>
      <c r="G362" s="19"/>
    </row>
    <row r="363">
      <c r="A363" s="17"/>
      <c r="B363" s="17"/>
      <c r="C363" s="17"/>
      <c r="D363" s="17"/>
      <c r="E363" s="17"/>
      <c r="F363" s="14"/>
      <c r="G363" s="19"/>
    </row>
    <row r="364">
      <c r="A364" s="17"/>
      <c r="B364" s="17"/>
      <c r="C364" s="17"/>
      <c r="D364" s="17"/>
      <c r="E364" s="17"/>
      <c r="F364" s="14"/>
      <c r="G364" s="19"/>
    </row>
    <row r="365">
      <c r="A365" s="17"/>
      <c r="B365" s="17"/>
      <c r="C365" s="17"/>
      <c r="D365" s="17"/>
      <c r="E365" s="17"/>
      <c r="F365" s="14"/>
      <c r="G365" s="19"/>
    </row>
    <row r="366">
      <c r="A366" s="17"/>
      <c r="B366" s="17"/>
      <c r="C366" s="17"/>
      <c r="D366" s="17"/>
      <c r="E366" s="17"/>
      <c r="F366" s="14"/>
      <c r="G366" s="19"/>
    </row>
    <row r="367">
      <c r="A367" s="17"/>
      <c r="B367" s="17"/>
      <c r="C367" s="17"/>
      <c r="D367" s="17"/>
      <c r="E367" s="17"/>
      <c r="F367" s="14"/>
      <c r="G367" s="19"/>
    </row>
    <row r="368">
      <c r="A368" s="17"/>
      <c r="B368" s="17"/>
      <c r="C368" s="17"/>
      <c r="D368" s="17"/>
      <c r="E368" s="17"/>
      <c r="F368" s="14"/>
      <c r="G368" s="18"/>
    </row>
    <row r="369">
      <c r="A369" s="17"/>
      <c r="B369" s="17"/>
      <c r="C369" s="17"/>
      <c r="D369" s="17"/>
      <c r="E369" s="17"/>
      <c r="F369" s="14"/>
      <c r="G369" s="19"/>
    </row>
    <row r="370">
      <c r="A370" s="17"/>
      <c r="B370" s="17"/>
      <c r="C370" s="17"/>
      <c r="D370" s="17"/>
      <c r="E370" s="17"/>
      <c r="F370" s="14"/>
      <c r="G370" s="18"/>
    </row>
    <row r="371">
      <c r="A371" s="17"/>
      <c r="B371" s="17"/>
      <c r="C371" s="17"/>
      <c r="D371" s="17"/>
      <c r="E371" s="17"/>
      <c r="F371" s="14"/>
      <c r="G371" s="18"/>
    </row>
    <row r="372">
      <c r="A372" s="17"/>
      <c r="B372" s="17"/>
      <c r="C372" s="17"/>
      <c r="D372" s="17"/>
      <c r="E372" s="17"/>
      <c r="F372" s="14"/>
      <c r="G372" s="19"/>
    </row>
    <row r="373">
      <c r="A373" s="17"/>
      <c r="B373" s="17"/>
      <c r="C373" s="17"/>
      <c r="D373" s="17"/>
      <c r="E373" s="17"/>
      <c r="F373" s="14"/>
      <c r="G373" s="19"/>
    </row>
    <row r="374">
      <c r="A374" s="17"/>
      <c r="B374" s="17"/>
      <c r="C374" s="17"/>
      <c r="D374" s="17"/>
      <c r="E374" s="17"/>
      <c r="F374" s="14"/>
      <c r="G374" s="18"/>
    </row>
    <row r="375">
      <c r="A375" s="17"/>
      <c r="B375" s="17"/>
      <c r="C375" s="17"/>
      <c r="D375" s="17"/>
      <c r="E375" s="17"/>
      <c r="F375" s="14"/>
      <c r="G375" s="19"/>
    </row>
    <row r="376">
      <c r="A376" s="17"/>
      <c r="B376" s="17"/>
      <c r="C376" s="17"/>
      <c r="D376" s="17"/>
      <c r="E376" s="17"/>
      <c r="F376" s="14"/>
      <c r="G376" s="18"/>
    </row>
    <row r="377">
      <c r="A377" s="17"/>
      <c r="B377" s="17"/>
      <c r="C377" s="17"/>
      <c r="D377" s="17"/>
      <c r="E377" s="17"/>
      <c r="F377" s="14"/>
      <c r="G377" s="19"/>
    </row>
    <row r="378">
      <c r="A378" s="17"/>
      <c r="B378" s="17"/>
      <c r="C378" s="17"/>
      <c r="D378" s="17"/>
      <c r="E378" s="17"/>
      <c r="F378" s="14"/>
      <c r="G378" s="18"/>
    </row>
    <row r="379">
      <c r="A379" s="17"/>
      <c r="B379" s="17"/>
      <c r="C379" s="17"/>
      <c r="D379" s="17"/>
      <c r="E379" s="17"/>
      <c r="F379" s="14"/>
      <c r="G379" s="19"/>
    </row>
    <row r="380">
      <c r="A380" s="17"/>
      <c r="B380" s="17"/>
      <c r="C380" s="17"/>
      <c r="D380" s="17"/>
      <c r="E380" s="17"/>
      <c r="F380" s="14"/>
      <c r="G380" s="19"/>
    </row>
    <row r="381">
      <c r="A381" s="17"/>
      <c r="B381" s="17"/>
      <c r="C381" s="17"/>
      <c r="D381" s="17"/>
      <c r="E381" s="17"/>
      <c r="F381" s="14"/>
      <c r="G381" s="18"/>
    </row>
    <row r="382">
      <c r="A382" s="17"/>
      <c r="B382" s="17"/>
      <c r="C382" s="17"/>
      <c r="D382" s="17"/>
      <c r="E382" s="17"/>
      <c r="F382" s="14"/>
      <c r="G382" s="18"/>
    </row>
    <row r="383">
      <c r="A383" s="17"/>
      <c r="B383" s="17"/>
      <c r="C383" s="17"/>
      <c r="D383" s="17"/>
      <c r="E383" s="17"/>
      <c r="F383" s="14"/>
      <c r="G383" s="18"/>
    </row>
    <row r="384">
      <c r="A384" s="17"/>
      <c r="B384" s="17"/>
      <c r="C384" s="17"/>
      <c r="D384" s="17"/>
      <c r="E384" s="17"/>
      <c r="F384" s="14"/>
      <c r="G384" s="18"/>
    </row>
    <row r="385">
      <c r="A385" s="17"/>
      <c r="B385" s="17"/>
      <c r="C385" s="17"/>
      <c r="D385" s="17"/>
      <c r="E385" s="17"/>
      <c r="F385" s="14"/>
      <c r="G385" s="18"/>
    </row>
    <row r="386">
      <c r="A386" s="17"/>
      <c r="B386" s="17"/>
      <c r="C386" s="17"/>
      <c r="D386" s="17"/>
      <c r="E386" s="17"/>
      <c r="F386" s="14"/>
      <c r="G386" s="18"/>
    </row>
    <row r="387">
      <c r="A387" s="17"/>
      <c r="B387" s="17"/>
      <c r="C387" s="17"/>
      <c r="D387" s="17"/>
      <c r="E387" s="17"/>
      <c r="F387" s="14"/>
      <c r="G387" s="18"/>
    </row>
    <row r="388">
      <c r="A388" s="17"/>
      <c r="B388" s="17"/>
      <c r="C388" s="17"/>
      <c r="D388" s="17"/>
      <c r="E388" s="17"/>
      <c r="F388" s="14"/>
      <c r="G388" s="18"/>
    </row>
    <row r="389">
      <c r="A389" s="17"/>
      <c r="B389" s="17"/>
      <c r="C389" s="17"/>
      <c r="D389" s="17"/>
      <c r="E389" s="17"/>
      <c r="F389" s="14"/>
      <c r="G389" s="18"/>
    </row>
    <row r="390">
      <c r="A390" s="17"/>
      <c r="B390" s="17"/>
      <c r="C390" s="17"/>
      <c r="D390" s="17"/>
      <c r="E390" s="17"/>
      <c r="F390" s="14"/>
      <c r="G390" s="18"/>
    </row>
    <row r="391">
      <c r="A391" s="17"/>
      <c r="B391" s="17"/>
      <c r="C391" s="17"/>
      <c r="D391" s="17"/>
      <c r="E391" s="17"/>
      <c r="F391" s="14"/>
      <c r="G391" s="18"/>
    </row>
    <row r="392">
      <c r="A392" s="17"/>
      <c r="B392" s="17"/>
      <c r="C392" s="17"/>
      <c r="D392" s="17"/>
      <c r="E392" s="17"/>
      <c r="F392" s="14"/>
      <c r="G392" s="18"/>
    </row>
  </sheetData>
  <autoFilter ref="$B$2:$E$278">
    <filterColumn colId="0">
      <filters>
        <filter val="validator"/>
        <filter val="gossip"/>
      </filters>
    </filterColumn>
  </autoFilter>
  <mergeCells count="1">
    <mergeCell ref="F1:G1"/>
  </mergeCells>
  <conditionalFormatting sqref="G392">
    <cfRule type="expression" dxfId="0" priority="1">
      <formula>OR(F392&gt;G392*1.2)</formula>
    </cfRule>
  </conditionalFormatting>
  <conditionalFormatting sqref="G392">
    <cfRule type="expression" dxfId="1" priority="2">
      <formula>OR(F392*1.2&lt;G392)</formula>
    </cfRule>
  </conditionalFormatting>
  <conditionalFormatting sqref="G3:G278">
    <cfRule type="expression" dxfId="0" priority="3">
      <formula>OR(F3&gt;G3*1.2)</formula>
    </cfRule>
  </conditionalFormatting>
  <conditionalFormatting sqref="G3:G278">
    <cfRule type="expression" dxfId="2" priority="4">
      <formula>OR(F3*1.2&lt;G3)</formula>
    </cfRule>
  </conditionalFormatting>
  <hyperlinks>
    <hyperlink r:id="rId1" ref="C13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</cols>
  <sheetData>
    <row r="1">
      <c r="A1" s="14" t="s">
        <v>521</v>
      </c>
      <c r="C1" s="5" t="str">
        <f>IFERROR(__xludf.DUMMYFUNCTION("SPLIT(A1, "","")"),"5.199.164.220")</f>
        <v>5.199.164.220</v>
      </c>
      <c r="D1" s="5">
        <f>IFERROR(__xludf.DUMMYFUNCTION("""COMPUTED_VALUE"""),179.922)</f>
        <v>179.922</v>
      </c>
      <c r="E1" s="5">
        <f>IFERROR(__xludf.DUMMYFUNCTION("""COMPUTED_VALUE"""),0.0)</f>
        <v>0</v>
      </c>
    </row>
    <row r="2">
      <c r="A2" s="14" t="s">
        <v>522</v>
      </c>
      <c r="C2" s="5" t="str">
        <f>IFERROR(__xludf.DUMMYFUNCTION("SPLIT(A2, "","")"),"5.199.172.136")</f>
        <v>5.199.172.136</v>
      </c>
      <c r="D2" s="5" t="str">
        <f>IFERROR(__xludf.DUMMYFUNCTION("""COMPUTED_VALUE"""),"N/A")</f>
        <v>N/A</v>
      </c>
      <c r="E2" s="5">
        <f>IFERROR(__xludf.DUMMYFUNCTION("""COMPUTED_VALUE"""),100.0)</f>
        <v>100</v>
      </c>
    </row>
    <row r="3">
      <c r="A3" s="14" t="s">
        <v>523</v>
      </c>
      <c r="C3" s="5" t="str">
        <f>IFERROR(__xludf.DUMMYFUNCTION("SPLIT(A3, "","")"),"5.199.172.187")</f>
        <v>5.199.172.187</v>
      </c>
      <c r="D3" s="5" t="str">
        <f>IFERROR(__xludf.DUMMYFUNCTION("""COMPUTED_VALUE"""),"N/A")</f>
        <v>N/A</v>
      </c>
      <c r="E3" s="5">
        <f>IFERROR(__xludf.DUMMYFUNCTION("""COMPUTED_VALUE"""),100.0)</f>
        <v>100</v>
      </c>
    </row>
    <row r="4">
      <c r="A4" s="14" t="s">
        <v>524</v>
      </c>
      <c r="C4" s="5" t="str">
        <f>IFERROR(__xludf.DUMMYFUNCTION("SPLIT(A4, "","")"),"31.128.59.204")</f>
        <v>31.128.59.204</v>
      </c>
      <c r="D4" s="5">
        <f>IFERROR(__xludf.DUMMYFUNCTION("""COMPUTED_VALUE"""),57.855)</f>
        <v>57.855</v>
      </c>
      <c r="E4" s="5">
        <f>IFERROR(__xludf.DUMMYFUNCTION("""COMPUTED_VALUE"""),0.0)</f>
        <v>0</v>
      </c>
    </row>
    <row r="5">
      <c r="A5" s="14" t="s">
        <v>525</v>
      </c>
      <c r="C5" s="5" t="str">
        <f>IFERROR(__xludf.DUMMYFUNCTION("SPLIT(A5, "","")"),"31.128.59.209")</f>
        <v>31.128.59.209</v>
      </c>
      <c r="D5" s="5">
        <f>IFERROR(__xludf.DUMMYFUNCTION("""COMPUTED_VALUE"""),59.248)</f>
        <v>59.248</v>
      </c>
      <c r="E5" s="5">
        <f>IFERROR(__xludf.DUMMYFUNCTION("""COMPUTED_VALUE"""),0.0)</f>
        <v>0</v>
      </c>
    </row>
    <row r="6">
      <c r="A6" s="14" t="s">
        <v>526</v>
      </c>
      <c r="C6" s="5" t="str">
        <f>IFERROR(__xludf.DUMMYFUNCTION("SPLIT(A6, "","")"),"37.72.171.250")</f>
        <v>37.72.171.250</v>
      </c>
      <c r="D6" s="5">
        <f>IFERROR(__xludf.DUMMYFUNCTION("""COMPUTED_VALUE"""),23.891)</f>
        <v>23.891</v>
      </c>
      <c r="E6" s="5">
        <f>IFERROR(__xludf.DUMMYFUNCTION("""COMPUTED_VALUE"""),0.0)</f>
        <v>0</v>
      </c>
    </row>
    <row r="7">
      <c r="A7" s="14" t="s">
        <v>527</v>
      </c>
      <c r="C7" s="5" t="str">
        <f>IFERROR(__xludf.DUMMYFUNCTION("SPLIT(A7, "","")"),"38.129.137.238")</f>
        <v>38.129.137.238</v>
      </c>
      <c r="D7" s="5">
        <f>IFERROR(__xludf.DUMMYFUNCTION("""COMPUTED_VALUE"""),160.686)</f>
        <v>160.686</v>
      </c>
      <c r="E7" s="5">
        <f>IFERROR(__xludf.DUMMYFUNCTION("""COMPUTED_VALUE"""),0.0)</f>
        <v>0</v>
      </c>
    </row>
    <row r="8">
      <c r="A8" s="14" t="s">
        <v>528</v>
      </c>
      <c r="C8" s="5" t="str">
        <f>IFERROR(__xludf.DUMMYFUNCTION("SPLIT(A8, "","")"),"38.244.189.66")</f>
        <v>38.244.189.66</v>
      </c>
      <c r="D8" s="5">
        <f>IFERROR(__xludf.DUMMYFUNCTION("""COMPUTED_VALUE"""),19.674)</f>
        <v>19.674</v>
      </c>
      <c r="E8" s="5">
        <f>IFERROR(__xludf.DUMMYFUNCTION("""COMPUTED_VALUE"""),0.0)</f>
        <v>0</v>
      </c>
    </row>
    <row r="9">
      <c r="A9" s="14" t="s">
        <v>529</v>
      </c>
      <c r="C9" s="5" t="str">
        <f>IFERROR(__xludf.DUMMYFUNCTION("SPLIT(A9, "","")"),"45.32.145.112")</f>
        <v>45.32.145.112</v>
      </c>
      <c r="D9" s="5">
        <f>IFERROR(__xludf.DUMMYFUNCTION("""COMPUTED_VALUE"""),22.071)</f>
        <v>22.071</v>
      </c>
      <c r="E9" s="5">
        <f>IFERROR(__xludf.DUMMYFUNCTION("""COMPUTED_VALUE"""),0.0)</f>
        <v>0</v>
      </c>
    </row>
    <row r="10">
      <c r="A10" s="14" t="s">
        <v>530</v>
      </c>
      <c r="C10" s="5" t="str">
        <f>IFERROR(__xludf.DUMMYFUNCTION("SPLIT(A10, "","")"),"45.76.33.214")</f>
        <v>45.76.33.214</v>
      </c>
      <c r="D10" s="5">
        <f>IFERROR(__xludf.DUMMYFUNCTION("""COMPUTED_VALUE"""),21.3)</f>
        <v>21.3</v>
      </c>
      <c r="E10" s="5">
        <f>IFERROR(__xludf.DUMMYFUNCTION("""COMPUTED_VALUE"""),0.0)</f>
        <v>0</v>
      </c>
    </row>
    <row r="11">
      <c r="A11" s="14" t="s">
        <v>531</v>
      </c>
      <c r="C11" s="5" t="str">
        <f>IFERROR(__xludf.DUMMYFUNCTION("SPLIT(A11, "","")"),"45.76.138.170")</f>
        <v>45.76.138.170</v>
      </c>
      <c r="D11" s="5">
        <f>IFERROR(__xludf.DUMMYFUNCTION("""COMPUTED_VALUE"""),26.684)</f>
        <v>26.684</v>
      </c>
      <c r="E11" s="5">
        <f>IFERROR(__xludf.DUMMYFUNCTION("""COMPUTED_VALUE"""),0.0)</f>
        <v>0</v>
      </c>
    </row>
    <row r="12">
      <c r="A12" s="14" t="s">
        <v>532</v>
      </c>
      <c r="C12" s="5" t="str">
        <f>IFERROR(__xludf.DUMMYFUNCTION("SPLIT(A12, "","")"),"45.76.239.188")</f>
        <v>45.76.239.188</v>
      </c>
      <c r="D12" s="5">
        <f>IFERROR(__xludf.DUMMYFUNCTION("""COMPUTED_VALUE"""),132.741)</f>
        <v>132.741</v>
      </c>
      <c r="E12" s="5">
        <f>IFERROR(__xludf.DUMMYFUNCTION("""COMPUTED_VALUE"""),0.0)</f>
        <v>0</v>
      </c>
    </row>
    <row r="13">
      <c r="A13" s="14" t="s">
        <v>533</v>
      </c>
      <c r="C13" s="5" t="str">
        <f>IFERROR(__xludf.DUMMYFUNCTION("SPLIT(A13, "","")"),"45.77.64.138")</f>
        <v>45.77.64.138</v>
      </c>
      <c r="D13" s="5">
        <f>IFERROR(__xludf.DUMMYFUNCTION("""COMPUTED_VALUE"""),14.833)</f>
        <v>14.833</v>
      </c>
      <c r="E13" s="5">
        <f>IFERROR(__xludf.DUMMYFUNCTION("""COMPUTED_VALUE"""),0.0)</f>
        <v>0</v>
      </c>
    </row>
    <row r="14">
      <c r="A14" s="14" t="s">
        <v>534</v>
      </c>
      <c r="C14" s="5" t="str">
        <f>IFERROR(__xludf.DUMMYFUNCTION("SPLIT(A14, "","")"),"45.77.241.154")</f>
        <v>45.77.241.154</v>
      </c>
      <c r="D14" s="5">
        <f>IFERROR(__xludf.DUMMYFUNCTION("""COMPUTED_VALUE"""),276.944)</f>
        <v>276.944</v>
      </c>
      <c r="E14" s="5">
        <f>IFERROR(__xludf.DUMMYFUNCTION("""COMPUTED_VALUE"""),0.0)</f>
        <v>0</v>
      </c>
    </row>
    <row r="15">
      <c r="A15" s="14" t="s">
        <v>535</v>
      </c>
      <c r="C15" s="5" t="str">
        <f>IFERROR(__xludf.DUMMYFUNCTION("SPLIT(A15, "","")"),"45.134.108.184")</f>
        <v>45.134.108.184</v>
      </c>
      <c r="D15" s="5">
        <f>IFERROR(__xludf.DUMMYFUNCTION("""COMPUTED_VALUE"""),15.439)</f>
        <v>15.439</v>
      </c>
      <c r="E15" s="5">
        <f>IFERROR(__xludf.DUMMYFUNCTION("""COMPUTED_VALUE"""),0.0)</f>
        <v>0</v>
      </c>
    </row>
    <row r="16">
      <c r="A16" s="14" t="s">
        <v>536</v>
      </c>
      <c r="C16" s="5" t="str">
        <f>IFERROR(__xludf.DUMMYFUNCTION("SPLIT(A16, "","")"),"45.135.201.200")</f>
        <v>45.135.201.200</v>
      </c>
      <c r="D16" s="5">
        <f>IFERROR(__xludf.DUMMYFUNCTION("""COMPUTED_VALUE"""),17.807)</f>
        <v>17.807</v>
      </c>
      <c r="E16" s="5">
        <f>IFERROR(__xludf.DUMMYFUNCTION("""COMPUTED_VALUE"""),0.0)</f>
        <v>0</v>
      </c>
    </row>
    <row r="17">
      <c r="A17" s="14" t="s">
        <v>537</v>
      </c>
      <c r="C17" s="5" t="str">
        <f>IFERROR(__xludf.DUMMYFUNCTION("SPLIT(A17, "","")"),"45.135.201.209")</f>
        <v>45.135.201.209</v>
      </c>
      <c r="D17" s="5">
        <f>IFERROR(__xludf.DUMMYFUNCTION("""COMPUTED_VALUE"""),12.71)</f>
        <v>12.71</v>
      </c>
      <c r="E17" s="5">
        <f>IFERROR(__xludf.DUMMYFUNCTION("""COMPUTED_VALUE"""),0.0)</f>
        <v>0</v>
      </c>
    </row>
    <row r="18">
      <c r="A18" s="14" t="s">
        <v>538</v>
      </c>
      <c r="C18" s="5" t="str">
        <f>IFERROR(__xludf.DUMMYFUNCTION("SPLIT(A18, "","")"),"45.139.132.37")</f>
        <v>45.139.132.37</v>
      </c>
      <c r="D18" s="5">
        <f>IFERROR(__xludf.DUMMYFUNCTION("""COMPUTED_VALUE"""),19.175)</f>
        <v>19.175</v>
      </c>
      <c r="E18" s="5">
        <f>IFERROR(__xludf.DUMMYFUNCTION("""COMPUTED_VALUE"""),0.0)</f>
        <v>0</v>
      </c>
    </row>
    <row r="19">
      <c r="A19" s="14" t="s">
        <v>539</v>
      </c>
      <c r="C19" s="5" t="str">
        <f>IFERROR(__xludf.DUMMYFUNCTION("SPLIT(A19, "","")"),"45.139.132.38")</f>
        <v>45.139.132.38</v>
      </c>
      <c r="D19" s="5" t="str">
        <f>IFERROR(__xludf.DUMMYFUNCTION("""COMPUTED_VALUE"""),"N/A")</f>
        <v>N/A</v>
      </c>
      <c r="E19" s="5">
        <f>IFERROR(__xludf.DUMMYFUNCTION("""COMPUTED_VALUE"""),100.0)</f>
        <v>100</v>
      </c>
    </row>
    <row r="20">
      <c r="A20" s="14" t="s">
        <v>540</v>
      </c>
      <c r="C20" s="5" t="str">
        <f>IFERROR(__xludf.DUMMYFUNCTION("SPLIT(A20, "","")"),"45.139.132.52")</f>
        <v>45.139.132.52</v>
      </c>
      <c r="D20" s="5">
        <f>IFERROR(__xludf.DUMMYFUNCTION("""COMPUTED_VALUE"""),18.143)</f>
        <v>18.143</v>
      </c>
      <c r="E20" s="5">
        <f>IFERROR(__xludf.DUMMYFUNCTION("""COMPUTED_VALUE"""),0.0)</f>
        <v>0</v>
      </c>
    </row>
    <row r="21">
      <c r="A21" s="14" t="s">
        <v>541</v>
      </c>
      <c r="C21" s="5" t="str">
        <f>IFERROR(__xludf.DUMMYFUNCTION("SPLIT(A21, "","")"),"45.139.132.64")</f>
        <v>45.139.132.64</v>
      </c>
      <c r="D21" s="5">
        <f>IFERROR(__xludf.DUMMYFUNCTION("""COMPUTED_VALUE"""),14.96)</f>
        <v>14.96</v>
      </c>
      <c r="E21" s="5">
        <f>IFERROR(__xludf.DUMMYFUNCTION("""COMPUTED_VALUE"""),0.0)</f>
        <v>0</v>
      </c>
    </row>
    <row r="22">
      <c r="A22" s="14" t="s">
        <v>542</v>
      </c>
      <c r="C22" s="5" t="str">
        <f>IFERROR(__xludf.DUMMYFUNCTION("SPLIT(A22, "","")"),"45.139.132.84")</f>
        <v>45.139.132.84</v>
      </c>
      <c r="D22" s="5">
        <f>IFERROR(__xludf.DUMMYFUNCTION("""COMPUTED_VALUE"""),20.35)</f>
        <v>20.35</v>
      </c>
      <c r="E22" s="5">
        <f>IFERROR(__xludf.DUMMYFUNCTION("""COMPUTED_VALUE"""),0.0)</f>
        <v>0</v>
      </c>
    </row>
    <row r="23">
      <c r="A23" s="14" t="s">
        <v>543</v>
      </c>
      <c r="C23" s="5" t="str">
        <f>IFERROR(__xludf.DUMMYFUNCTION("SPLIT(A23, "","")"),"45.139.132.87")</f>
        <v>45.139.132.87</v>
      </c>
      <c r="D23" s="5">
        <f>IFERROR(__xludf.DUMMYFUNCTION("""COMPUTED_VALUE"""),17.634)</f>
        <v>17.634</v>
      </c>
      <c r="E23" s="5">
        <f>IFERROR(__xludf.DUMMYFUNCTION("""COMPUTED_VALUE"""),0.0)</f>
        <v>0</v>
      </c>
    </row>
    <row r="24">
      <c r="A24" s="14" t="s">
        <v>544</v>
      </c>
      <c r="C24" s="5" t="str">
        <f>IFERROR(__xludf.DUMMYFUNCTION("SPLIT(A24, "","")"),"45.139.132.88")</f>
        <v>45.139.132.88</v>
      </c>
      <c r="D24" s="5">
        <f>IFERROR(__xludf.DUMMYFUNCTION("""COMPUTED_VALUE"""),18.403)</f>
        <v>18.403</v>
      </c>
      <c r="E24" s="5">
        <f>IFERROR(__xludf.DUMMYFUNCTION("""COMPUTED_VALUE"""),0.0)</f>
        <v>0</v>
      </c>
    </row>
    <row r="25">
      <c r="A25" s="14" t="s">
        <v>545</v>
      </c>
      <c r="C25" s="5" t="str">
        <f>IFERROR(__xludf.DUMMYFUNCTION("SPLIT(A25, "","")"),"45.139.132.97")</f>
        <v>45.139.132.97</v>
      </c>
      <c r="D25" s="5">
        <f>IFERROR(__xludf.DUMMYFUNCTION("""COMPUTED_VALUE"""),14.564)</f>
        <v>14.564</v>
      </c>
      <c r="E25" s="5">
        <f>IFERROR(__xludf.DUMMYFUNCTION("""COMPUTED_VALUE"""),0.0)</f>
        <v>0</v>
      </c>
    </row>
    <row r="26">
      <c r="A26" s="14" t="s">
        <v>546</v>
      </c>
      <c r="C26" s="5" t="str">
        <f>IFERROR(__xludf.DUMMYFUNCTION("SPLIT(A26, "","")"),"45.139.132.116")</f>
        <v>45.139.132.116</v>
      </c>
      <c r="D26" s="5">
        <f>IFERROR(__xludf.DUMMYFUNCTION("""COMPUTED_VALUE"""),20.047)</f>
        <v>20.047</v>
      </c>
      <c r="E26" s="5">
        <f>IFERROR(__xludf.DUMMYFUNCTION("""COMPUTED_VALUE"""),0.0)</f>
        <v>0</v>
      </c>
    </row>
    <row r="27">
      <c r="A27" s="14" t="s">
        <v>547</v>
      </c>
      <c r="C27" s="5" t="str">
        <f>IFERROR(__xludf.DUMMYFUNCTION("SPLIT(A27, "","")"),"45.139.132.171")</f>
        <v>45.139.132.171</v>
      </c>
      <c r="D27" s="5">
        <f>IFERROR(__xludf.DUMMYFUNCTION("""COMPUTED_VALUE"""),17.882)</f>
        <v>17.882</v>
      </c>
      <c r="E27" s="5">
        <f>IFERROR(__xludf.DUMMYFUNCTION("""COMPUTED_VALUE"""),0.0)</f>
        <v>0</v>
      </c>
    </row>
    <row r="28">
      <c r="A28" s="14" t="s">
        <v>548</v>
      </c>
      <c r="C28" s="5" t="str">
        <f>IFERROR(__xludf.DUMMYFUNCTION("SPLIT(A28, "","")"),"45.139.132.204")</f>
        <v>45.139.132.204</v>
      </c>
      <c r="D28" s="5" t="str">
        <f>IFERROR(__xludf.DUMMYFUNCTION("""COMPUTED_VALUE"""),"N/A")</f>
        <v>N/A</v>
      </c>
      <c r="E28" s="5">
        <f>IFERROR(__xludf.DUMMYFUNCTION("""COMPUTED_VALUE"""),100.0)</f>
        <v>100</v>
      </c>
    </row>
    <row r="29">
      <c r="A29" s="14" t="s">
        <v>549</v>
      </c>
      <c r="C29" s="5" t="str">
        <f>IFERROR(__xludf.DUMMYFUNCTION("SPLIT(A29, "","")"),"45.139.132.215")</f>
        <v>45.139.132.215</v>
      </c>
      <c r="D29" s="5">
        <f>IFERROR(__xludf.DUMMYFUNCTION("""COMPUTED_VALUE"""),14.145)</f>
        <v>14.145</v>
      </c>
      <c r="E29" s="5">
        <f>IFERROR(__xludf.DUMMYFUNCTION("""COMPUTED_VALUE"""),0.0)</f>
        <v>0</v>
      </c>
    </row>
    <row r="30">
      <c r="A30" s="14" t="s">
        <v>550</v>
      </c>
      <c r="C30" s="5" t="str">
        <f>IFERROR(__xludf.DUMMYFUNCTION("SPLIT(A30, "","")"),"45.152.160.116")</f>
        <v>45.152.160.116</v>
      </c>
      <c r="D30" s="5">
        <f>IFERROR(__xludf.DUMMYFUNCTION("""COMPUTED_VALUE"""),18.163)</f>
        <v>18.163</v>
      </c>
      <c r="E30" s="5">
        <f>IFERROR(__xludf.DUMMYFUNCTION("""COMPUTED_VALUE"""),0.0)</f>
        <v>0</v>
      </c>
    </row>
    <row r="31">
      <c r="A31" s="14" t="s">
        <v>551</v>
      </c>
      <c r="C31" s="5" t="str">
        <f>IFERROR(__xludf.DUMMYFUNCTION("SPLIT(A31, "","")"),"46.229.232.134")</f>
        <v>46.229.232.134</v>
      </c>
      <c r="D31" s="5">
        <f>IFERROR(__xludf.DUMMYFUNCTION("""COMPUTED_VALUE"""),13.077)</f>
        <v>13.077</v>
      </c>
      <c r="E31" s="5">
        <f>IFERROR(__xludf.DUMMYFUNCTION("""COMPUTED_VALUE"""),0.0)</f>
        <v>0</v>
      </c>
    </row>
    <row r="32">
      <c r="A32" s="14" t="s">
        <v>552</v>
      </c>
      <c r="C32" s="5" t="str">
        <f>IFERROR(__xludf.DUMMYFUNCTION("SPLIT(A32, "","")"),"62.197.45.92")</f>
        <v>62.197.45.92</v>
      </c>
      <c r="D32" s="5">
        <f>IFERROR(__xludf.DUMMYFUNCTION("""COMPUTED_VALUE"""),21.907)</f>
        <v>21.907</v>
      </c>
      <c r="E32" s="5">
        <f>IFERROR(__xludf.DUMMYFUNCTION("""COMPUTED_VALUE"""),0.0)</f>
        <v>0</v>
      </c>
    </row>
    <row r="33">
      <c r="A33" s="14" t="s">
        <v>553</v>
      </c>
      <c r="C33" s="5" t="str">
        <f>IFERROR(__xludf.DUMMYFUNCTION("SPLIT(A33, "","")"),"64.130.32.60")</f>
        <v>64.130.32.60</v>
      </c>
      <c r="D33" s="5">
        <f>IFERROR(__xludf.DUMMYFUNCTION("""COMPUTED_VALUE"""),17.891)</f>
        <v>17.891</v>
      </c>
      <c r="E33" s="5">
        <f>IFERROR(__xludf.DUMMYFUNCTION("""COMPUTED_VALUE"""),0.0)</f>
        <v>0</v>
      </c>
    </row>
    <row r="34">
      <c r="A34" s="14" t="s">
        <v>554</v>
      </c>
      <c r="C34" s="5" t="str">
        <f>IFERROR(__xludf.DUMMYFUNCTION("SPLIT(A34, "","")"),"64.130.32.77")</f>
        <v>64.130.32.77</v>
      </c>
      <c r="D34" s="5">
        <f>IFERROR(__xludf.DUMMYFUNCTION("""COMPUTED_VALUE"""),13.87)</f>
        <v>13.87</v>
      </c>
      <c r="E34" s="5">
        <f>IFERROR(__xludf.DUMMYFUNCTION("""COMPUTED_VALUE"""),0.0)</f>
        <v>0</v>
      </c>
    </row>
    <row r="35">
      <c r="A35" s="14" t="s">
        <v>555</v>
      </c>
      <c r="C35" s="5" t="str">
        <f>IFERROR(__xludf.DUMMYFUNCTION("SPLIT(A35, "","")"),"64.130.32.173")</f>
        <v>64.130.32.173</v>
      </c>
      <c r="D35" s="5">
        <f>IFERROR(__xludf.DUMMYFUNCTION("""COMPUTED_VALUE"""),17.922)</f>
        <v>17.922</v>
      </c>
      <c r="E35" s="5">
        <f>IFERROR(__xludf.DUMMYFUNCTION("""COMPUTED_VALUE"""),0.0)</f>
        <v>0</v>
      </c>
    </row>
    <row r="36">
      <c r="A36" s="14" t="s">
        <v>556</v>
      </c>
      <c r="C36" s="5" t="str">
        <f>IFERROR(__xludf.DUMMYFUNCTION("SPLIT(A36, "","")"),"64.130.32.184")</f>
        <v>64.130.32.184</v>
      </c>
      <c r="D36" s="5">
        <f>IFERROR(__xludf.DUMMYFUNCTION("""COMPUTED_VALUE"""),15.585)</f>
        <v>15.585</v>
      </c>
      <c r="E36" s="5">
        <f>IFERROR(__xludf.DUMMYFUNCTION("""COMPUTED_VALUE"""),0.0)</f>
        <v>0</v>
      </c>
    </row>
    <row r="37">
      <c r="A37" s="14" t="s">
        <v>557</v>
      </c>
      <c r="C37" s="5" t="str">
        <f>IFERROR(__xludf.DUMMYFUNCTION("SPLIT(A37, "","")"),"64.130.32.213")</f>
        <v>64.130.32.213</v>
      </c>
      <c r="D37" s="5">
        <f>IFERROR(__xludf.DUMMYFUNCTION("""COMPUTED_VALUE"""),13.113)</f>
        <v>13.113</v>
      </c>
      <c r="E37" s="5">
        <f>IFERROR(__xludf.DUMMYFUNCTION("""COMPUTED_VALUE"""),0.0)</f>
        <v>0</v>
      </c>
    </row>
    <row r="38">
      <c r="A38" s="14" t="s">
        <v>558</v>
      </c>
      <c r="C38" s="5" t="str">
        <f>IFERROR(__xludf.DUMMYFUNCTION("SPLIT(A38, "","")"),"64.130.34.46")</f>
        <v>64.130.34.46</v>
      </c>
      <c r="D38" s="5">
        <f>IFERROR(__xludf.DUMMYFUNCTION("""COMPUTED_VALUE"""),98.276)</f>
        <v>98.276</v>
      </c>
      <c r="E38" s="5">
        <f>IFERROR(__xludf.DUMMYFUNCTION("""COMPUTED_VALUE"""),0.0)</f>
        <v>0</v>
      </c>
    </row>
    <row r="39">
      <c r="A39" s="14" t="s">
        <v>559</v>
      </c>
      <c r="C39" s="5" t="str">
        <f>IFERROR(__xludf.DUMMYFUNCTION("SPLIT(A39, "","")"),"64.130.37.3")</f>
        <v>64.130.37.3</v>
      </c>
      <c r="D39" s="5" t="str">
        <f>IFERROR(__xludf.DUMMYFUNCTION("""COMPUTED_VALUE"""),"N/A")</f>
        <v>N/A</v>
      </c>
      <c r="E39" s="5">
        <f>IFERROR(__xludf.DUMMYFUNCTION("""COMPUTED_VALUE"""),100.0)</f>
        <v>100</v>
      </c>
    </row>
    <row r="40">
      <c r="A40" s="14" t="s">
        <v>560</v>
      </c>
      <c r="C40" s="5" t="str">
        <f>IFERROR(__xludf.DUMMYFUNCTION("SPLIT(A40, "","")"),"64.130.40.157")</f>
        <v>64.130.40.157</v>
      </c>
      <c r="D40" s="5">
        <f>IFERROR(__xludf.DUMMYFUNCTION("""COMPUTED_VALUE"""),17.611)</f>
        <v>17.611</v>
      </c>
      <c r="E40" s="5">
        <f>IFERROR(__xludf.DUMMYFUNCTION("""COMPUTED_VALUE"""),0.0)</f>
        <v>0</v>
      </c>
    </row>
    <row r="41">
      <c r="A41" s="14" t="s">
        <v>561</v>
      </c>
      <c r="C41" s="5" t="str">
        <f>IFERROR(__xludf.DUMMYFUNCTION("SPLIT(A41, "","")"),"64.130.40.185")</f>
        <v>64.130.40.185</v>
      </c>
      <c r="D41" s="5">
        <f>IFERROR(__xludf.DUMMYFUNCTION("""COMPUTED_VALUE"""),13.211)</f>
        <v>13.211</v>
      </c>
      <c r="E41" s="5">
        <f>IFERROR(__xludf.DUMMYFUNCTION("""COMPUTED_VALUE"""),0.0)</f>
        <v>0</v>
      </c>
    </row>
    <row r="42">
      <c r="A42" s="14" t="s">
        <v>562</v>
      </c>
      <c r="C42" s="5" t="str">
        <f>IFERROR(__xludf.DUMMYFUNCTION("SPLIT(A42, "","")"),"64.130.43.202")</f>
        <v>64.130.43.202</v>
      </c>
      <c r="D42" s="5">
        <f>IFERROR(__xludf.DUMMYFUNCTION("""COMPUTED_VALUE"""),22.197)</f>
        <v>22.197</v>
      </c>
      <c r="E42" s="5">
        <f>IFERROR(__xludf.DUMMYFUNCTION("""COMPUTED_VALUE"""),0.0)</f>
        <v>0</v>
      </c>
    </row>
    <row r="43">
      <c r="A43" s="14" t="s">
        <v>563</v>
      </c>
      <c r="C43" s="5" t="str">
        <f>IFERROR(__xludf.DUMMYFUNCTION("SPLIT(A43, "","")"),"64.130.44.108")</f>
        <v>64.130.44.108</v>
      </c>
      <c r="D43" s="5" t="str">
        <f>IFERROR(__xludf.DUMMYFUNCTION("""COMPUTED_VALUE"""),"N/A")</f>
        <v>N/A</v>
      </c>
      <c r="E43" s="5">
        <f>IFERROR(__xludf.DUMMYFUNCTION("""COMPUTED_VALUE"""),100.0)</f>
        <v>100</v>
      </c>
    </row>
    <row r="44">
      <c r="A44" s="14" t="s">
        <v>564</v>
      </c>
      <c r="C44" s="5" t="str">
        <f>IFERROR(__xludf.DUMMYFUNCTION("SPLIT(A44, "","")"),"64.130.49.117")</f>
        <v>64.130.49.117</v>
      </c>
      <c r="D44" s="5">
        <f>IFERROR(__xludf.DUMMYFUNCTION("""COMPUTED_VALUE"""),264.084)</f>
        <v>264.084</v>
      </c>
      <c r="E44" s="5">
        <f>IFERROR(__xludf.DUMMYFUNCTION("""COMPUTED_VALUE"""),0.0)</f>
        <v>0</v>
      </c>
    </row>
    <row r="45">
      <c r="A45" s="14" t="s">
        <v>565</v>
      </c>
      <c r="C45" s="5" t="str">
        <f>IFERROR(__xludf.DUMMYFUNCTION("SPLIT(A45, "","")"),"64.130.50.133")</f>
        <v>64.130.50.133</v>
      </c>
      <c r="D45" s="5">
        <f>IFERROR(__xludf.DUMMYFUNCTION("""COMPUTED_VALUE"""),17.654)</f>
        <v>17.654</v>
      </c>
      <c r="E45" s="5">
        <f>IFERROR(__xludf.DUMMYFUNCTION("""COMPUTED_VALUE"""),0.0)</f>
        <v>0</v>
      </c>
    </row>
    <row r="46">
      <c r="A46" s="14" t="s">
        <v>566</v>
      </c>
      <c r="C46" s="5" t="str">
        <f>IFERROR(__xludf.DUMMYFUNCTION("SPLIT(A46, "","")"),"64.130.51.19")</f>
        <v>64.130.51.19</v>
      </c>
      <c r="D46" s="5">
        <f>IFERROR(__xludf.DUMMYFUNCTION("""COMPUTED_VALUE"""),99.286)</f>
        <v>99.286</v>
      </c>
      <c r="E46" s="5">
        <f>IFERROR(__xludf.DUMMYFUNCTION("""COMPUTED_VALUE"""),0.0)</f>
        <v>0</v>
      </c>
    </row>
    <row r="47">
      <c r="A47" s="14" t="s">
        <v>567</v>
      </c>
      <c r="C47" s="5" t="str">
        <f>IFERROR(__xludf.DUMMYFUNCTION("SPLIT(A47, "","")"),"64.130.52.111")</f>
        <v>64.130.52.111</v>
      </c>
      <c r="D47" s="5">
        <f>IFERROR(__xludf.DUMMYFUNCTION("""COMPUTED_VALUE"""),25.982)</f>
        <v>25.982</v>
      </c>
      <c r="E47" s="5">
        <f>IFERROR(__xludf.DUMMYFUNCTION("""COMPUTED_VALUE"""),0.0)</f>
        <v>0</v>
      </c>
    </row>
    <row r="48">
      <c r="A48" s="14" t="s">
        <v>568</v>
      </c>
      <c r="C48" s="5" t="str">
        <f>IFERROR(__xludf.DUMMYFUNCTION("SPLIT(A48, "","")"),"64.130.52.115")</f>
        <v>64.130.52.115</v>
      </c>
      <c r="D48" s="5">
        <f>IFERROR(__xludf.DUMMYFUNCTION("""COMPUTED_VALUE"""),26.631)</f>
        <v>26.631</v>
      </c>
      <c r="E48" s="5">
        <f>IFERROR(__xludf.DUMMYFUNCTION("""COMPUTED_VALUE"""),0.0)</f>
        <v>0</v>
      </c>
    </row>
    <row r="49">
      <c r="A49" s="14" t="s">
        <v>569</v>
      </c>
      <c r="C49" s="5" t="str">
        <f>IFERROR(__xludf.DUMMYFUNCTION("SPLIT(A49, "","")"),"64.130.55.254")</f>
        <v>64.130.55.254</v>
      </c>
      <c r="D49" s="5">
        <f>IFERROR(__xludf.DUMMYFUNCTION("""COMPUTED_VALUE"""),27.328)</f>
        <v>27.328</v>
      </c>
      <c r="E49" s="5">
        <f>IFERROR(__xludf.DUMMYFUNCTION("""COMPUTED_VALUE"""),0.0)</f>
        <v>0</v>
      </c>
    </row>
    <row r="50">
      <c r="A50" s="14" t="s">
        <v>570</v>
      </c>
      <c r="C50" s="5" t="str">
        <f>IFERROR(__xludf.DUMMYFUNCTION("SPLIT(A50, "","")"),"64.130.57.216")</f>
        <v>64.130.57.216</v>
      </c>
      <c r="D50" s="5">
        <f>IFERROR(__xludf.DUMMYFUNCTION("""COMPUTED_VALUE"""),13.48)</f>
        <v>13.48</v>
      </c>
      <c r="E50" s="5">
        <f>IFERROR(__xludf.DUMMYFUNCTION("""COMPUTED_VALUE"""),0.0)</f>
        <v>0</v>
      </c>
    </row>
    <row r="51">
      <c r="A51" s="14" t="s">
        <v>571</v>
      </c>
      <c r="C51" s="5" t="str">
        <f>IFERROR(__xludf.DUMMYFUNCTION("SPLIT(A51, "","")"),"64.130.63.76")</f>
        <v>64.130.63.76</v>
      </c>
      <c r="D51" s="5" t="str">
        <f>IFERROR(__xludf.DUMMYFUNCTION("""COMPUTED_VALUE"""),"N/A")</f>
        <v>N/A</v>
      </c>
      <c r="E51" s="5">
        <f>IFERROR(__xludf.DUMMYFUNCTION("""COMPUTED_VALUE"""),100.0)</f>
        <v>100</v>
      </c>
    </row>
    <row r="52">
      <c r="A52" s="14" t="s">
        <v>572</v>
      </c>
      <c r="C52" s="5" t="str">
        <f>IFERROR(__xludf.DUMMYFUNCTION("SPLIT(A52, "","")"),"64.176.7.65")</f>
        <v>64.176.7.65</v>
      </c>
      <c r="D52" s="5">
        <f>IFERROR(__xludf.DUMMYFUNCTION("""COMPUTED_VALUE"""),257.687)</f>
        <v>257.687</v>
      </c>
      <c r="E52" s="5">
        <f>IFERROR(__xludf.DUMMYFUNCTION("""COMPUTED_VALUE"""),0.0)</f>
        <v>0</v>
      </c>
    </row>
    <row r="53">
      <c r="A53" s="14" t="s">
        <v>573</v>
      </c>
      <c r="C53" s="5" t="str">
        <f>IFERROR(__xludf.DUMMYFUNCTION("SPLIT(A53, "","")"),"64.176.12.167")</f>
        <v>64.176.12.167</v>
      </c>
      <c r="D53" s="5">
        <f>IFERROR(__xludf.DUMMYFUNCTION("""COMPUTED_VALUE"""),255.714)</f>
        <v>255.714</v>
      </c>
      <c r="E53" s="5">
        <f>IFERROR(__xludf.DUMMYFUNCTION("""COMPUTED_VALUE"""),0.0)</f>
        <v>0</v>
      </c>
    </row>
    <row r="54">
      <c r="A54" s="14" t="s">
        <v>574</v>
      </c>
      <c r="C54" s="5" t="str">
        <f>IFERROR(__xludf.DUMMYFUNCTION("SPLIT(A54, "","")"),"65.20.105.212")</f>
        <v>65.20.105.212</v>
      </c>
      <c r="D54" s="5">
        <f>IFERROR(__xludf.DUMMYFUNCTION("""COMPUTED_VALUE"""),43.51)</f>
        <v>43.51</v>
      </c>
      <c r="E54" s="5">
        <f>IFERROR(__xludf.DUMMYFUNCTION("""COMPUTED_VALUE"""),0.0)</f>
        <v>0</v>
      </c>
    </row>
    <row r="55">
      <c r="A55" s="14" t="s">
        <v>575</v>
      </c>
      <c r="C55" s="5" t="str">
        <f>IFERROR(__xludf.DUMMYFUNCTION("SPLIT(A55, "","")"),"66.165.246.46")</f>
        <v>66.165.246.46</v>
      </c>
      <c r="D55" s="5">
        <f>IFERROR(__xludf.DUMMYFUNCTION("""COMPUTED_VALUE"""),104.902)</f>
        <v>104.902</v>
      </c>
      <c r="E55" s="5">
        <f>IFERROR(__xludf.DUMMYFUNCTION("""COMPUTED_VALUE"""),0.0)</f>
        <v>0</v>
      </c>
    </row>
    <row r="56">
      <c r="A56" s="14" t="s">
        <v>576</v>
      </c>
      <c r="C56" s="5" t="str">
        <f>IFERROR(__xludf.DUMMYFUNCTION("SPLIT(A56, "","")"),"67.209.52.228")</f>
        <v>67.209.52.228</v>
      </c>
      <c r="D56" s="5" t="str">
        <f>IFERROR(__xludf.DUMMYFUNCTION("""COMPUTED_VALUE"""),"N/A")</f>
        <v>N/A</v>
      </c>
      <c r="E56" s="5">
        <f>IFERROR(__xludf.DUMMYFUNCTION("""COMPUTED_VALUE"""),100.0)</f>
        <v>100</v>
      </c>
    </row>
    <row r="57">
      <c r="A57" s="14" t="s">
        <v>577</v>
      </c>
      <c r="C57" s="5" t="str">
        <f>IFERROR(__xludf.DUMMYFUNCTION("SPLIT(A57, "","")"),"67.213.112.35")</f>
        <v>67.213.112.35</v>
      </c>
      <c r="D57" s="5">
        <f>IFERROR(__xludf.DUMMYFUNCTION("""COMPUTED_VALUE"""),101.235)</f>
        <v>101.235</v>
      </c>
      <c r="E57" s="5">
        <f>IFERROR(__xludf.DUMMYFUNCTION("""COMPUTED_VALUE"""),0.0)</f>
        <v>0</v>
      </c>
    </row>
    <row r="58">
      <c r="A58" s="14" t="s">
        <v>578</v>
      </c>
      <c r="C58" s="5" t="str">
        <f>IFERROR(__xludf.DUMMYFUNCTION("SPLIT(A58, "","")"),"67.213.113.99")</f>
        <v>67.213.113.99</v>
      </c>
      <c r="D58" s="5">
        <f>IFERROR(__xludf.DUMMYFUNCTION("""COMPUTED_VALUE"""),20.384)</f>
        <v>20.384</v>
      </c>
      <c r="E58" s="5">
        <f>IFERROR(__xludf.DUMMYFUNCTION("""COMPUTED_VALUE"""),0.0)</f>
        <v>0</v>
      </c>
    </row>
    <row r="59">
      <c r="A59" s="14" t="s">
        <v>579</v>
      </c>
      <c r="C59" s="5" t="str">
        <f>IFERROR(__xludf.DUMMYFUNCTION("SPLIT(A59, "","")"),"67.213.113.103")</f>
        <v>67.213.113.103</v>
      </c>
      <c r="D59" s="5">
        <f>IFERROR(__xludf.DUMMYFUNCTION("""COMPUTED_VALUE"""),21.514)</f>
        <v>21.514</v>
      </c>
      <c r="E59" s="5">
        <f>IFERROR(__xludf.DUMMYFUNCTION("""COMPUTED_VALUE"""),0.0)</f>
        <v>0</v>
      </c>
    </row>
    <row r="60">
      <c r="A60" s="14" t="s">
        <v>580</v>
      </c>
      <c r="C60" s="5" t="str">
        <f>IFERROR(__xludf.DUMMYFUNCTION("SPLIT(A60, "","")"),"67.213.113.105")</f>
        <v>67.213.113.105</v>
      </c>
      <c r="D60" s="5">
        <f>IFERROR(__xludf.DUMMYFUNCTION("""COMPUTED_VALUE"""),13.964)</f>
        <v>13.964</v>
      </c>
      <c r="E60" s="5">
        <f>IFERROR(__xludf.DUMMYFUNCTION("""COMPUTED_VALUE"""),0.0)</f>
        <v>0</v>
      </c>
    </row>
    <row r="61">
      <c r="A61" s="14" t="s">
        <v>581</v>
      </c>
      <c r="C61" s="5" t="str">
        <f>IFERROR(__xludf.DUMMYFUNCTION("SPLIT(A61, "","")"),"67.213.117.59")</f>
        <v>67.213.117.59</v>
      </c>
      <c r="D61" s="5">
        <f>IFERROR(__xludf.DUMMYFUNCTION("""COMPUTED_VALUE"""),28.501)</f>
        <v>28.501</v>
      </c>
      <c r="E61" s="5">
        <f>IFERROR(__xludf.DUMMYFUNCTION("""COMPUTED_VALUE"""),0.0)</f>
        <v>0</v>
      </c>
    </row>
    <row r="62">
      <c r="A62" s="14" t="s">
        <v>582</v>
      </c>
      <c r="C62" s="5" t="str">
        <f>IFERROR(__xludf.DUMMYFUNCTION("SPLIT(A62, "","")"),"67.213.122.45")</f>
        <v>67.213.122.45</v>
      </c>
      <c r="D62" s="5">
        <f>IFERROR(__xludf.DUMMYFUNCTION("""COMPUTED_VALUE"""),273.832)</f>
        <v>273.832</v>
      </c>
      <c r="E62" s="5">
        <f>IFERROR(__xludf.DUMMYFUNCTION("""COMPUTED_VALUE"""),0.0)</f>
        <v>0</v>
      </c>
    </row>
    <row r="63">
      <c r="A63" s="14" t="s">
        <v>583</v>
      </c>
      <c r="C63" s="5" t="str">
        <f>IFERROR(__xludf.DUMMYFUNCTION("SPLIT(A63, "","")"),"67.213.122.59")</f>
        <v>67.213.122.59</v>
      </c>
      <c r="D63" s="5">
        <f>IFERROR(__xludf.DUMMYFUNCTION("""COMPUTED_VALUE"""),267.348)</f>
        <v>267.348</v>
      </c>
      <c r="E63" s="5">
        <f>IFERROR(__xludf.DUMMYFUNCTION("""COMPUTED_VALUE"""),0.0)</f>
        <v>0</v>
      </c>
    </row>
    <row r="64">
      <c r="A64" s="14" t="s">
        <v>584</v>
      </c>
      <c r="C64" s="5" t="str">
        <f>IFERROR(__xludf.DUMMYFUNCTION("SPLIT(A64, "","")"),"67.213.127.33")</f>
        <v>67.213.127.33</v>
      </c>
      <c r="D64" s="5">
        <f>IFERROR(__xludf.DUMMYFUNCTION("""COMPUTED_VALUE"""),24.697)</f>
        <v>24.697</v>
      </c>
      <c r="E64" s="5">
        <f>IFERROR(__xludf.DUMMYFUNCTION("""COMPUTED_VALUE"""),0.0)</f>
        <v>0</v>
      </c>
    </row>
    <row r="65">
      <c r="A65" s="14" t="s">
        <v>585</v>
      </c>
      <c r="C65" s="5" t="str">
        <f>IFERROR(__xludf.DUMMYFUNCTION("SPLIT(A65, "","")"),"69.67.148.121")</f>
        <v>69.67.148.121</v>
      </c>
      <c r="D65" s="5">
        <f>IFERROR(__xludf.DUMMYFUNCTION("""COMPUTED_VALUE"""),178.998)</f>
        <v>178.998</v>
      </c>
      <c r="E65" s="5">
        <f>IFERROR(__xludf.DUMMYFUNCTION("""COMPUTED_VALUE"""),0.0)</f>
        <v>0</v>
      </c>
    </row>
    <row r="66">
      <c r="A66" s="14" t="s">
        <v>586</v>
      </c>
      <c r="C66" s="5" t="str">
        <f>IFERROR(__xludf.DUMMYFUNCTION("SPLIT(A66, "","")"),"72.46.84.117")</f>
        <v>72.46.84.117</v>
      </c>
      <c r="D66" s="5">
        <f>IFERROR(__xludf.DUMMYFUNCTION("""COMPUTED_VALUE"""),26.897)</f>
        <v>26.897</v>
      </c>
      <c r="E66" s="5">
        <f>IFERROR(__xludf.DUMMYFUNCTION("""COMPUTED_VALUE"""),0.0)</f>
        <v>0</v>
      </c>
    </row>
    <row r="67">
      <c r="A67" s="14" t="s">
        <v>587</v>
      </c>
      <c r="C67" s="5" t="str">
        <f>IFERROR(__xludf.DUMMYFUNCTION("SPLIT(A67, "","")"),"72.46.84.121")</f>
        <v>72.46.84.121</v>
      </c>
      <c r="D67" s="5">
        <f>IFERROR(__xludf.DUMMYFUNCTION("""COMPUTED_VALUE"""),29.628)</f>
        <v>29.628</v>
      </c>
      <c r="E67" s="5">
        <f>IFERROR(__xludf.DUMMYFUNCTION("""COMPUTED_VALUE"""),0.0)</f>
        <v>0</v>
      </c>
    </row>
    <row r="68">
      <c r="A68" s="14" t="s">
        <v>588</v>
      </c>
      <c r="C68" s="5" t="str">
        <f>IFERROR(__xludf.DUMMYFUNCTION("SPLIT(A68, "","")"),"72.46.84.217")</f>
        <v>72.46.84.217</v>
      </c>
      <c r="D68" s="5">
        <f>IFERROR(__xludf.DUMMYFUNCTION("""COMPUTED_VALUE"""),30.315)</f>
        <v>30.315</v>
      </c>
      <c r="E68" s="5">
        <f>IFERROR(__xludf.DUMMYFUNCTION("""COMPUTED_VALUE"""),0.0)</f>
        <v>0</v>
      </c>
    </row>
    <row r="69">
      <c r="A69" s="14" t="s">
        <v>589</v>
      </c>
      <c r="C69" s="5" t="str">
        <f>IFERROR(__xludf.DUMMYFUNCTION("SPLIT(A69, "","")"),"72.46.85.217")</f>
        <v>72.46.85.217</v>
      </c>
      <c r="D69" s="5">
        <f>IFERROR(__xludf.DUMMYFUNCTION("""COMPUTED_VALUE"""),130.43)</f>
        <v>130.43</v>
      </c>
      <c r="E69" s="5">
        <f>IFERROR(__xludf.DUMMYFUNCTION("""COMPUTED_VALUE"""),10.0)</f>
        <v>10</v>
      </c>
    </row>
    <row r="70">
      <c r="A70" s="14" t="s">
        <v>590</v>
      </c>
      <c r="C70" s="5" t="str">
        <f>IFERROR(__xludf.DUMMYFUNCTION("SPLIT(A70, "","")"),"72.46.87.247")</f>
        <v>72.46.87.247</v>
      </c>
      <c r="D70" s="5">
        <f>IFERROR(__xludf.DUMMYFUNCTION("""COMPUTED_VALUE"""),270.367)</f>
        <v>270.367</v>
      </c>
      <c r="E70" s="5">
        <f>IFERROR(__xludf.DUMMYFUNCTION("""COMPUTED_VALUE"""),0.0)</f>
        <v>0</v>
      </c>
    </row>
    <row r="71">
      <c r="A71" s="14" t="s">
        <v>591</v>
      </c>
      <c r="C71" s="5" t="str">
        <f>IFERROR(__xludf.DUMMYFUNCTION("SPLIT(A71, "","")"),"77.81.119.154")</f>
        <v>77.81.119.154</v>
      </c>
      <c r="D71" s="5">
        <f>IFERROR(__xludf.DUMMYFUNCTION("""COMPUTED_VALUE"""),60.649)</f>
        <v>60.649</v>
      </c>
      <c r="E71" s="5">
        <f>IFERROR(__xludf.DUMMYFUNCTION("""COMPUTED_VALUE"""),0.0)</f>
        <v>0</v>
      </c>
    </row>
    <row r="72">
      <c r="A72" s="14" t="s">
        <v>592</v>
      </c>
      <c r="C72" s="5" t="str">
        <f>IFERROR(__xludf.DUMMYFUNCTION("SPLIT(A72, "","")"),"82.197.162.50")</f>
        <v>82.197.162.50</v>
      </c>
      <c r="D72" s="5">
        <f>IFERROR(__xludf.DUMMYFUNCTION("""COMPUTED_VALUE"""),19.908)</f>
        <v>19.908</v>
      </c>
      <c r="E72" s="5">
        <f>IFERROR(__xludf.DUMMYFUNCTION("""COMPUTED_VALUE"""),0.0)</f>
        <v>0</v>
      </c>
    </row>
    <row r="73">
      <c r="A73" s="14" t="s">
        <v>593</v>
      </c>
      <c r="C73" s="5" t="str">
        <f>IFERROR(__xludf.DUMMYFUNCTION("SPLIT(A73, "","")"),"83.143.84.202")</f>
        <v>83.143.84.202</v>
      </c>
      <c r="D73" s="5">
        <f>IFERROR(__xludf.DUMMYFUNCTION("""COMPUTED_VALUE"""),49.19)</f>
        <v>49.19</v>
      </c>
      <c r="E73" s="5">
        <f>IFERROR(__xludf.DUMMYFUNCTION("""COMPUTED_VALUE"""),0.0)</f>
        <v>0</v>
      </c>
    </row>
    <row r="74">
      <c r="A74" s="14" t="s">
        <v>594</v>
      </c>
      <c r="C74" s="5" t="str">
        <f>IFERROR(__xludf.DUMMYFUNCTION("SPLIT(A74, "","")"),"84.32.103.29")</f>
        <v>84.32.103.29</v>
      </c>
      <c r="D74" s="5">
        <f>IFERROR(__xludf.DUMMYFUNCTION("""COMPUTED_VALUE"""),21.493)</f>
        <v>21.493</v>
      </c>
      <c r="E74" s="5">
        <f>IFERROR(__xludf.DUMMYFUNCTION("""COMPUTED_VALUE"""),0.0)</f>
        <v>0</v>
      </c>
    </row>
    <row r="75">
      <c r="A75" s="14" t="s">
        <v>595</v>
      </c>
      <c r="C75" s="5" t="str">
        <f>IFERROR(__xludf.DUMMYFUNCTION("SPLIT(A75, "","")"),"84.32.186.110")</f>
        <v>84.32.186.110</v>
      </c>
      <c r="D75" s="5">
        <f>IFERROR(__xludf.DUMMYFUNCTION("""COMPUTED_VALUE"""),17.974)</f>
        <v>17.974</v>
      </c>
      <c r="E75" s="5">
        <f>IFERROR(__xludf.DUMMYFUNCTION("""COMPUTED_VALUE"""),0.0)</f>
        <v>0</v>
      </c>
    </row>
    <row r="76">
      <c r="A76" s="14" t="s">
        <v>596</v>
      </c>
      <c r="C76" s="5" t="str">
        <f>IFERROR(__xludf.DUMMYFUNCTION("SPLIT(A76, "","")"),"84.32.186.112")</f>
        <v>84.32.186.112</v>
      </c>
      <c r="D76" s="5">
        <f>IFERROR(__xludf.DUMMYFUNCTION("""COMPUTED_VALUE"""),21.946)</f>
        <v>21.946</v>
      </c>
      <c r="E76" s="5">
        <f>IFERROR(__xludf.DUMMYFUNCTION("""COMPUTED_VALUE"""),0.0)</f>
        <v>0</v>
      </c>
    </row>
    <row r="77">
      <c r="A77" s="14" t="s">
        <v>597</v>
      </c>
      <c r="C77" s="5" t="str">
        <f>IFERROR(__xludf.DUMMYFUNCTION("SPLIT(A77, "","")"),"84.32.186.144")</f>
        <v>84.32.186.144</v>
      </c>
      <c r="D77" s="5" t="str">
        <f>IFERROR(__xludf.DUMMYFUNCTION("""COMPUTED_VALUE"""),"N/A")</f>
        <v>N/A</v>
      </c>
      <c r="E77" s="5">
        <f>IFERROR(__xludf.DUMMYFUNCTION("""COMPUTED_VALUE"""),100.0)</f>
        <v>100</v>
      </c>
    </row>
    <row r="78">
      <c r="A78" s="14" t="s">
        <v>598</v>
      </c>
      <c r="C78" s="5" t="str">
        <f>IFERROR(__xludf.DUMMYFUNCTION("SPLIT(A78, "","")"),"85.195.104.157")</f>
        <v>85.195.104.157</v>
      </c>
      <c r="D78" s="5">
        <f>IFERROR(__xludf.DUMMYFUNCTION("""COMPUTED_VALUE"""),24.66)</f>
        <v>24.66</v>
      </c>
      <c r="E78" s="5">
        <f>IFERROR(__xludf.DUMMYFUNCTION("""COMPUTED_VALUE"""),0.0)</f>
        <v>0</v>
      </c>
    </row>
    <row r="79">
      <c r="A79" s="14" t="s">
        <v>599</v>
      </c>
      <c r="C79" s="5" t="str">
        <f>IFERROR(__xludf.DUMMYFUNCTION("SPLIT(A79, "","")"),"86.105.224.73")</f>
        <v>86.105.224.73</v>
      </c>
      <c r="D79" s="5">
        <f>IFERROR(__xludf.DUMMYFUNCTION("""COMPUTED_VALUE"""),28.335)</f>
        <v>28.335</v>
      </c>
      <c r="E79" s="5">
        <f>IFERROR(__xludf.DUMMYFUNCTION("""COMPUTED_VALUE"""),0.0)</f>
        <v>0</v>
      </c>
    </row>
    <row r="80">
      <c r="A80" s="14" t="s">
        <v>600</v>
      </c>
      <c r="C80" s="5" t="str">
        <f>IFERROR(__xludf.DUMMYFUNCTION("SPLIT(A80, "","")"),"88.216.197.11")</f>
        <v>88.216.197.11</v>
      </c>
      <c r="D80" s="5" t="str">
        <f>IFERROR(__xludf.DUMMYFUNCTION("""COMPUTED_VALUE"""),"N/A")</f>
        <v>N/A</v>
      </c>
      <c r="E80" s="5">
        <f>IFERROR(__xludf.DUMMYFUNCTION("""COMPUTED_VALUE"""),100.0)</f>
        <v>100</v>
      </c>
    </row>
    <row r="81">
      <c r="A81" s="14" t="s">
        <v>601</v>
      </c>
      <c r="C81" s="5" t="str">
        <f>IFERROR(__xludf.DUMMYFUNCTION("SPLIT(A81, "","")"),"88.216.197.27")</f>
        <v>88.216.197.27</v>
      </c>
      <c r="D81" s="5">
        <f>IFERROR(__xludf.DUMMYFUNCTION("""COMPUTED_VALUE"""),41.235)</f>
        <v>41.235</v>
      </c>
      <c r="E81" s="5">
        <f>IFERROR(__xludf.DUMMYFUNCTION("""COMPUTED_VALUE"""),0.0)</f>
        <v>0</v>
      </c>
    </row>
    <row r="82">
      <c r="A82" s="14" t="s">
        <v>602</v>
      </c>
      <c r="C82" s="5" t="str">
        <f>IFERROR(__xludf.DUMMYFUNCTION("SPLIT(A82, "","")"),"88.216.197.112")</f>
        <v>88.216.197.112</v>
      </c>
      <c r="D82" s="5">
        <f>IFERROR(__xludf.DUMMYFUNCTION("""COMPUTED_VALUE"""),37.842)</f>
        <v>37.842</v>
      </c>
      <c r="E82" s="5">
        <f>IFERROR(__xludf.DUMMYFUNCTION("""COMPUTED_VALUE"""),0.0)</f>
        <v>0</v>
      </c>
    </row>
    <row r="83">
      <c r="A83" s="14" t="s">
        <v>603</v>
      </c>
      <c r="C83" s="5" t="str">
        <f>IFERROR(__xludf.DUMMYFUNCTION("SPLIT(A83, "","")"),"89.42.231.135")</f>
        <v>89.42.231.135</v>
      </c>
      <c r="D83" s="5">
        <f>IFERROR(__xludf.DUMMYFUNCTION("""COMPUTED_VALUE"""),21.095)</f>
        <v>21.095</v>
      </c>
      <c r="E83" s="5">
        <f>IFERROR(__xludf.DUMMYFUNCTION("""COMPUTED_VALUE"""),0.0)</f>
        <v>0</v>
      </c>
    </row>
    <row r="84">
      <c r="A84" s="14" t="s">
        <v>604</v>
      </c>
      <c r="C84" s="5" t="str">
        <f>IFERROR(__xludf.DUMMYFUNCTION("SPLIT(A84, "","")"),"89.42.231.167")</f>
        <v>89.42.231.167</v>
      </c>
      <c r="D84" s="5">
        <f>IFERROR(__xludf.DUMMYFUNCTION("""COMPUTED_VALUE"""),23.373)</f>
        <v>23.373</v>
      </c>
      <c r="E84" s="5">
        <f>IFERROR(__xludf.DUMMYFUNCTION("""COMPUTED_VALUE"""),0.0)</f>
        <v>0</v>
      </c>
    </row>
    <row r="85">
      <c r="A85" s="14" t="s">
        <v>605</v>
      </c>
      <c r="C85" s="5" t="str">
        <f>IFERROR(__xludf.DUMMYFUNCTION("SPLIT(A85, "","")"),"91.189.180.214")</f>
        <v>91.189.180.214</v>
      </c>
      <c r="D85" s="5" t="str">
        <f>IFERROR(__xludf.DUMMYFUNCTION("""COMPUTED_VALUE"""),"N/A")</f>
        <v>N/A</v>
      </c>
      <c r="E85" s="5">
        <f>IFERROR(__xludf.DUMMYFUNCTION("""COMPUTED_VALUE"""),100.0)</f>
        <v>100</v>
      </c>
    </row>
    <row r="86">
      <c r="A86" s="14" t="s">
        <v>606</v>
      </c>
      <c r="C86" s="5" t="str">
        <f>IFERROR(__xludf.DUMMYFUNCTION("SPLIT(A86, "","")"),"91.209.71.13")</f>
        <v>91.209.71.13</v>
      </c>
      <c r="D86" s="5">
        <f>IFERROR(__xludf.DUMMYFUNCTION("""COMPUTED_VALUE"""),23.928)</f>
        <v>23.928</v>
      </c>
      <c r="E86" s="5">
        <f>IFERROR(__xludf.DUMMYFUNCTION("""COMPUTED_VALUE"""),0.0)</f>
        <v>0</v>
      </c>
    </row>
    <row r="87">
      <c r="A87" s="14" t="s">
        <v>607</v>
      </c>
      <c r="C87" s="5" t="str">
        <f>IFERROR(__xludf.DUMMYFUNCTION("SPLIT(A87, "","")"),"91.237.141.80")</f>
        <v>91.237.141.80</v>
      </c>
      <c r="D87" s="5">
        <f>IFERROR(__xludf.DUMMYFUNCTION("""COMPUTED_VALUE"""),30.811)</f>
        <v>30.811</v>
      </c>
      <c r="E87" s="5">
        <f>IFERROR(__xludf.DUMMYFUNCTION("""COMPUTED_VALUE"""),0.0)</f>
        <v>0</v>
      </c>
    </row>
    <row r="88">
      <c r="A88" s="14" t="s">
        <v>608</v>
      </c>
      <c r="C88" s="5" t="str">
        <f>IFERROR(__xludf.DUMMYFUNCTION("SPLIT(A88, "","")"),"93.191.10.71")</f>
        <v>93.191.10.71</v>
      </c>
      <c r="D88" s="5">
        <f>IFERROR(__xludf.DUMMYFUNCTION("""COMPUTED_VALUE"""),50.368)</f>
        <v>50.368</v>
      </c>
      <c r="E88" s="5">
        <f>IFERROR(__xludf.DUMMYFUNCTION("""COMPUTED_VALUE"""),0.0)</f>
        <v>0</v>
      </c>
    </row>
    <row r="89">
      <c r="A89" s="14" t="s">
        <v>609</v>
      </c>
      <c r="C89" s="5" t="str">
        <f>IFERROR(__xludf.DUMMYFUNCTION("SPLIT(A89, "","")"),"95.67.53.214")</f>
        <v>95.67.53.214</v>
      </c>
      <c r="D89" s="5">
        <f>IFERROR(__xludf.DUMMYFUNCTION("""COMPUTED_VALUE"""),25.09)</f>
        <v>25.09</v>
      </c>
      <c r="E89" s="5">
        <f>IFERROR(__xludf.DUMMYFUNCTION("""COMPUTED_VALUE"""),10.0)</f>
        <v>10</v>
      </c>
    </row>
    <row r="90">
      <c r="A90" s="14" t="s">
        <v>610</v>
      </c>
      <c r="C90" s="5" t="str">
        <f>IFERROR(__xludf.DUMMYFUNCTION("SPLIT(A90, "","")"),"95.179.209.177")</f>
        <v>95.179.209.177</v>
      </c>
      <c r="D90" s="5">
        <f>IFERROR(__xludf.DUMMYFUNCTION("""COMPUTED_VALUE"""),22.945)</f>
        <v>22.945</v>
      </c>
      <c r="E90" s="5">
        <f>IFERROR(__xludf.DUMMYFUNCTION("""COMPUTED_VALUE"""),0.0)</f>
        <v>0</v>
      </c>
    </row>
    <row r="91">
      <c r="A91" s="14" t="s">
        <v>611</v>
      </c>
      <c r="C91" s="5" t="str">
        <f>IFERROR(__xludf.DUMMYFUNCTION("SPLIT(A91, "","")"),"102.211.135.167")</f>
        <v>102.211.135.167</v>
      </c>
      <c r="D91" s="5">
        <f>IFERROR(__xludf.DUMMYFUNCTION("""COMPUTED_VALUE"""),183.536)</f>
        <v>183.536</v>
      </c>
      <c r="E91" s="5">
        <f>IFERROR(__xludf.DUMMYFUNCTION("""COMPUTED_VALUE"""),0.0)</f>
        <v>0</v>
      </c>
    </row>
    <row r="92">
      <c r="A92" s="14" t="s">
        <v>612</v>
      </c>
      <c r="C92" s="5" t="str">
        <f>IFERROR(__xludf.DUMMYFUNCTION("SPLIT(A92, "","")"),"103.28.89.181")</f>
        <v>103.28.89.181</v>
      </c>
      <c r="D92" s="5">
        <f>IFERROR(__xludf.DUMMYFUNCTION("""COMPUTED_VALUE"""),262.331)</f>
        <v>262.331</v>
      </c>
      <c r="E92" s="5">
        <f>IFERROR(__xludf.DUMMYFUNCTION("""COMPUTED_VALUE"""),0.0)</f>
        <v>0</v>
      </c>
    </row>
    <row r="93">
      <c r="A93" s="14" t="s">
        <v>613</v>
      </c>
      <c r="C93" s="5" t="str">
        <f>IFERROR(__xludf.DUMMYFUNCTION("SPLIT(A93, "","")"),"103.50.32.193")</f>
        <v>103.50.32.193</v>
      </c>
      <c r="D93" s="5">
        <f>IFERROR(__xludf.DUMMYFUNCTION("""COMPUTED_VALUE"""),34.208)</f>
        <v>34.208</v>
      </c>
      <c r="E93" s="5">
        <f>IFERROR(__xludf.DUMMYFUNCTION("""COMPUTED_VALUE"""),0.0)</f>
        <v>0</v>
      </c>
    </row>
    <row r="94">
      <c r="A94" s="14" t="s">
        <v>614</v>
      </c>
      <c r="C94" s="5" t="str">
        <f>IFERROR(__xludf.DUMMYFUNCTION("SPLIT(A94, "","")"),"103.88.234.123")</f>
        <v>103.88.234.123</v>
      </c>
      <c r="D94" s="5">
        <f>IFERROR(__xludf.DUMMYFUNCTION("""COMPUTED_VALUE"""),185.749)</f>
        <v>185.749</v>
      </c>
      <c r="E94" s="5">
        <f>IFERROR(__xludf.DUMMYFUNCTION("""COMPUTED_VALUE"""),0.0)</f>
        <v>0</v>
      </c>
    </row>
    <row r="95">
      <c r="A95" s="14" t="s">
        <v>615</v>
      </c>
      <c r="C95" s="5" t="str">
        <f>IFERROR(__xludf.DUMMYFUNCTION("SPLIT(A95, "","")"),"103.88.234.127")</f>
        <v>103.88.234.127</v>
      </c>
      <c r="D95" s="5">
        <f>IFERROR(__xludf.DUMMYFUNCTION("""COMPUTED_VALUE"""),184.488)</f>
        <v>184.488</v>
      </c>
      <c r="E95" s="5">
        <f>IFERROR(__xludf.DUMMYFUNCTION("""COMPUTED_VALUE"""),0.0)</f>
        <v>0</v>
      </c>
    </row>
    <row r="96">
      <c r="A96" s="14" t="s">
        <v>616</v>
      </c>
      <c r="C96" s="5" t="str">
        <f>IFERROR(__xludf.DUMMYFUNCTION("SPLIT(A96, "","")"),"103.88.234.129")</f>
        <v>103.88.234.129</v>
      </c>
      <c r="D96" s="5">
        <f>IFERROR(__xludf.DUMMYFUNCTION("""COMPUTED_VALUE"""),184.611)</f>
        <v>184.611</v>
      </c>
      <c r="E96" s="5">
        <f>IFERROR(__xludf.DUMMYFUNCTION("""COMPUTED_VALUE"""),0.0)</f>
        <v>0</v>
      </c>
    </row>
    <row r="97">
      <c r="A97" s="14" t="s">
        <v>617</v>
      </c>
      <c r="C97" s="5" t="str">
        <f>IFERROR(__xludf.DUMMYFUNCTION("SPLIT(A97, "","")"),"103.167.235.224")</f>
        <v>103.167.235.224</v>
      </c>
      <c r="D97" s="5">
        <f>IFERROR(__xludf.DUMMYFUNCTION("""COMPUTED_VALUE"""),38.444)</f>
        <v>38.444</v>
      </c>
      <c r="E97" s="5">
        <f>IFERROR(__xludf.DUMMYFUNCTION("""COMPUTED_VALUE"""),0.0)</f>
        <v>0</v>
      </c>
    </row>
    <row r="98">
      <c r="A98" s="14" t="s">
        <v>618</v>
      </c>
      <c r="C98" s="5" t="str">
        <f>IFERROR(__xludf.DUMMYFUNCTION("SPLIT(A98, "","")"),"103.219.171.217")</f>
        <v>103.219.171.217</v>
      </c>
      <c r="D98" s="5">
        <f>IFERROR(__xludf.DUMMYFUNCTION("""COMPUTED_VALUE"""),20.414)</f>
        <v>20.414</v>
      </c>
      <c r="E98" s="5">
        <f>IFERROR(__xludf.DUMMYFUNCTION("""COMPUTED_VALUE"""),0.0)</f>
        <v>0</v>
      </c>
    </row>
    <row r="99">
      <c r="A99" s="14" t="s">
        <v>619</v>
      </c>
      <c r="C99" s="5" t="str">
        <f>IFERROR(__xludf.DUMMYFUNCTION("SPLIT(A99, "","")"),"104.243.33.35")</f>
        <v>104.243.33.35</v>
      </c>
      <c r="D99" s="5">
        <f>IFERROR(__xludf.DUMMYFUNCTION("""COMPUTED_VALUE"""),99.117)</f>
        <v>99.117</v>
      </c>
      <c r="E99" s="5">
        <f>IFERROR(__xludf.DUMMYFUNCTION("""COMPUTED_VALUE"""),0.0)</f>
        <v>0</v>
      </c>
    </row>
    <row r="100">
      <c r="A100" s="14" t="s">
        <v>620</v>
      </c>
      <c r="C100" s="5" t="str">
        <f>IFERROR(__xludf.DUMMYFUNCTION("SPLIT(A100, "","")"),"109.94.96.59")</f>
        <v>109.94.96.59</v>
      </c>
      <c r="D100" s="5">
        <f>IFERROR(__xludf.DUMMYFUNCTION("""COMPUTED_VALUE"""),13.46)</f>
        <v>13.46</v>
      </c>
      <c r="E100" s="5">
        <f>IFERROR(__xludf.DUMMYFUNCTION("""COMPUTED_VALUE"""),0.0)</f>
        <v>0</v>
      </c>
    </row>
    <row r="101">
      <c r="A101" s="14" t="s">
        <v>621</v>
      </c>
      <c r="C101" s="5" t="str">
        <f>IFERROR(__xludf.DUMMYFUNCTION("SPLIT(A101, "","")"),"109.94.97.181")</f>
        <v>109.94.97.181</v>
      </c>
      <c r="D101" s="5">
        <f>IFERROR(__xludf.DUMMYFUNCTION("""COMPUTED_VALUE"""),29.081)</f>
        <v>29.081</v>
      </c>
      <c r="E101" s="5">
        <f>IFERROR(__xludf.DUMMYFUNCTION("""COMPUTED_VALUE"""),0.0)</f>
        <v>0</v>
      </c>
    </row>
    <row r="102">
      <c r="A102" s="14" t="s">
        <v>622</v>
      </c>
      <c r="C102" s="5" t="str">
        <f>IFERROR(__xludf.DUMMYFUNCTION("SPLIT(A102, "","")"),"109.94.97.183")</f>
        <v>109.94.97.183</v>
      </c>
      <c r="D102" s="5">
        <f>IFERROR(__xludf.DUMMYFUNCTION("""COMPUTED_VALUE"""),28.155)</f>
        <v>28.155</v>
      </c>
      <c r="E102" s="5">
        <f>IFERROR(__xludf.DUMMYFUNCTION("""COMPUTED_VALUE"""),0.0)</f>
        <v>0</v>
      </c>
    </row>
    <row r="103">
      <c r="A103" s="14" t="s">
        <v>623</v>
      </c>
      <c r="C103" s="5" t="str">
        <f>IFERROR(__xludf.DUMMYFUNCTION("SPLIT(A103, "","")"),"109.94.99.211")</f>
        <v>109.94.99.211</v>
      </c>
      <c r="D103" s="5">
        <f>IFERROR(__xludf.DUMMYFUNCTION("""COMPUTED_VALUE"""),271.071)</f>
        <v>271.071</v>
      </c>
      <c r="E103" s="5">
        <f>IFERROR(__xludf.DUMMYFUNCTION("""COMPUTED_VALUE"""),0.0)</f>
        <v>0</v>
      </c>
    </row>
    <row r="104">
      <c r="A104" s="14" t="s">
        <v>624</v>
      </c>
      <c r="C104" s="5" t="str">
        <f>IFERROR(__xludf.DUMMYFUNCTION("SPLIT(A104, "","")"),"136.244.86.123")</f>
        <v>136.244.86.123</v>
      </c>
      <c r="D104" s="5">
        <f>IFERROR(__xludf.DUMMYFUNCTION("""COMPUTED_VALUE"""),13.845)</f>
        <v>13.845</v>
      </c>
      <c r="E104" s="5">
        <f>IFERROR(__xludf.DUMMYFUNCTION("""COMPUTED_VALUE"""),0.0)</f>
        <v>0</v>
      </c>
    </row>
    <row r="105">
      <c r="A105" s="14" t="s">
        <v>625</v>
      </c>
      <c r="C105" s="5" t="str">
        <f>IFERROR(__xludf.DUMMYFUNCTION("SPLIT(A105, "","")"),"136.244.108.105")</f>
        <v>136.244.108.105</v>
      </c>
      <c r="D105" s="5">
        <f>IFERROR(__xludf.DUMMYFUNCTION("""COMPUTED_VALUE"""),20.559)</f>
        <v>20.559</v>
      </c>
      <c r="E105" s="5">
        <f>IFERROR(__xludf.DUMMYFUNCTION("""COMPUTED_VALUE"""),0.0)</f>
        <v>0</v>
      </c>
    </row>
    <row r="106">
      <c r="A106" s="14" t="s">
        <v>626</v>
      </c>
      <c r="C106" s="5" t="str">
        <f>IFERROR(__xludf.DUMMYFUNCTION("SPLIT(A106, "","")"),"139.84.228.251")</f>
        <v>139.84.228.251</v>
      </c>
      <c r="D106" s="5">
        <f>IFERROR(__xludf.DUMMYFUNCTION("""COMPUTED_VALUE"""),186.954)</f>
        <v>186.954</v>
      </c>
      <c r="E106" s="5">
        <f>IFERROR(__xludf.DUMMYFUNCTION("""COMPUTED_VALUE"""),0.0)</f>
        <v>0</v>
      </c>
    </row>
    <row r="107">
      <c r="A107" s="14" t="s">
        <v>627</v>
      </c>
      <c r="C107" s="5" t="str">
        <f>IFERROR(__xludf.DUMMYFUNCTION("SPLIT(A107, "","")"),"139.84.238.57")</f>
        <v>139.84.238.57</v>
      </c>
      <c r="D107" s="5">
        <f>IFERROR(__xludf.DUMMYFUNCTION("""COMPUTED_VALUE"""),185.453)</f>
        <v>185.453</v>
      </c>
      <c r="E107" s="5">
        <f>IFERROR(__xludf.DUMMYFUNCTION("""COMPUTED_VALUE"""),0.0)</f>
        <v>0</v>
      </c>
    </row>
    <row r="108">
      <c r="A108" s="14" t="s">
        <v>628</v>
      </c>
      <c r="C108" s="5" t="str">
        <f>IFERROR(__xludf.DUMMYFUNCTION("SPLIT(A108, "","")"),"142.91.158.164")</f>
        <v>142.91.158.164</v>
      </c>
      <c r="D108" s="5">
        <f>IFERROR(__xludf.DUMMYFUNCTION("""COMPUTED_VALUE"""),22.877)</f>
        <v>22.877</v>
      </c>
      <c r="E108" s="5">
        <f>IFERROR(__xludf.DUMMYFUNCTION("""COMPUTED_VALUE"""),0.0)</f>
        <v>0</v>
      </c>
    </row>
    <row r="109">
      <c r="A109" s="14" t="s">
        <v>629</v>
      </c>
      <c r="C109" s="5" t="str">
        <f>IFERROR(__xludf.DUMMYFUNCTION("SPLIT(A109, "","")"),"147.28.171.13")</f>
        <v>147.28.171.13</v>
      </c>
      <c r="D109" s="5">
        <f>IFERROR(__xludf.DUMMYFUNCTION("""COMPUTED_VALUE"""),39.832)</f>
        <v>39.832</v>
      </c>
      <c r="E109" s="5">
        <f>IFERROR(__xludf.DUMMYFUNCTION("""COMPUTED_VALUE"""),0.0)</f>
        <v>0</v>
      </c>
    </row>
    <row r="110">
      <c r="A110" s="14" t="s">
        <v>630</v>
      </c>
      <c r="C110" s="5" t="str">
        <f>IFERROR(__xludf.DUMMYFUNCTION("SPLIT(A110, "","")"),"147.28.171.51")</f>
        <v>147.28.171.51</v>
      </c>
      <c r="D110" s="5">
        <f>IFERROR(__xludf.DUMMYFUNCTION("""COMPUTED_VALUE"""),43.284)</f>
        <v>43.284</v>
      </c>
      <c r="E110" s="5">
        <f>IFERROR(__xludf.DUMMYFUNCTION("""COMPUTED_VALUE"""),0.0)</f>
        <v>0</v>
      </c>
    </row>
    <row r="111">
      <c r="A111" s="14" t="s">
        <v>631</v>
      </c>
      <c r="C111" s="5" t="str">
        <f>IFERROR(__xludf.DUMMYFUNCTION("SPLIT(A111, "","")"),"149.248.51.171")</f>
        <v>149.248.51.171</v>
      </c>
      <c r="D111" s="5">
        <f>IFERROR(__xludf.DUMMYFUNCTION("""COMPUTED_VALUE"""),111.805)</f>
        <v>111.805</v>
      </c>
      <c r="E111" s="5">
        <f>IFERROR(__xludf.DUMMYFUNCTION("""COMPUTED_VALUE"""),0.0)</f>
        <v>0</v>
      </c>
    </row>
    <row r="112">
      <c r="A112" s="14" t="s">
        <v>632</v>
      </c>
      <c r="C112" s="5" t="str">
        <f>IFERROR(__xludf.DUMMYFUNCTION("SPLIT(A112, "","")"),"149.255.37.170")</f>
        <v>149.255.37.170</v>
      </c>
      <c r="D112" s="5">
        <f>IFERROR(__xludf.DUMMYFUNCTION("""COMPUTED_VALUE"""),21.334)</f>
        <v>21.334</v>
      </c>
      <c r="E112" s="5">
        <f>IFERROR(__xludf.DUMMYFUNCTION("""COMPUTED_VALUE"""),0.0)</f>
        <v>0</v>
      </c>
    </row>
    <row r="113">
      <c r="A113" s="14" t="s">
        <v>633</v>
      </c>
      <c r="C113" s="5" t="str">
        <f>IFERROR(__xludf.DUMMYFUNCTION("SPLIT(A113, "","")"),"154.16.171.107")</f>
        <v>154.16.171.107</v>
      </c>
      <c r="D113" s="5">
        <f>IFERROR(__xludf.DUMMYFUNCTION("""COMPUTED_VALUE"""),118.133)</f>
        <v>118.133</v>
      </c>
      <c r="E113" s="5">
        <f>IFERROR(__xludf.DUMMYFUNCTION("""COMPUTED_VALUE"""),10.0)</f>
        <v>10</v>
      </c>
    </row>
    <row r="114">
      <c r="A114" s="14" t="s">
        <v>634</v>
      </c>
      <c r="C114" s="5" t="str">
        <f>IFERROR(__xludf.DUMMYFUNCTION("SPLIT(A114, "","")"),"159.148.20.198")</f>
        <v>159.148.20.198</v>
      </c>
      <c r="D114" s="5" t="str">
        <f>IFERROR(__xludf.DUMMYFUNCTION("""COMPUTED_VALUE"""),"N/A")</f>
        <v>N/A</v>
      </c>
      <c r="E114" s="5">
        <f>IFERROR(__xludf.DUMMYFUNCTION("""COMPUTED_VALUE"""),100.0)</f>
        <v>100</v>
      </c>
    </row>
    <row r="115">
      <c r="A115" s="14" t="s">
        <v>635</v>
      </c>
      <c r="C115" s="5" t="str">
        <f>IFERROR(__xludf.DUMMYFUNCTION("SPLIT(A115, "","")"),"160.202.131.189")</f>
        <v>160.202.131.189</v>
      </c>
      <c r="D115" s="5">
        <f>IFERROR(__xludf.DUMMYFUNCTION("""COMPUTED_VALUE"""),18.754)</f>
        <v>18.754</v>
      </c>
      <c r="E115" s="5">
        <f>IFERROR(__xludf.DUMMYFUNCTION("""COMPUTED_VALUE"""),0.0)</f>
        <v>0</v>
      </c>
    </row>
    <row r="116">
      <c r="A116" s="14" t="s">
        <v>636</v>
      </c>
      <c r="C116" s="5" t="str">
        <f>IFERROR(__xludf.DUMMYFUNCTION("SPLIT(A116, "","")"),"177.54.154.235")</f>
        <v>177.54.154.235</v>
      </c>
      <c r="D116" s="5">
        <f>IFERROR(__xludf.DUMMYFUNCTION("""COMPUTED_VALUE"""),272.43)</f>
        <v>272.43</v>
      </c>
      <c r="E116" s="5">
        <f>IFERROR(__xludf.DUMMYFUNCTION("""COMPUTED_VALUE"""),0.0)</f>
        <v>0</v>
      </c>
    </row>
    <row r="117">
      <c r="A117" s="14" t="s">
        <v>637</v>
      </c>
      <c r="C117" s="5" t="str">
        <f>IFERROR(__xludf.DUMMYFUNCTION("SPLIT(A117, "","")"),"177.54.154.239")</f>
        <v>177.54.154.239</v>
      </c>
      <c r="D117" s="5">
        <f>IFERROR(__xludf.DUMMYFUNCTION("""COMPUTED_VALUE"""),280.064)</f>
        <v>280.064</v>
      </c>
      <c r="E117" s="5">
        <f>IFERROR(__xludf.DUMMYFUNCTION("""COMPUTED_VALUE"""),10.0)</f>
        <v>10</v>
      </c>
    </row>
    <row r="118">
      <c r="A118" s="14" t="s">
        <v>638</v>
      </c>
      <c r="C118" s="5" t="str">
        <f>IFERROR(__xludf.DUMMYFUNCTION("SPLIT(A118, "","")"),"177.54.159.47")</f>
        <v>177.54.159.47</v>
      </c>
      <c r="D118" s="5">
        <f>IFERROR(__xludf.DUMMYFUNCTION("""COMPUTED_VALUE"""),109.13)</f>
        <v>109.13</v>
      </c>
      <c r="E118" s="5">
        <f>IFERROR(__xludf.DUMMYFUNCTION("""COMPUTED_VALUE"""),0.0)</f>
        <v>0</v>
      </c>
    </row>
    <row r="119">
      <c r="A119" s="14" t="s">
        <v>639</v>
      </c>
      <c r="C119" s="5" t="str">
        <f>IFERROR(__xludf.DUMMYFUNCTION("SPLIT(A119, "","")"),"185.26.8.37")</f>
        <v>185.26.8.37</v>
      </c>
      <c r="D119" s="5">
        <f>IFERROR(__xludf.DUMMYFUNCTION("""COMPUTED_VALUE"""),127.925)</f>
        <v>127.925</v>
      </c>
      <c r="E119" s="5">
        <f>IFERROR(__xludf.DUMMYFUNCTION("""COMPUTED_VALUE"""),0.0)</f>
        <v>0</v>
      </c>
    </row>
    <row r="120">
      <c r="A120" s="14" t="s">
        <v>640</v>
      </c>
      <c r="C120" s="5" t="str">
        <f>IFERROR(__xludf.DUMMYFUNCTION("SPLIT(A120, "","")"),"185.26.10.211")</f>
        <v>185.26.10.211</v>
      </c>
      <c r="D120" s="5">
        <f>IFERROR(__xludf.DUMMYFUNCTION("""COMPUTED_VALUE"""),19.33)</f>
        <v>19.33</v>
      </c>
      <c r="E120" s="5">
        <f>IFERROR(__xludf.DUMMYFUNCTION("""COMPUTED_VALUE"""),0.0)</f>
        <v>0</v>
      </c>
    </row>
    <row r="121">
      <c r="A121" s="14" t="s">
        <v>641</v>
      </c>
      <c r="C121" s="5" t="str">
        <f>IFERROR(__xludf.DUMMYFUNCTION("SPLIT(A121, "","")"),"185.26.10.229")</f>
        <v>185.26.10.229</v>
      </c>
      <c r="D121" s="5">
        <f>IFERROR(__xludf.DUMMYFUNCTION("""COMPUTED_VALUE"""),13.497)</f>
        <v>13.497</v>
      </c>
      <c r="E121" s="5">
        <f>IFERROR(__xludf.DUMMYFUNCTION("""COMPUTED_VALUE"""),0.0)</f>
        <v>0</v>
      </c>
    </row>
    <row r="122">
      <c r="A122" s="14" t="s">
        <v>642</v>
      </c>
      <c r="C122" s="5" t="str">
        <f>IFERROR(__xludf.DUMMYFUNCTION("SPLIT(A122, "","")"),"185.26.10.233")</f>
        <v>185.26.10.233</v>
      </c>
      <c r="D122" s="5">
        <f>IFERROR(__xludf.DUMMYFUNCTION("""COMPUTED_VALUE"""),13.258)</f>
        <v>13.258</v>
      </c>
      <c r="E122" s="5">
        <f>IFERROR(__xludf.DUMMYFUNCTION("""COMPUTED_VALUE"""),0.0)</f>
        <v>0</v>
      </c>
    </row>
    <row r="123">
      <c r="A123" s="14" t="s">
        <v>643</v>
      </c>
      <c r="C123" s="5" t="str">
        <f>IFERROR(__xludf.DUMMYFUNCTION("SPLIT(A123, "","")"),"185.26.10.239")</f>
        <v>185.26.10.239</v>
      </c>
      <c r="D123" s="5">
        <f>IFERROR(__xludf.DUMMYFUNCTION("""COMPUTED_VALUE"""),14.049)</f>
        <v>14.049</v>
      </c>
      <c r="E123" s="5">
        <f>IFERROR(__xludf.DUMMYFUNCTION("""COMPUTED_VALUE"""),0.0)</f>
        <v>0</v>
      </c>
    </row>
    <row r="124">
      <c r="A124" s="14" t="s">
        <v>644</v>
      </c>
      <c r="C124" s="5" t="str">
        <f>IFERROR(__xludf.DUMMYFUNCTION("SPLIT(A124, "","")"),"185.26.11.139")</f>
        <v>185.26.11.139</v>
      </c>
      <c r="D124" s="5">
        <f>IFERROR(__xludf.DUMMYFUNCTION("""COMPUTED_VALUE"""),28.309)</f>
        <v>28.309</v>
      </c>
      <c r="E124" s="5">
        <f>IFERROR(__xludf.DUMMYFUNCTION("""COMPUTED_VALUE"""),0.0)</f>
        <v>0</v>
      </c>
    </row>
    <row r="125">
      <c r="A125" s="14" t="s">
        <v>645</v>
      </c>
      <c r="C125" s="5" t="str">
        <f>IFERROR(__xludf.DUMMYFUNCTION("SPLIT(A125, "","")"),"185.26.11.167")</f>
        <v>185.26.11.167</v>
      </c>
      <c r="D125" s="5">
        <f>IFERROR(__xludf.DUMMYFUNCTION("""COMPUTED_VALUE"""),29.34)</f>
        <v>29.34</v>
      </c>
      <c r="E125" s="5">
        <f>IFERROR(__xludf.DUMMYFUNCTION("""COMPUTED_VALUE"""),0.0)</f>
        <v>0</v>
      </c>
    </row>
    <row r="126">
      <c r="A126" s="14" t="s">
        <v>646</v>
      </c>
      <c r="C126" s="5" t="str">
        <f>IFERROR(__xludf.DUMMYFUNCTION("SPLIT(A126, "","")"),"185.26.11.195")</f>
        <v>185.26.11.195</v>
      </c>
      <c r="D126" s="5">
        <f>IFERROR(__xludf.DUMMYFUNCTION("""COMPUTED_VALUE"""),28.634)</f>
        <v>28.634</v>
      </c>
      <c r="E126" s="5">
        <f>IFERROR(__xludf.DUMMYFUNCTION("""COMPUTED_VALUE"""),0.0)</f>
        <v>0</v>
      </c>
    </row>
    <row r="127">
      <c r="A127" s="14" t="s">
        <v>647</v>
      </c>
      <c r="C127" s="5" t="str">
        <f>IFERROR(__xludf.DUMMYFUNCTION("SPLIT(A127, "","")"),"185.32.162.192")</f>
        <v>185.32.162.192</v>
      </c>
      <c r="D127" s="5">
        <f>IFERROR(__xludf.DUMMYFUNCTION("""COMPUTED_VALUE"""),1.65)</f>
        <v>1.65</v>
      </c>
      <c r="E127" s="5">
        <f>IFERROR(__xludf.DUMMYFUNCTION("""COMPUTED_VALUE"""),0.0)</f>
        <v>0</v>
      </c>
    </row>
    <row r="128">
      <c r="A128" s="14" t="s">
        <v>648</v>
      </c>
      <c r="C128" s="5" t="str">
        <f>IFERROR(__xludf.DUMMYFUNCTION("SPLIT(A128, "","")"),"185.52.237.102")</f>
        <v>185.52.237.102</v>
      </c>
      <c r="D128" s="5">
        <f>IFERROR(__xludf.DUMMYFUNCTION("""COMPUTED_VALUE"""),23.854)</f>
        <v>23.854</v>
      </c>
      <c r="E128" s="5">
        <f>IFERROR(__xludf.DUMMYFUNCTION("""COMPUTED_VALUE"""),0.0)</f>
        <v>0</v>
      </c>
    </row>
    <row r="129">
      <c r="A129" s="14" t="s">
        <v>649</v>
      </c>
      <c r="C129" s="5" t="str">
        <f>IFERROR(__xludf.DUMMYFUNCTION("SPLIT(A129, "","")"),"185.92.120.151")</f>
        <v>185.92.120.151</v>
      </c>
      <c r="D129" s="5">
        <f>IFERROR(__xludf.DUMMYFUNCTION("""COMPUTED_VALUE"""),25.625)</f>
        <v>25.625</v>
      </c>
      <c r="E129" s="5">
        <f>IFERROR(__xludf.DUMMYFUNCTION("""COMPUTED_VALUE"""),0.0)</f>
        <v>0</v>
      </c>
    </row>
    <row r="130">
      <c r="A130" s="14" t="s">
        <v>650</v>
      </c>
      <c r="C130" s="5" t="str">
        <f>IFERROR(__xludf.DUMMYFUNCTION("SPLIT(A130, "","")"),"185.167.205.3")</f>
        <v>185.167.205.3</v>
      </c>
      <c r="D130" s="5">
        <f>IFERROR(__xludf.DUMMYFUNCTION("""COMPUTED_VALUE"""),31.542)</f>
        <v>31.542</v>
      </c>
      <c r="E130" s="5">
        <f>IFERROR(__xludf.DUMMYFUNCTION("""COMPUTED_VALUE"""),0.0)</f>
        <v>0</v>
      </c>
    </row>
    <row r="131">
      <c r="A131" s="14" t="s">
        <v>651</v>
      </c>
      <c r="C131" s="5" t="str">
        <f>IFERROR(__xludf.DUMMYFUNCTION("SPLIT(A131, "","")"),"185.171.202.78")</f>
        <v>185.171.202.78</v>
      </c>
      <c r="D131" s="5">
        <f>IFERROR(__xludf.DUMMYFUNCTION("""COMPUTED_VALUE"""),26.727)</f>
        <v>26.727</v>
      </c>
      <c r="E131" s="5">
        <f>IFERROR(__xludf.DUMMYFUNCTION("""COMPUTED_VALUE"""),0.0)</f>
        <v>0</v>
      </c>
    </row>
    <row r="132">
      <c r="A132" s="14" t="s">
        <v>652</v>
      </c>
      <c r="C132" s="5" t="str">
        <f>IFERROR(__xludf.DUMMYFUNCTION("SPLIT(A132, "","")"),"185.209.178.161")</f>
        <v>185.209.178.161</v>
      </c>
      <c r="D132" s="5">
        <f>IFERROR(__xludf.DUMMYFUNCTION("""COMPUTED_VALUE"""),106.203)</f>
        <v>106.203</v>
      </c>
      <c r="E132" s="5">
        <f>IFERROR(__xludf.DUMMYFUNCTION("""COMPUTED_VALUE"""),0.0)</f>
        <v>0</v>
      </c>
    </row>
    <row r="133">
      <c r="A133" s="14" t="s">
        <v>653</v>
      </c>
      <c r="C133" s="5" t="str">
        <f>IFERROR(__xludf.DUMMYFUNCTION("SPLIT(A133, "","")"),"189.1.171.173")</f>
        <v>189.1.171.173</v>
      </c>
      <c r="D133" s="5">
        <f>IFERROR(__xludf.DUMMYFUNCTION("""COMPUTED_VALUE"""),14.562)</f>
        <v>14.562</v>
      </c>
      <c r="E133" s="5">
        <f>IFERROR(__xludf.DUMMYFUNCTION("""COMPUTED_VALUE"""),0.0)</f>
        <v>0</v>
      </c>
    </row>
    <row r="134">
      <c r="A134" s="14" t="s">
        <v>654</v>
      </c>
      <c r="C134" s="5" t="str">
        <f>IFERROR(__xludf.DUMMYFUNCTION("SPLIT(A134, "","")"),"189.1.171.177")</f>
        <v>189.1.171.177</v>
      </c>
      <c r="D134" s="5">
        <f>IFERROR(__xludf.DUMMYFUNCTION("""COMPUTED_VALUE"""),22.003)</f>
        <v>22.003</v>
      </c>
      <c r="E134" s="5">
        <f>IFERROR(__xludf.DUMMYFUNCTION("""COMPUTED_VALUE"""),0.0)</f>
        <v>0</v>
      </c>
    </row>
    <row r="135">
      <c r="A135" s="14" t="s">
        <v>655</v>
      </c>
      <c r="C135" s="5" t="str">
        <f>IFERROR(__xludf.DUMMYFUNCTION("SPLIT(A135, "","")"),"192.69.194.82")</f>
        <v>192.69.194.82</v>
      </c>
      <c r="D135" s="5">
        <f>IFERROR(__xludf.DUMMYFUNCTION("""COMPUTED_VALUE"""),127.721)</f>
        <v>127.721</v>
      </c>
      <c r="E135" s="5">
        <f>IFERROR(__xludf.DUMMYFUNCTION("""COMPUTED_VALUE"""),0.0)</f>
        <v>0</v>
      </c>
    </row>
    <row r="136">
      <c r="A136" s="14" t="s">
        <v>656</v>
      </c>
      <c r="C136" s="5" t="str">
        <f>IFERROR(__xludf.DUMMYFUNCTION("SPLIT(A136, "","")"),"195.231.30.71")</f>
        <v>195.231.30.71</v>
      </c>
      <c r="D136" s="5">
        <f>IFERROR(__xludf.DUMMYFUNCTION("""COMPUTED_VALUE"""),26.137)</f>
        <v>26.137</v>
      </c>
      <c r="E136" s="5">
        <f>IFERROR(__xludf.DUMMYFUNCTION("""COMPUTED_VALUE"""),0.0)</f>
        <v>0</v>
      </c>
    </row>
    <row r="137">
      <c r="A137" s="14" t="s">
        <v>657</v>
      </c>
      <c r="C137" s="5" t="str">
        <f>IFERROR(__xludf.DUMMYFUNCTION("SPLIT(A137, "","")"),"202.8.8.21")</f>
        <v>202.8.8.21</v>
      </c>
      <c r="D137" s="5">
        <f>IFERROR(__xludf.DUMMYFUNCTION("""COMPUTED_VALUE"""),22.462)</f>
        <v>22.462</v>
      </c>
      <c r="E137" s="5">
        <f>IFERROR(__xludf.DUMMYFUNCTION("""COMPUTED_VALUE"""),0.0)</f>
        <v>0</v>
      </c>
    </row>
    <row r="138">
      <c r="A138" s="14" t="s">
        <v>658</v>
      </c>
      <c r="C138" s="5" t="str">
        <f>IFERROR(__xludf.DUMMYFUNCTION("SPLIT(A138, "","")"),"202.8.11.195")</f>
        <v>202.8.11.195</v>
      </c>
      <c r="D138" s="5" t="str">
        <f>IFERROR(__xludf.DUMMYFUNCTION("""COMPUTED_VALUE"""),"N/A")</f>
        <v>N/A</v>
      </c>
      <c r="E138" s="5">
        <f>IFERROR(__xludf.DUMMYFUNCTION("""COMPUTED_VALUE"""),100.0)</f>
        <v>100</v>
      </c>
    </row>
    <row r="139">
      <c r="A139" s="14" t="s">
        <v>659</v>
      </c>
      <c r="C139" s="5" t="str">
        <f>IFERROR(__xludf.DUMMYFUNCTION("SPLIT(A139, "","")"),"207.246.84.247")</f>
        <v>207.246.84.247</v>
      </c>
      <c r="D139" s="5">
        <f>IFERROR(__xludf.DUMMYFUNCTION("""COMPUTED_VALUE"""),106.117)</f>
        <v>106.117</v>
      </c>
      <c r="E139" s="5">
        <f>IFERROR(__xludf.DUMMYFUNCTION("""COMPUTED_VALUE"""),0.0)</f>
        <v>0</v>
      </c>
    </row>
    <row r="140">
      <c r="A140" s="14" t="s">
        <v>660</v>
      </c>
      <c r="C140" s="5" t="str">
        <f>IFERROR(__xludf.DUMMYFUNCTION("SPLIT(A140, "","")"),"208.91.110.214")</f>
        <v>208.91.110.214</v>
      </c>
      <c r="D140" s="5">
        <f>IFERROR(__xludf.DUMMYFUNCTION("""COMPUTED_VALUE"""),98.002)</f>
        <v>98.002</v>
      </c>
      <c r="E140" s="5">
        <f>IFERROR(__xludf.DUMMYFUNCTION("""COMPUTED_VALUE"""),0.0)</f>
        <v>0</v>
      </c>
    </row>
    <row r="141">
      <c r="A141" s="14" t="s">
        <v>661</v>
      </c>
      <c r="C141" s="5" t="str">
        <f>IFERROR(__xludf.DUMMYFUNCTION("SPLIT(A141, "","")"),"209.250.232.171")</f>
        <v>209.250.232.171</v>
      </c>
      <c r="D141" s="5">
        <f>IFERROR(__xludf.DUMMYFUNCTION("""COMPUTED_VALUE"""),17.442)</f>
        <v>17.442</v>
      </c>
      <c r="E141" s="5">
        <f>IFERROR(__xludf.DUMMYFUNCTION("""COMPUTED_VALUE"""),0.0)</f>
        <v>0</v>
      </c>
    </row>
    <row r="142">
      <c r="A142" s="14" t="s">
        <v>662</v>
      </c>
      <c r="C142" s="5" t="str">
        <f>IFERROR(__xludf.DUMMYFUNCTION("SPLIT(A142, "","")"),"212.83.42.33")</f>
        <v>212.83.42.33</v>
      </c>
      <c r="D142" s="5">
        <f>IFERROR(__xludf.DUMMYFUNCTION("""COMPUTED_VALUE"""),19.325)</f>
        <v>19.325</v>
      </c>
      <c r="E142" s="5">
        <f>IFERROR(__xludf.DUMMYFUNCTION("""COMPUTED_VALUE"""),0.0)</f>
        <v>0</v>
      </c>
    </row>
    <row r="143">
      <c r="A143" s="14" t="s">
        <v>663</v>
      </c>
      <c r="C143" s="5" t="str">
        <f>IFERROR(__xludf.DUMMYFUNCTION("SPLIT(A143, "","")"),"212.83.42.39")</f>
        <v>212.83.42.39</v>
      </c>
      <c r="D143" s="5">
        <f>IFERROR(__xludf.DUMMYFUNCTION("""COMPUTED_VALUE"""),16.041)</f>
        <v>16.041</v>
      </c>
      <c r="E143" s="5">
        <f>IFERROR(__xludf.DUMMYFUNCTION("""COMPUTED_VALUE"""),0.0)</f>
        <v>0</v>
      </c>
    </row>
    <row r="144">
      <c r="A144" s="14" t="s">
        <v>664</v>
      </c>
      <c r="C144" s="5" t="str">
        <f>IFERROR(__xludf.DUMMYFUNCTION("SPLIT(A144, "","")"),"212.83.42.92")</f>
        <v>212.83.42.92</v>
      </c>
      <c r="D144" s="5">
        <f>IFERROR(__xludf.DUMMYFUNCTION("""COMPUTED_VALUE"""),12.955)</f>
        <v>12.955</v>
      </c>
      <c r="E144" s="5">
        <f>IFERROR(__xludf.DUMMYFUNCTION("""COMPUTED_VALUE"""),0.0)</f>
        <v>0</v>
      </c>
    </row>
    <row r="145">
      <c r="A145" s="14" t="s">
        <v>665</v>
      </c>
      <c r="C145" s="5" t="str">
        <f>IFERROR(__xludf.DUMMYFUNCTION("SPLIT(A145, "","")"),"212.83.43.14")</f>
        <v>212.83.43.14</v>
      </c>
      <c r="D145" s="5">
        <f>IFERROR(__xludf.DUMMYFUNCTION("""COMPUTED_VALUE"""),16.551)</f>
        <v>16.551</v>
      </c>
      <c r="E145" s="5">
        <f>IFERROR(__xludf.DUMMYFUNCTION("""COMPUTED_VALUE"""),0.0)</f>
        <v>0</v>
      </c>
    </row>
    <row r="146">
      <c r="A146" s="14" t="s">
        <v>666</v>
      </c>
      <c r="C146" s="5" t="str">
        <f>IFERROR(__xludf.DUMMYFUNCTION("SPLIT(A146, "","")"),"212.83.43.115")</f>
        <v>212.83.43.115</v>
      </c>
      <c r="D146" s="5">
        <f>IFERROR(__xludf.DUMMYFUNCTION("""COMPUTED_VALUE"""),15.655)</f>
        <v>15.655</v>
      </c>
      <c r="E146" s="5">
        <f>IFERROR(__xludf.DUMMYFUNCTION("""COMPUTED_VALUE"""),0.0)</f>
        <v>0</v>
      </c>
    </row>
    <row r="147">
      <c r="A147" s="14" t="s">
        <v>667</v>
      </c>
      <c r="C147" s="5" t="str">
        <f>IFERROR(__xludf.DUMMYFUNCTION("SPLIT(A147, "","")"),"212.83.43.180")</f>
        <v>212.83.43.180</v>
      </c>
      <c r="D147" s="5">
        <f>IFERROR(__xludf.DUMMYFUNCTION("""COMPUTED_VALUE"""),15.503)</f>
        <v>15.503</v>
      </c>
      <c r="E147" s="5">
        <f>IFERROR(__xludf.DUMMYFUNCTION("""COMPUTED_VALUE"""),0.0)</f>
        <v>0</v>
      </c>
    </row>
    <row r="148">
      <c r="A148" s="14" t="s">
        <v>668</v>
      </c>
      <c r="C148" s="5" t="str">
        <f>IFERROR(__xludf.DUMMYFUNCTION("SPLIT(A148, "","")"),"212.83.43.186")</f>
        <v>212.83.43.186</v>
      </c>
      <c r="D148" s="5">
        <f>IFERROR(__xludf.DUMMYFUNCTION("""COMPUTED_VALUE"""),12.634)</f>
        <v>12.634</v>
      </c>
      <c r="E148" s="5">
        <f>IFERROR(__xludf.DUMMYFUNCTION("""COMPUTED_VALUE"""),0.0)</f>
        <v>0</v>
      </c>
    </row>
    <row r="149">
      <c r="A149" s="14" t="s">
        <v>669</v>
      </c>
      <c r="C149" s="5" t="str">
        <f>IFERROR(__xludf.DUMMYFUNCTION("SPLIT(A149, "","")"),"212.83.43.208")</f>
        <v>212.83.43.208</v>
      </c>
      <c r="D149" s="5">
        <f>IFERROR(__xludf.DUMMYFUNCTION("""COMPUTED_VALUE"""),14.29)</f>
        <v>14.29</v>
      </c>
      <c r="E149" s="5">
        <f>IFERROR(__xludf.DUMMYFUNCTION("""COMPUTED_VALUE"""),0.0)</f>
        <v>0</v>
      </c>
    </row>
    <row r="150">
      <c r="A150" s="14" t="s">
        <v>670</v>
      </c>
      <c r="C150" s="5" t="str">
        <f>IFERROR(__xludf.DUMMYFUNCTION("SPLIT(A150, "","")"),"213.163.64.140")</f>
        <v>213.163.64.140</v>
      </c>
      <c r="D150" s="5">
        <f>IFERROR(__xludf.DUMMYFUNCTION("""COMPUTED_VALUE"""),26.251)</f>
        <v>26.251</v>
      </c>
      <c r="E150" s="5">
        <f>IFERROR(__xludf.DUMMYFUNCTION("""COMPUTED_VALUE"""),0.0)</f>
        <v>0</v>
      </c>
    </row>
    <row r="151">
      <c r="A151" s="14" t="s">
        <v>671</v>
      </c>
      <c r="C151" s="5" t="str">
        <f>IFERROR(__xludf.DUMMYFUNCTION("SPLIT(A151, "","")"),"216.238.67.40")</f>
        <v>216.238.67.40</v>
      </c>
      <c r="D151" s="5">
        <f>IFERROR(__xludf.DUMMYFUNCTION("""COMPUTED_VALUE"""),164.161)</f>
        <v>164.161</v>
      </c>
      <c r="E151" s="5">
        <f>IFERROR(__xludf.DUMMYFUNCTION("""COMPUTED_VALUE"""),0.0)</f>
        <v>0</v>
      </c>
    </row>
    <row r="152">
      <c r="A152" s="14" t="s">
        <v>672</v>
      </c>
      <c r="C152" s="5" t="str">
        <f>IFERROR(__xludf.DUMMYFUNCTION("SPLIT(A152, "","")"),"217.170.192.106")</f>
        <v>217.170.192.106</v>
      </c>
      <c r="D152" s="5">
        <f>IFERROR(__xludf.DUMMYFUNCTION("""COMPUTED_VALUE"""),50.424)</f>
        <v>50.424</v>
      </c>
      <c r="E152" s="5">
        <f>IFERROR(__xludf.DUMMYFUNCTION("""COMPUTED_VALUE"""),0.0)</f>
        <v>0</v>
      </c>
    </row>
    <row r="153">
      <c r="A153" s="14" t="s">
        <v>673</v>
      </c>
      <c r="C153" s="5" t="str">
        <f>IFERROR(__xludf.DUMMYFUNCTION("SPLIT(A153, "","")"),"217.170.192.166")</f>
        <v>217.170.192.166</v>
      </c>
      <c r="D153" s="5">
        <f>IFERROR(__xludf.DUMMYFUNCTION("""COMPUTED_VALUE"""),47.669)</f>
        <v>47.669</v>
      </c>
      <c r="E153" s="5">
        <f>IFERROR(__xludf.DUMMYFUNCTION("""COMPUTED_VALUE"""),0.0)</f>
        <v>0</v>
      </c>
    </row>
  </sheetData>
  <drawing r:id="rId1"/>
</worksheet>
</file>