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120" yWindow="120" windowWidth="20310" windowHeight="8025" activeTab="1"/>
  </bookViews>
  <sheets>
    <sheet name="Sheet1" sheetId="1" r:id="rId1"/>
    <sheet name="Wkly_exp_by_gross_quintile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B9" i="1" l="1"/>
  <c r="AC9" i="1"/>
  <c r="AD9" i="1"/>
  <c r="AE9" i="1"/>
  <c r="AA9" i="1"/>
  <c r="AD18" i="1" l="1"/>
  <c r="AD14" i="1"/>
  <c r="AD16" i="1"/>
  <c r="AD17" i="1"/>
  <c r="AD13" i="1"/>
  <c r="AB15" i="1"/>
  <c r="AB16" i="1"/>
  <c r="AB17" i="1"/>
  <c r="AB13" i="1"/>
  <c r="AA16" i="1"/>
  <c r="AA14" i="1"/>
  <c r="AB14" i="1" s="1"/>
  <c r="AA15" i="1"/>
  <c r="AA17" i="1"/>
  <c r="AA13" i="1"/>
  <c r="Q17" i="1" l="1"/>
  <c r="T17" i="1"/>
  <c r="U17" i="1"/>
  <c r="V17" i="1"/>
  <c r="W17" i="1"/>
  <c r="X17" i="1"/>
  <c r="Y17" i="1"/>
  <c r="B1" i="1" l="1"/>
  <c r="Y13" i="1" s="1"/>
  <c r="Y14" i="1"/>
  <c r="Y15" i="1"/>
  <c r="Y16" i="1"/>
  <c r="Q14" i="1"/>
  <c r="Q15" i="1"/>
  <c r="Q16" i="1"/>
  <c r="Q13" i="1"/>
  <c r="U13" i="1"/>
  <c r="V13" i="1"/>
  <c r="W13" i="1"/>
  <c r="X14" i="1"/>
  <c r="U15" i="1"/>
  <c r="V15" i="1"/>
  <c r="W15" i="1"/>
  <c r="X16" i="1"/>
  <c r="T14" i="1"/>
  <c r="T15" i="1"/>
  <c r="T16" i="1"/>
  <c r="X11" i="1"/>
  <c r="T11" i="1"/>
  <c r="W11" i="1" l="1"/>
  <c r="W16" i="1"/>
  <c r="W14" i="1"/>
  <c r="V11" i="1"/>
  <c r="V16" i="1"/>
  <c r="V14" i="1"/>
  <c r="U11" i="1"/>
  <c r="U16" i="1"/>
  <c r="U14" i="1"/>
  <c r="T13" i="1"/>
  <c r="X15" i="1"/>
  <c r="X13" i="1"/>
  <c r="G19" i="1"/>
  <c r="H19" i="1"/>
  <c r="I19" i="1"/>
  <c r="J19" i="1"/>
  <c r="F19" i="1"/>
  <c r="F15" i="1"/>
  <c r="G15" i="1"/>
  <c r="H15" i="1"/>
  <c r="I15" i="1"/>
  <c r="J15" i="1"/>
  <c r="E15" i="1"/>
  <c r="I18" i="1" l="1"/>
  <c r="H18" i="1"/>
  <c r="E14" i="1"/>
  <c r="U4" i="1"/>
  <c r="V4" i="1"/>
  <c r="W4" i="1"/>
  <c r="X4" i="1"/>
  <c r="Y4" i="1"/>
  <c r="T4" i="1"/>
  <c r="N24" i="1"/>
  <c r="O24" i="1"/>
  <c r="P24" i="1"/>
  <c r="Q24" i="1"/>
  <c r="R24" i="1"/>
  <c r="M24" i="1"/>
  <c r="E22" i="1"/>
  <c r="M5" i="1"/>
  <c r="T5" i="1" s="1"/>
  <c r="N5" i="1"/>
  <c r="N22" i="1" s="1"/>
  <c r="O5" i="1"/>
  <c r="O22" i="1" s="1"/>
  <c r="P5" i="1"/>
  <c r="P22" i="1" s="1"/>
  <c r="Q5" i="1"/>
  <c r="Q22" i="1" s="1"/>
  <c r="R5" i="1"/>
  <c r="R22" i="1" s="1"/>
  <c r="M6" i="1"/>
  <c r="M23" i="1" s="1"/>
  <c r="N6" i="1"/>
  <c r="O6" i="1"/>
  <c r="V6" i="1" s="1"/>
  <c r="P6" i="1"/>
  <c r="W6" i="1" s="1"/>
  <c r="Q6" i="1"/>
  <c r="X6" i="1" s="1"/>
  <c r="R6" i="1"/>
  <c r="Y6" i="1" s="1"/>
  <c r="M7" i="1"/>
  <c r="T7" i="1" s="1"/>
  <c r="N7" i="1"/>
  <c r="U7" i="1" s="1"/>
  <c r="O7" i="1"/>
  <c r="V7" i="1" s="1"/>
  <c r="P7" i="1"/>
  <c r="W7" i="1" s="1"/>
  <c r="Q7" i="1"/>
  <c r="X7" i="1" s="1"/>
  <c r="R7" i="1"/>
  <c r="Y7" i="1" s="1"/>
  <c r="M8" i="1"/>
  <c r="T8" i="1" s="1"/>
  <c r="N8" i="1"/>
  <c r="U8" i="1" s="1"/>
  <c r="O8" i="1"/>
  <c r="V8" i="1" s="1"/>
  <c r="P8" i="1"/>
  <c r="P25" i="1" s="1"/>
  <c r="Q8" i="1"/>
  <c r="Q25" i="1" s="1"/>
  <c r="R8" i="1"/>
  <c r="R25" i="1" s="1"/>
  <c r="R4" i="1"/>
  <c r="N4" i="1"/>
  <c r="O4" i="1"/>
  <c r="P4" i="1"/>
  <c r="Q4" i="1"/>
  <c r="M4" i="1"/>
  <c r="N25" i="1" l="1"/>
  <c r="N23" i="1"/>
  <c r="X8" i="1"/>
  <c r="R23" i="1"/>
  <c r="T6" i="1"/>
  <c r="T9" i="1"/>
  <c r="O25" i="1"/>
  <c r="Y8" i="1"/>
  <c r="U6" i="1"/>
  <c r="M22" i="1"/>
  <c r="Q23" i="1"/>
  <c r="W8" i="1"/>
  <c r="Y5" i="1"/>
  <c r="P23" i="1"/>
  <c r="X5" i="1"/>
  <c r="X9" i="1" s="1"/>
  <c r="O23" i="1"/>
  <c r="M25" i="1"/>
  <c r="W5" i="1"/>
  <c r="V5" i="1"/>
  <c r="V9" i="1" s="1"/>
  <c r="U5" i="1"/>
  <c r="E55" i="1"/>
  <c r="Y9" i="1" l="1"/>
  <c r="U9" i="1"/>
  <c r="V10" i="1"/>
  <c r="G17" i="1"/>
  <c r="G18" i="1" s="1"/>
  <c r="U10" i="1"/>
  <c r="F17" i="1"/>
  <c r="F18" i="1" s="1"/>
  <c r="Y10" i="1"/>
  <c r="J17" i="1"/>
  <c r="W9" i="1"/>
  <c r="I17" i="1"/>
  <c r="X10" i="1"/>
  <c r="T10" i="1"/>
  <c r="E17" i="1"/>
  <c r="E18" i="1" s="1"/>
  <c r="F32" i="1"/>
  <c r="G32" i="1"/>
  <c r="H32" i="1"/>
  <c r="I32" i="1"/>
  <c r="J32" i="1"/>
  <c r="E32" i="1"/>
  <c r="F31" i="1"/>
  <c r="G31" i="1"/>
  <c r="H31" i="1"/>
  <c r="I31" i="1"/>
  <c r="J31" i="1"/>
  <c r="E31" i="1"/>
  <c r="W10" i="1" l="1"/>
  <c r="H17" i="1"/>
  <c r="F35" i="1"/>
  <c r="G35" i="1"/>
  <c r="H35" i="1"/>
  <c r="I35" i="1"/>
  <c r="E35" i="1"/>
  <c r="J35" i="1" s="1"/>
  <c r="I56" i="1" l="1"/>
  <c r="H56" i="1"/>
  <c r="G56" i="1"/>
  <c r="F56" i="1"/>
  <c r="E56" i="1"/>
  <c r="F54" i="1"/>
  <c r="F57" i="1" s="1"/>
  <c r="G54" i="1"/>
  <c r="H54" i="1"/>
  <c r="I54" i="1"/>
  <c r="E54" i="1"/>
  <c r="E57" i="1" l="1"/>
  <c r="G57" i="1"/>
  <c r="I57" i="1"/>
  <c r="H57" i="1"/>
  <c r="F30" i="1"/>
  <c r="G30" i="1"/>
  <c r="H30" i="1"/>
  <c r="I30" i="1"/>
  <c r="J30" i="1"/>
  <c r="E30" i="1"/>
  <c r="F29" i="1"/>
  <c r="G29" i="1"/>
  <c r="H29" i="1"/>
  <c r="I29" i="1"/>
  <c r="J29" i="1"/>
  <c r="E29" i="1"/>
  <c r="F28" i="1"/>
  <c r="G28" i="1"/>
  <c r="H28" i="1"/>
  <c r="I28" i="1"/>
  <c r="J28" i="1"/>
  <c r="E28" i="1"/>
  <c r="E23" i="1"/>
  <c r="E24" i="1"/>
  <c r="E25" i="1"/>
  <c r="F25" i="1"/>
  <c r="G25" i="1"/>
  <c r="H25" i="1"/>
  <c r="I25" i="1"/>
  <c r="J25" i="1"/>
  <c r="J22" i="1"/>
  <c r="J23" i="1"/>
  <c r="J24" i="1"/>
  <c r="F24" i="1"/>
  <c r="G24" i="1"/>
  <c r="H24" i="1"/>
  <c r="I24" i="1"/>
  <c r="I23" i="1" l="1"/>
  <c r="I22" i="1"/>
  <c r="H23" i="1"/>
  <c r="H22" i="1"/>
  <c r="G23" i="1"/>
  <c r="G22" i="1"/>
  <c r="F23" i="1"/>
  <c r="F22" i="1"/>
</calcChain>
</file>

<file path=xl/comments1.xml><?xml version="1.0" encoding="utf-8"?>
<comments xmlns="http://schemas.openxmlformats.org/spreadsheetml/2006/main">
  <authors>
    <author>Hugh Parsonage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Hugh Parsonage:</t>
        </r>
        <r>
          <rPr>
            <sz val="9"/>
            <color indexed="81"/>
            <rFont val="Tahoma"/>
            <charset val="1"/>
          </rPr>
          <t xml:space="preserve">
for (i in 1:2e5){if(income_tax(i, fy.year = "2010-11") &gt; 1594.43){print(i);break}}</t>
        </r>
      </text>
    </comment>
  </commentList>
</comments>
</file>

<file path=xl/sharedStrings.xml><?xml version="1.0" encoding="utf-8"?>
<sst xmlns="http://schemas.openxmlformats.org/spreadsheetml/2006/main" count="99" uniqueCount="61">
  <si>
    <t>09      Medical care and health expenses</t>
  </si>
  <si>
    <t>GROSS HOUSEHOLD INCOME QUINTILE</t>
  </si>
  <si>
    <t>Lowest</t>
  </si>
  <si>
    <t>Second</t>
  </si>
  <si>
    <t>Third</t>
  </si>
  <si>
    <t>Fourth</t>
  </si>
  <si>
    <t>Highest</t>
  </si>
  <si>
    <t>All households</t>
  </si>
  <si>
    <t>Dollars per week on GST excluded food</t>
  </si>
  <si>
    <t>130202      Education fees for primary and secondary schools</t>
  </si>
  <si>
    <t>130203      Education fees excluding primary and secondary school fees</t>
  </si>
  <si>
    <t>Total consumption</t>
  </si>
  <si>
    <t>Total income</t>
  </si>
  <si>
    <t>Food</t>
  </si>
  <si>
    <t>Education fees</t>
  </si>
  <si>
    <t>Medical</t>
  </si>
  <si>
    <t>Proportion of income</t>
  </si>
  <si>
    <t>Proportion of consumption</t>
  </si>
  <si>
    <t>Education</t>
  </si>
  <si>
    <t>Gross income by equivalised quintiles</t>
  </si>
  <si>
    <t xml:space="preserve">Source: calculed from HES (2011), taken from BB (2014) work:  C:\Users\daniellew1\Dropbox (Grattan Institute)\Grattan Gathering 2013\Budget Solutions (Paper 2)\Data and analysis\GST; </t>
  </si>
  <si>
    <t xml:space="preserve">Childcare </t>
  </si>
  <si>
    <t>X.1</t>
  </si>
  <si>
    <t>GST Free food</t>
  </si>
  <si>
    <t>Child Care</t>
  </si>
  <si>
    <t>Health</t>
  </si>
  <si>
    <t>4 categories combined</t>
  </si>
  <si>
    <t xml:space="preserve">All </t>
  </si>
  <si>
    <t>Household expenditure on GST free items</t>
  </si>
  <si>
    <t>Percentage of annual expenditure by household income quintile; 2009-10 figures</t>
  </si>
  <si>
    <t>Childcare</t>
  </si>
  <si>
    <t>All</t>
  </si>
  <si>
    <t>080105 Child care services</t>
  </si>
  <si>
    <t xml:space="preserve">Data on childcare expenditure added from the HES (2011) </t>
  </si>
  <si>
    <t>Greg Jericho's figures - for cross- check</t>
  </si>
  <si>
    <t xml:space="preserve">Total value food subsidy to to top 20% </t>
  </si>
  <si>
    <t>Total value subsidy ($m)</t>
  </si>
  <si>
    <t xml:space="preserve">Number of HH in each income group </t>
  </si>
  <si>
    <t>Value subsidy per HH, top 20%</t>
  </si>
  <si>
    <t xml:space="preserve">Contribution to total increase in GST collections from broader base </t>
  </si>
  <si>
    <t xml:space="preserve">Total </t>
  </si>
  <si>
    <t>Tax expenditure (2014), revenue gain method, $ms (2014-15)</t>
  </si>
  <si>
    <t>Number of HH (2014-15)</t>
  </si>
  <si>
    <t>110% of</t>
  </si>
  <si>
    <t>Total</t>
  </si>
  <si>
    <t>Annual</t>
  </si>
  <si>
    <t>Extra costs for GST</t>
  </si>
  <si>
    <t>Income tax (Table 3B)</t>
  </si>
  <si>
    <t>Compensation required</t>
  </si>
  <si>
    <t>Effective income taxrequired (assume all workers)</t>
  </si>
  <si>
    <t>Income tax (annual)</t>
  </si>
  <si>
    <t>Implied taxable income</t>
  </si>
  <si>
    <t># h'holds</t>
  </si>
  <si>
    <t>Annual*households ($bn)</t>
  </si>
  <si>
    <t>Indicated</t>
  </si>
  <si>
    <t>Actual/Indicated</t>
  </si>
  <si>
    <t>Bottom 60% ($bn)</t>
  </si>
  <si>
    <t>Bottom 60% (2014-15)</t>
  </si>
  <si>
    <t>Actuals (2009-10)</t>
  </si>
  <si>
    <t>Actuals (2014-15)</t>
  </si>
  <si>
    <t>Exemption_category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</si>
</sst>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&quot;#,##0.00&quot;&quot;"/>
    <numFmt numFmtId="165" formatCode="&quot;&quot;&quot;&quot;&quot;&quot;0.00&quot;&quot;"/>
    <numFmt numFmtId="166" formatCode="&quot;*&quot;#,##0.00&quot;&quot;"/>
    <numFmt numFmtId="167" formatCode="&quot;&quot;#,##0&quot;&quot;"/>
    <numFmt numFmtId="168" formatCode="0.0%"/>
    <numFmt numFmtId="169" formatCode="_-&quot;$&quot;* #,##0_-;\-&quot;$&quot;* #,##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1" fillId="0" borderId="0" xfId="1" applyNumberFormat="1" applyFont="1" applyFill="1" applyAlignment="1">
      <alignment horizontal="right"/>
    </xf>
    <xf numFmtId="165" fontId="2" fillId="0" borderId="0" xfId="0" applyNumberFormat="1" applyFont="1"/>
    <xf numFmtId="0" fontId="2" fillId="0" borderId="0" xfId="0" applyFont="1" applyBorder="1" applyAlignment="1">
      <alignment horizontal="right" wrapText="1"/>
    </xf>
    <xf numFmtId="166" fontId="3" fillId="0" borderId="0" xfId="1" applyNumberFormat="1" applyFill="1" applyAlignment="1">
      <alignment horizontal="right"/>
    </xf>
    <xf numFmtId="164" fontId="3" fillId="0" borderId="0" xfId="1" applyNumberFormat="1" applyFill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1" applyNumberFormat="1" applyFont="1" applyFill="1" applyAlignment="1">
      <alignment horizontal="right"/>
    </xf>
    <xf numFmtId="167" fontId="5" fillId="0" borderId="0" xfId="2" applyNumberFormat="1" applyFont="1" applyFill="1" applyAlignment="1">
      <alignment horizontal="right"/>
    </xf>
    <xf numFmtId="10" fontId="0" fillId="0" borderId="0" xfId="0" applyNumberFormat="1"/>
    <xf numFmtId="168" fontId="0" fillId="0" borderId="0" xfId="0" applyNumberFormat="1"/>
    <xf numFmtId="0" fontId="2" fillId="0" borderId="0" xfId="0" applyFont="1" applyFill="1"/>
    <xf numFmtId="0" fontId="0" fillId="2" borderId="0" xfId="0" applyFill="1"/>
    <xf numFmtId="0" fontId="8" fillId="2" borderId="0" xfId="0" applyFont="1" applyFill="1"/>
    <xf numFmtId="0" fontId="2" fillId="3" borderId="1" xfId="0" applyFont="1" applyFill="1" applyBorder="1"/>
    <xf numFmtId="165" fontId="4" fillId="3" borderId="1" xfId="0" applyNumberFormat="1" applyFont="1" applyFill="1" applyBorder="1"/>
    <xf numFmtId="0" fontId="0" fillId="0" borderId="0" xfId="0" applyAlignment="1"/>
    <xf numFmtId="165" fontId="4" fillId="3" borderId="0" xfId="0" applyNumberFormat="1" applyFont="1" applyFill="1" applyBorder="1"/>
    <xf numFmtId="0" fontId="0" fillId="3" borderId="0" xfId="0" applyFill="1"/>
    <xf numFmtId="0" fontId="9" fillId="3" borderId="0" xfId="0" applyFont="1" applyFill="1"/>
    <xf numFmtId="2" fontId="0" fillId="0" borderId="0" xfId="0" applyNumberFormat="1"/>
    <xf numFmtId="1" fontId="0" fillId="0" borderId="0" xfId="0" applyNumberFormat="1"/>
    <xf numFmtId="0" fontId="2" fillId="3" borderId="0" xfId="0" applyFont="1" applyFill="1" applyBorder="1" applyAlignment="1">
      <alignment horizontal="right" wrapText="1"/>
    </xf>
    <xf numFmtId="0" fontId="0" fillId="4" borderId="0" xfId="0" applyFill="1"/>
    <xf numFmtId="44" fontId="0" fillId="4" borderId="0" xfId="3" applyFont="1" applyFill="1"/>
    <xf numFmtId="44" fontId="0" fillId="0" borderId="0" xfId="0" applyNumberFormat="1"/>
    <xf numFmtId="168" fontId="0" fillId="0" borderId="0" xfId="4" applyNumberFormat="1" applyFont="1"/>
    <xf numFmtId="2" fontId="5" fillId="0" borderId="0" xfId="2" applyNumberFormat="1" applyFont="1" applyFill="1" applyAlignment="1">
      <alignment horizontal="right"/>
    </xf>
    <xf numFmtId="2" fontId="5" fillId="5" borderId="0" xfId="2" applyNumberFormat="1" applyFont="1" applyFill="1" applyAlignment="1">
      <alignment horizontal="right"/>
    </xf>
    <xf numFmtId="169" fontId="5" fillId="0" borderId="0" xfId="3" applyNumberFormat="1" applyFont="1" applyFill="1" applyAlignment="1">
      <alignment horizontal="right"/>
    </xf>
    <xf numFmtId="43" fontId="0" fillId="0" borderId="0" xfId="5" applyFont="1"/>
    <xf numFmtId="0" fontId="0" fillId="0" borderId="0" xfId="0" applyNumberFormat="1"/>
    <xf numFmtId="0" fontId="0" fillId="0" borderId="0" xfId="0" applyAlignment="1">
      <alignment horizontal="right"/>
    </xf>
    <xf numFmtId="0" fontId="13" fillId="6" borderId="0" xfId="6" applyFont="1"/>
    <xf numFmtId="0" fontId="2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/>
    <xf numFmtId="0" fontId="7" fillId="0" borderId="0" xfId="0" applyFont="1" applyAlignment="1">
      <alignment vertical="center" wrapText="1"/>
    </xf>
    <xf numFmtId="9" fontId="0" fillId="0" borderId="0" xfId="4" applyFont="1"/>
  </cellXfs>
  <cellStyles count="7">
    <cellStyle name="Accent6" xfId="6" builtinId="49"/>
    <cellStyle name="Comma" xfId="5" builtinId="3"/>
    <cellStyle name="Currency" xfId="3" builtinId="4"/>
    <cellStyle name="Normal" xfId="0" builtinId="0"/>
    <cellStyle name="Normal 2" xfId="2"/>
    <cellStyle name="Normal 8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arsonage/Dropbox/Budget%20Repair%20Report/Data%20and%20analysis/GST/ABS%20Household%20and%20Family%20Projec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_1_1"/>
      <sheetName val="Table_1_2"/>
      <sheetName val="Table_1_3"/>
      <sheetName val="Table_1_4"/>
      <sheetName val="Table_1_5"/>
      <sheetName val="Table_1_6"/>
      <sheetName val="Table_1_7"/>
      <sheetName val="Table_1_8"/>
      <sheetName val="Table_1_9"/>
      <sheetName val="Table_1_10"/>
      <sheetName val="Table_1_11"/>
      <sheetName val="Table_1_12"/>
      <sheetName val="Table_1_13"/>
      <sheetName val="Table_1_14"/>
      <sheetName val="Table_1_15"/>
      <sheetName val="Table_1_16"/>
      <sheetName val="Table_1_17"/>
      <sheetName val="Table_1_18"/>
      <sheetName val="Table_1_19"/>
      <sheetName val="Table_1_20"/>
      <sheetName val="Table_1_21"/>
      <sheetName val="Table_1_22"/>
      <sheetName val="Table_1_23"/>
    </sheetNames>
    <sheetDataSet>
      <sheetData sheetId="0"/>
      <sheetData sheetId="1">
        <row r="12">
          <cell r="F12">
            <v>9093668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7"/>
  <sheetViews>
    <sheetView workbookViewId="0">
      <selection activeCell="J8" sqref="D3:J8"/>
    </sheetView>
  </sheetViews>
  <sheetFormatPr defaultRowHeight="15" x14ac:dyDescent="0.25"/>
  <cols>
    <col min="2" max="2" width="13.28515625" bestFit="1" customWidth="1"/>
    <col min="3" max="3" width="17.7109375" bestFit="1" customWidth="1"/>
    <col min="4" max="4" width="53.28515625" bestFit="1" customWidth="1"/>
    <col min="5" max="5" width="10.7109375" bestFit="1" customWidth="1"/>
    <col min="6" max="8" width="9.85546875" bestFit="1" customWidth="1"/>
    <col min="9" max="9" width="10.7109375" bestFit="1" customWidth="1"/>
    <col min="10" max="10" width="12.7109375" customWidth="1"/>
    <col min="13" max="14" width="9.28515625" bestFit="1" customWidth="1"/>
    <col min="15" max="18" width="10.140625" bestFit="1" customWidth="1"/>
    <col min="20" max="20" width="10" bestFit="1" customWidth="1"/>
    <col min="23" max="23" width="10.42578125" customWidth="1"/>
    <col min="24" max="24" width="10.5703125" customWidth="1"/>
    <col min="25" max="25" width="10.5703125" bestFit="1" customWidth="1"/>
  </cols>
  <sheetData>
    <row r="1" spans="1:31" x14ac:dyDescent="0.25">
      <c r="A1" s="7" t="s">
        <v>52</v>
      </c>
      <c r="B1" s="33">
        <f>8.4*10^6</f>
        <v>8400000</v>
      </c>
    </row>
    <row r="2" spans="1:31" x14ac:dyDescent="0.25">
      <c r="D2" s="17"/>
      <c r="E2" s="37" t="s">
        <v>1</v>
      </c>
      <c r="F2" s="38"/>
      <c r="G2" s="38"/>
      <c r="H2" s="38"/>
      <c r="I2" s="38"/>
      <c r="J2" s="18"/>
      <c r="K2" s="20"/>
      <c r="M2" s="26" t="s">
        <v>43</v>
      </c>
      <c r="N2" s="26"/>
      <c r="O2" s="26"/>
      <c r="P2" s="26"/>
      <c r="Q2" s="26"/>
      <c r="R2" s="26"/>
      <c r="T2" t="s">
        <v>46</v>
      </c>
    </row>
    <row r="3" spans="1:31" ht="26.25" x14ac:dyDescent="0.25">
      <c r="D3" s="3"/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/>
      <c r="M3" s="26"/>
      <c r="N3" s="26"/>
      <c r="O3" s="26"/>
      <c r="P3" s="26"/>
      <c r="Q3" s="26"/>
      <c r="R3" s="26"/>
      <c r="T3" s="4" t="s">
        <v>2</v>
      </c>
      <c r="U3" s="4" t="s">
        <v>3</v>
      </c>
      <c r="V3" s="4" t="s">
        <v>4</v>
      </c>
      <c r="W3" s="4" t="s">
        <v>5</v>
      </c>
      <c r="X3" s="4" t="s">
        <v>6</v>
      </c>
      <c r="Y3" s="4" t="s">
        <v>7</v>
      </c>
    </row>
    <row r="4" spans="1:31" x14ac:dyDescent="0.25">
      <c r="B4" s="1"/>
      <c r="C4" s="1"/>
      <c r="D4" s="9" t="s">
        <v>0</v>
      </c>
      <c r="E4" s="10">
        <v>38.35</v>
      </c>
      <c r="F4" s="10">
        <v>39.32</v>
      </c>
      <c r="G4" s="10">
        <v>68.209999999999994</v>
      </c>
      <c r="H4" s="10">
        <v>73.37</v>
      </c>
      <c r="I4" s="10">
        <v>108.78</v>
      </c>
      <c r="J4" s="10">
        <v>65.599999999999994</v>
      </c>
      <c r="K4" s="10"/>
      <c r="M4" s="27">
        <f>1.1*E4</f>
        <v>42.185000000000002</v>
      </c>
      <c r="N4" s="27">
        <f t="shared" ref="N4:Q4" si="0">1.1*F4</f>
        <v>43.252000000000002</v>
      </c>
      <c r="O4" s="27">
        <f t="shared" si="0"/>
        <v>75.031000000000006</v>
      </c>
      <c r="P4" s="27">
        <f t="shared" si="0"/>
        <v>80.707000000000008</v>
      </c>
      <c r="Q4" s="27">
        <f t="shared" si="0"/>
        <v>119.65800000000002</v>
      </c>
      <c r="R4" s="27">
        <f>1.1*J4</f>
        <v>72.16</v>
      </c>
      <c r="T4" s="28">
        <f>M4-E4</f>
        <v>3.8350000000000009</v>
      </c>
      <c r="U4" s="28">
        <f t="shared" ref="U4:Y4" si="1">N4-F4</f>
        <v>3.9320000000000022</v>
      </c>
      <c r="V4" s="28">
        <f t="shared" si="1"/>
        <v>6.8210000000000122</v>
      </c>
      <c r="W4" s="28">
        <f t="shared" si="1"/>
        <v>7.3370000000000033</v>
      </c>
      <c r="X4" s="28">
        <f t="shared" si="1"/>
        <v>10.878000000000014</v>
      </c>
      <c r="Y4" s="28">
        <f t="shared" si="1"/>
        <v>6.5600000000000023</v>
      </c>
    </row>
    <row r="5" spans="1:31" x14ac:dyDescent="0.25">
      <c r="D5" s="7" t="s">
        <v>8</v>
      </c>
      <c r="E5">
        <v>55.190000000000005</v>
      </c>
      <c r="F5">
        <v>72.69000000000004</v>
      </c>
      <c r="G5">
        <v>86.900000000000034</v>
      </c>
      <c r="H5">
        <v>104.33</v>
      </c>
      <c r="I5">
        <v>128.72000000000003</v>
      </c>
      <c r="J5">
        <v>89.59999999999998</v>
      </c>
      <c r="M5" s="27">
        <f t="shared" ref="M5:M8" si="2">1.1*E5</f>
        <v>60.70900000000001</v>
      </c>
      <c r="N5" s="27">
        <f t="shared" ref="N5:N8" si="3">1.1*F5</f>
        <v>79.959000000000046</v>
      </c>
      <c r="O5" s="27">
        <f t="shared" ref="O5:O8" si="4">1.1*G5</f>
        <v>95.590000000000046</v>
      </c>
      <c r="P5" s="27">
        <f t="shared" ref="P5:P8" si="5">1.1*H5</f>
        <v>114.76300000000001</v>
      </c>
      <c r="Q5" s="27">
        <f t="shared" ref="Q5:Q8" si="6">1.1*I5</f>
        <v>141.59200000000004</v>
      </c>
      <c r="R5" s="27">
        <f t="shared" ref="R5:R8" si="7">1.1*J5</f>
        <v>98.559999999999988</v>
      </c>
      <c r="T5" s="28">
        <f t="shared" ref="T5:T8" si="8">M5-E5</f>
        <v>5.5190000000000055</v>
      </c>
      <c r="U5" s="28">
        <f t="shared" ref="U5:U8" si="9">N5-F5</f>
        <v>7.2690000000000055</v>
      </c>
      <c r="V5" s="28">
        <f t="shared" ref="V5:V8" si="10">O5-G5</f>
        <v>8.6900000000000119</v>
      </c>
      <c r="W5" s="28">
        <f t="shared" ref="W5:W8" si="11">P5-H5</f>
        <v>10.433000000000007</v>
      </c>
      <c r="X5" s="28">
        <f t="shared" ref="X5:X8" si="12">Q5-I5</f>
        <v>12.872000000000014</v>
      </c>
      <c r="Y5" s="28">
        <f t="shared" ref="Y5:Y8" si="13">R5-J5</f>
        <v>8.960000000000008</v>
      </c>
    </row>
    <row r="6" spans="1:31" x14ac:dyDescent="0.25">
      <c r="D6" s="8" t="s">
        <v>9</v>
      </c>
      <c r="E6" s="5">
        <v>1.97</v>
      </c>
      <c r="F6" s="5">
        <v>7.33</v>
      </c>
      <c r="G6" s="6">
        <v>15.61</v>
      </c>
      <c r="H6" s="6">
        <v>22.34</v>
      </c>
      <c r="I6" s="6">
        <v>49.78</v>
      </c>
      <c r="J6" s="6">
        <v>19.399999999999999</v>
      </c>
      <c r="K6" s="6"/>
      <c r="M6" s="27">
        <f t="shared" si="2"/>
        <v>2.1670000000000003</v>
      </c>
      <c r="N6" s="27">
        <f t="shared" si="3"/>
        <v>8.0630000000000006</v>
      </c>
      <c r="O6" s="27">
        <f t="shared" si="4"/>
        <v>17.170999999999999</v>
      </c>
      <c r="P6" s="27">
        <f t="shared" si="5"/>
        <v>24.574000000000002</v>
      </c>
      <c r="Q6" s="27">
        <f t="shared" si="6"/>
        <v>54.758000000000003</v>
      </c>
      <c r="R6" s="27">
        <f t="shared" si="7"/>
        <v>21.34</v>
      </c>
      <c r="T6" s="28">
        <f t="shared" si="8"/>
        <v>0.19700000000000029</v>
      </c>
      <c r="U6" s="28">
        <f t="shared" si="9"/>
        <v>0.73300000000000054</v>
      </c>
      <c r="V6" s="28">
        <f t="shared" si="10"/>
        <v>1.5609999999999999</v>
      </c>
      <c r="W6" s="28">
        <f t="shared" si="11"/>
        <v>2.2340000000000018</v>
      </c>
      <c r="X6" s="28">
        <f t="shared" si="12"/>
        <v>4.9780000000000015</v>
      </c>
      <c r="Y6" s="28">
        <f t="shared" si="13"/>
        <v>1.9400000000000013</v>
      </c>
    </row>
    <row r="7" spans="1:31" ht="26.25" x14ac:dyDescent="0.25">
      <c r="D7" s="8" t="s">
        <v>10</v>
      </c>
      <c r="E7" s="5">
        <v>3.81</v>
      </c>
      <c r="F7" s="6">
        <v>4.63</v>
      </c>
      <c r="G7" s="6">
        <v>10.45</v>
      </c>
      <c r="H7" s="6">
        <v>13.11</v>
      </c>
      <c r="I7" s="6">
        <v>23.82</v>
      </c>
      <c r="J7" s="6">
        <v>11.16</v>
      </c>
      <c r="K7" s="6"/>
      <c r="M7" s="27">
        <f t="shared" si="2"/>
        <v>4.1910000000000007</v>
      </c>
      <c r="N7" s="27">
        <f t="shared" si="3"/>
        <v>5.093</v>
      </c>
      <c r="O7" s="27">
        <f t="shared" si="4"/>
        <v>11.495000000000001</v>
      </c>
      <c r="P7" s="27">
        <f t="shared" si="5"/>
        <v>14.421000000000001</v>
      </c>
      <c r="Q7" s="27">
        <f t="shared" si="6"/>
        <v>26.202000000000002</v>
      </c>
      <c r="R7" s="27">
        <f t="shared" si="7"/>
        <v>12.276000000000002</v>
      </c>
      <c r="T7" s="28">
        <f t="shared" si="8"/>
        <v>0.38100000000000067</v>
      </c>
      <c r="U7" s="28">
        <f t="shared" si="9"/>
        <v>0.46300000000000008</v>
      </c>
      <c r="V7" s="28">
        <f t="shared" si="10"/>
        <v>1.0450000000000017</v>
      </c>
      <c r="W7" s="28">
        <f t="shared" si="11"/>
        <v>1.3110000000000017</v>
      </c>
      <c r="X7" s="28">
        <f t="shared" si="12"/>
        <v>2.3820000000000014</v>
      </c>
      <c r="Y7" s="28">
        <f t="shared" si="13"/>
        <v>1.1160000000000014</v>
      </c>
    </row>
    <row r="8" spans="1:31" x14ac:dyDescent="0.25">
      <c r="C8" s="1"/>
      <c r="D8" s="14" t="s">
        <v>32</v>
      </c>
      <c r="E8" s="5">
        <v>1</v>
      </c>
      <c r="F8" s="5">
        <v>3.1</v>
      </c>
      <c r="G8" s="6">
        <v>5.97</v>
      </c>
      <c r="H8" s="6">
        <v>12.2</v>
      </c>
      <c r="I8" s="6">
        <v>21.73</v>
      </c>
      <c r="J8" s="6">
        <v>8.8000000000000007</v>
      </c>
      <c r="K8" s="6"/>
      <c r="M8" s="27">
        <f t="shared" si="2"/>
        <v>1.1000000000000001</v>
      </c>
      <c r="N8" s="27">
        <f t="shared" si="3"/>
        <v>3.4100000000000006</v>
      </c>
      <c r="O8" s="27">
        <f t="shared" si="4"/>
        <v>6.5670000000000002</v>
      </c>
      <c r="P8" s="27">
        <f t="shared" si="5"/>
        <v>13.42</v>
      </c>
      <c r="Q8" s="27">
        <f t="shared" si="6"/>
        <v>23.903000000000002</v>
      </c>
      <c r="R8" s="27">
        <f t="shared" si="7"/>
        <v>9.6800000000000015</v>
      </c>
      <c r="T8" s="28">
        <f t="shared" si="8"/>
        <v>0.10000000000000009</v>
      </c>
      <c r="U8" s="28">
        <f t="shared" si="9"/>
        <v>0.3100000000000005</v>
      </c>
      <c r="V8" s="28">
        <f t="shared" si="10"/>
        <v>0.59700000000000042</v>
      </c>
      <c r="W8" s="28">
        <f t="shared" si="11"/>
        <v>1.2200000000000006</v>
      </c>
      <c r="X8" s="28">
        <f t="shared" si="12"/>
        <v>2.1730000000000018</v>
      </c>
      <c r="Y8" s="28">
        <f t="shared" si="13"/>
        <v>0.88000000000000078</v>
      </c>
    </row>
    <row r="9" spans="1:31" x14ac:dyDescent="0.25">
      <c r="S9" s="35" t="s">
        <v>44</v>
      </c>
      <c r="T9" s="28">
        <f>SUM(T4:T8)</f>
        <v>10.032000000000007</v>
      </c>
      <c r="U9" s="28">
        <f t="shared" ref="U9:Y9" si="14">SUM(U4:U8)</f>
        <v>12.70700000000001</v>
      </c>
      <c r="V9" s="28">
        <f t="shared" si="14"/>
        <v>18.714000000000027</v>
      </c>
      <c r="W9" s="28">
        <f t="shared" si="14"/>
        <v>22.535000000000011</v>
      </c>
      <c r="X9" s="28">
        <f t="shared" si="14"/>
        <v>33.28300000000003</v>
      </c>
      <c r="Y9" s="28">
        <f t="shared" si="14"/>
        <v>19.456000000000017</v>
      </c>
      <c r="AA9" s="29">
        <f>T9/SUM($T$9:$Y$9)</f>
        <v>8.5944126037677648E-2</v>
      </c>
      <c r="AB9" s="29">
        <f t="shared" ref="AB9:AE9" si="15">U9/SUM($T$9:$Y$9)</f>
        <v>0.10886084624808312</v>
      </c>
      <c r="AC9" s="42">
        <f t="shared" si="15"/>
        <v>0.16032280449253394</v>
      </c>
      <c r="AD9" s="42">
        <f t="shared" si="15"/>
        <v>0.19305730465102325</v>
      </c>
      <c r="AE9" s="42">
        <f t="shared" si="15"/>
        <v>0.28513540140670113</v>
      </c>
    </row>
    <row r="10" spans="1:31" x14ac:dyDescent="0.25">
      <c r="S10" s="35" t="s">
        <v>45</v>
      </c>
      <c r="T10" s="28">
        <f>T9*52.5</f>
        <v>526.6800000000004</v>
      </c>
      <c r="U10" s="28">
        <f t="shared" ref="U10:Y10" si="16">U9*52.5</f>
        <v>667.11750000000052</v>
      </c>
      <c r="V10" s="28">
        <f t="shared" si="16"/>
        <v>982.48500000000138</v>
      </c>
      <c r="W10" s="28">
        <f t="shared" si="16"/>
        <v>1183.0875000000005</v>
      </c>
      <c r="X10" s="28">
        <f t="shared" si="16"/>
        <v>1747.3575000000017</v>
      </c>
      <c r="Y10" s="28">
        <f t="shared" si="16"/>
        <v>1021.440000000001</v>
      </c>
    </row>
    <row r="11" spans="1:31" x14ac:dyDescent="0.25">
      <c r="D11" t="s">
        <v>11</v>
      </c>
      <c r="E11" s="2">
        <v>559.04</v>
      </c>
      <c r="F11" s="2">
        <v>814.94</v>
      </c>
      <c r="G11" s="2">
        <v>1169.47</v>
      </c>
      <c r="H11" s="2">
        <v>1479.45</v>
      </c>
      <c r="I11" s="2">
        <v>2159.7399999999998</v>
      </c>
      <c r="J11" s="2">
        <v>1236.28</v>
      </c>
      <c r="K11" s="2"/>
      <c r="S11" s="35" t="s">
        <v>53</v>
      </c>
      <c r="T11" s="34">
        <f>T10*$B$1/10^9/5</f>
        <v>0.88482240000000068</v>
      </c>
      <c r="U11" s="34">
        <f t="shared" ref="U11:X11" si="17">U10*$B$1/10^9/5</f>
        <v>1.1207574000000009</v>
      </c>
      <c r="V11" s="34">
        <f t="shared" si="17"/>
        <v>1.6505748000000022</v>
      </c>
      <c r="W11" s="34">
        <f t="shared" si="17"/>
        <v>1.9875870000000007</v>
      </c>
      <c r="X11" s="34">
        <f t="shared" si="17"/>
        <v>2.9355606000000027</v>
      </c>
      <c r="Y11" s="34"/>
    </row>
    <row r="12" spans="1:31" x14ac:dyDescent="0.25">
      <c r="D12" t="s">
        <v>12</v>
      </c>
      <c r="E12">
        <v>360</v>
      </c>
      <c r="F12">
        <v>780</v>
      </c>
      <c r="G12">
        <v>1323</v>
      </c>
      <c r="H12">
        <v>2032</v>
      </c>
      <c r="I12">
        <v>3942</v>
      </c>
      <c r="J12">
        <v>1688</v>
      </c>
      <c r="Y12" t="s">
        <v>54</v>
      </c>
      <c r="Z12" t="s">
        <v>58</v>
      </c>
      <c r="AA12" t="s">
        <v>55</v>
      </c>
      <c r="AB12" t="s">
        <v>56</v>
      </c>
      <c r="AC12" t="s">
        <v>59</v>
      </c>
      <c r="AD12" t="s">
        <v>57</v>
      </c>
    </row>
    <row r="13" spans="1:31" x14ac:dyDescent="0.25">
      <c r="D13" t="s">
        <v>19</v>
      </c>
      <c r="E13" s="11">
        <v>459</v>
      </c>
      <c r="F13" s="11">
        <v>990</v>
      </c>
      <c r="G13" s="11">
        <v>1467</v>
      </c>
      <c r="H13" s="11">
        <v>2063</v>
      </c>
      <c r="I13" s="11">
        <v>3615</v>
      </c>
      <c r="Q13" s="35" t="str">
        <f>D4</f>
        <v>09      Medical care and health expenses</v>
      </c>
      <c r="S13" s="35" t="s">
        <v>53</v>
      </c>
      <c r="T13">
        <f>T4*52*$B$1/10^9/5</f>
        <v>0.33502560000000009</v>
      </c>
      <c r="U13">
        <f t="shared" ref="U13:X13" si="18">U4*52*$B$1/10^9/5</f>
        <v>0.34349952000000017</v>
      </c>
      <c r="V13">
        <f t="shared" si="18"/>
        <v>0.59588256000000106</v>
      </c>
      <c r="W13">
        <f t="shared" si="18"/>
        <v>0.64096032000000025</v>
      </c>
      <c r="X13">
        <f t="shared" si="18"/>
        <v>0.95030208000000138</v>
      </c>
      <c r="Y13">
        <f>Y4*52*$B$1/10^9</f>
        <v>2.8654080000000008</v>
      </c>
      <c r="Z13">
        <v>3.1</v>
      </c>
      <c r="AA13">
        <f>Z13/Y13</f>
        <v>1.0818703654069506</v>
      </c>
      <c r="AB13">
        <f>AA13*SUM(T13:V13)</f>
        <v>1.3787439024390256</v>
      </c>
      <c r="AC13">
        <v>3.6</v>
      </c>
      <c r="AD13">
        <f>AB13*(AC13/Z13)</f>
        <v>1.6011219512195136</v>
      </c>
    </row>
    <row r="14" spans="1:31" x14ac:dyDescent="0.25">
      <c r="D14" t="s">
        <v>47</v>
      </c>
      <c r="E14" s="30">
        <f>0</f>
        <v>0</v>
      </c>
      <c r="F14" s="30">
        <v>30.37</v>
      </c>
      <c r="G14" s="30">
        <v>141.32</v>
      </c>
      <c r="H14" s="30">
        <v>310.58</v>
      </c>
      <c r="I14" s="30">
        <v>819.32</v>
      </c>
      <c r="J14" s="30">
        <v>260.19</v>
      </c>
      <c r="Q14" s="35" t="str">
        <f>D5</f>
        <v>Dollars per week on GST excluded food</v>
      </c>
      <c r="T14">
        <f t="shared" ref="T14:X17" si="19">T5*52*$B$1/10^9/5</f>
        <v>0.48213984000000049</v>
      </c>
      <c r="U14">
        <f t="shared" si="19"/>
        <v>0.63501984000000045</v>
      </c>
      <c r="V14">
        <f t="shared" si="19"/>
        <v>0.75915840000000112</v>
      </c>
      <c r="W14">
        <f t="shared" si="19"/>
        <v>0.91142688000000049</v>
      </c>
      <c r="X14">
        <f t="shared" si="19"/>
        <v>1.1244979200000011</v>
      </c>
      <c r="Y14">
        <f t="shared" ref="Y14:Y17" si="20">Y5*52*$B$1/10^9</f>
        <v>3.9137280000000034</v>
      </c>
      <c r="Z14">
        <v>5.2</v>
      </c>
      <c r="AA14">
        <f t="shared" ref="AA14:AA17" si="21">Z14/Y14</f>
        <v>1.328656462585033</v>
      </c>
      <c r="AB14">
        <f>AA14*SUM(T14:V14)</f>
        <v>2.4929821428571439</v>
      </c>
      <c r="AC14">
        <v>6.4</v>
      </c>
      <c r="AD14">
        <f t="shared" ref="AD14:AD17" si="22">AB14*(AC14/Z14)</f>
        <v>3.0682857142857158</v>
      </c>
    </row>
    <row r="15" spans="1:31" x14ac:dyDescent="0.25">
      <c r="D15" t="s">
        <v>50</v>
      </c>
      <c r="E15" s="30">
        <f>E14*52.5</f>
        <v>0</v>
      </c>
      <c r="F15" s="30">
        <f t="shared" ref="F15:J15" si="23">F14*52.5</f>
        <v>1594.425</v>
      </c>
      <c r="G15" s="30">
        <f t="shared" si="23"/>
        <v>7419.2999999999993</v>
      </c>
      <c r="H15" s="30">
        <f t="shared" si="23"/>
        <v>16305.449999999999</v>
      </c>
      <c r="I15" s="30">
        <f t="shared" si="23"/>
        <v>43014.3</v>
      </c>
      <c r="J15" s="30">
        <f t="shared" si="23"/>
        <v>13659.975</v>
      </c>
      <c r="Q15" s="35" t="str">
        <f>D6</f>
        <v>130202      Education fees for primary and secondary schools</v>
      </c>
      <c r="T15">
        <f t="shared" si="19"/>
        <v>1.7209920000000024E-2</v>
      </c>
      <c r="U15">
        <f t="shared" si="19"/>
        <v>6.4034880000000044E-2</v>
      </c>
      <c r="V15">
        <f t="shared" si="19"/>
        <v>0.13636896000000001</v>
      </c>
      <c r="W15">
        <f t="shared" si="19"/>
        <v>0.19516224000000015</v>
      </c>
      <c r="X15">
        <f t="shared" si="19"/>
        <v>0.43487808000000017</v>
      </c>
      <c r="Y15">
        <f t="shared" si="20"/>
        <v>0.84739200000000059</v>
      </c>
      <c r="AA15">
        <f t="shared" si="21"/>
        <v>0</v>
      </c>
      <c r="AB15">
        <f t="shared" ref="AB15:AB17" si="24">AA15*SUM(T15:V15)</f>
        <v>0</v>
      </c>
    </row>
    <row r="16" spans="1:31" x14ac:dyDescent="0.25">
      <c r="D16" t="s">
        <v>51</v>
      </c>
      <c r="E16" s="30"/>
      <c r="F16" s="32">
        <v>24209</v>
      </c>
      <c r="G16" s="32">
        <v>46675</v>
      </c>
      <c r="H16" s="32">
        <v>72240</v>
      </c>
      <c r="I16" s="32">
        <v>143025</v>
      </c>
      <c r="J16" s="32">
        <v>64254</v>
      </c>
      <c r="Q16" s="35" t="str">
        <f>D7</f>
        <v>130203      Education fees excluding primary and secondary school fees</v>
      </c>
      <c r="T16">
        <f t="shared" si="19"/>
        <v>3.3284160000000049E-2</v>
      </c>
      <c r="U16">
        <f t="shared" si="19"/>
        <v>4.0447680000000007E-2</v>
      </c>
      <c r="V16">
        <f t="shared" si="19"/>
        <v>9.1291200000000142E-2</v>
      </c>
      <c r="W16">
        <f t="shared" si="19"/>
        <v>0.11452896000000015</v>
      </c>
      <c r="X16">
        <f t="shared" si="19"/>
        <v>0.20809152000000011</v>
      </c>
      <c r="Y16">
        <f t="shared" si="20"/>
        <v>0.48746880000000065</v>
      </c>
      <c r="Z16">
        <v>2.9</v>
      </c>
      <c r="AA16">
        <f>Z16/(Y16+Y15)</f>
        <v>2.1725111712022684</v>
      </c>
      <c r="AB16">
        <f t="shared" si="24"/>
        <v>0.35851439790575917</v>
      </c>
      <c r="AC16">
        <v>4</v>
      </c>
      <c r="AD16">
        <f t="shared" si="22"/>
        <v>0.49450261780104715</v>
      </c>
    </row>
    <row r="17" spans="4:30" x14ac:dyDescent="0.25">
      <c r="D17" t="s">
        <v>48</v>
      </c>
      <c r="E17" s="30">
        <f>T9</f>
        <v>10.032000000000007</v>
      </c>
      <c r="F17" s="30">
        <f t="shared" ref="F17:J17" si="25">U9</f>
        <v>12.70700000000001</v>
      </c>
      <c r="G17" s="30">
        <f t="shared" si="25"/>
        <v>18.714000000000027</v>
      </c>
      <c r="H17" s="30">
        <f t="shared" si="25"/>
        <v>22.535000000000011</v>
      </c>
      <c r="I17" s="30">
        <f t="shared" si="25"/>
        <v>33.28300000000003</v>
      </c>
      <c r="J17" s="30">
        <f t="shared" si="25"/>
        <v>19.456000000000017</v>
      </c>
      <c r="Q17" s="35" t="str">
        <f>D8</f>
        <v>080105 Child care services</v>
      </c>
      <c r="T17">
        <f t="shared" si="19"/>
        <v>8.7360000000000076E-3</v>
      </c>
      <c r="U17">
        <f t="shared" si="19"/>
        <v>2.7081600000000039E-2</v>
      </c>
      <c r="V17">
        <f t="shared" si="19"/>
        <v>5.2153920000000034E-2</v>
      </c>
      <c r="W17">
        <f t="shared" si="19"/>
        <v>0.10657920000000005</v>
      </c>
      <c r="X17">
        <f t="shared" si="19"/>
        <v>0.18983328000000016</v>
      </c>
      <c r="Y17">
        <f t="shared" si="20"/>
        <v>0.38438400000000034</v>
      </c>
      <c r="Z17">
        <v>0.62</v>
      </c>
      <c r="AA17">
        <f t="shared" si="21"/>
        <v>1.6129703629703616</v>
      </c>
      <c r="AB17">
        <f t="shared" si="24"/>
        <v>0.14189545454545455</v>
      </c>
      <c r="AC17">
        <v>1.1000000000000001</v>
      </c>
      <c r="AD17">
        <f t="shared" si="22"/>
        <v>0.25175000000000003</v>
      </c>
    </row>
    <row r="18" spans="4:30" ht="15.75" x14ac:dyDescent="0.25">
      <c r="D18" t="s">
        <v>49</v>
      </c>
      <c r="E18" s="30">
        <f>E14-E17</f>
        <v>-10.032000000000007</v>
      </c>
      <c r="F18" s="30">
        <f t="shared" ref="F18:G18" si="26">F14-F17</f>
        <v>17.66299999999999</v>
      </c>
      <c r="G18" s="30">
        <f t="shared" si="26"/>
        <v>122.60599999999997</v>
      </c>
      <c r="H18" s="31">
        <f>H14</f>
        <v>310.58</v>
      </c>
      <c r="I18" s="31">
        <f>I14</f>
        <v>819.32</v>
      </c>
      <c r="J18" s="30"/>
      <c r="AD18" s="36">
        <f>SUM(AD13:AD17)</f>
        <v>5.415660283306277</v>
      </c>
    </row>
    <row r="19" spans="4:30" x14ac:dyDescent="0.25">
      <c r="D19" t="s">
        <v>45</v>
      </c>
      <c r="E19" s="30"/>
      <c r="F19" s="30">
        <f>52.5*F18</f>
        <v>927.30749999999944</v>
      </c>
      <c r="G19" s="30">
        <f t="shared" ref="G19:J19" si="27">52.5*G18</f>
        <v>6436.8149999999978</v>
      </c>
      <c r="H19" s="30">
        <f t="shared" si="27"/>
        <v>16305.449999999999</v>
      </c>
      <c r="I19" s="30">
        <f t="shared" si="27"/>
        <v>43014.3</v>
      </c>
      <c r="J19" s="30">
        <f t="shared" si="27"/>
        <v>0</v>
      </c>
    </row>
    <row r="20" spans="4:30" x14ac:dyDescent="0.25">
      <c r="E20" s="30"/>
      <c r="F20" s="30"/>
      <c r="G20" s="30"/>
      <c r="H20" s="30"/>
      <c r="I20" s="30"/>
      <c r="J20" s="30"/>
    </row>
    <row r="21" spans="4:30" x14ac:dyDescent="0.25">
      <c r="D21" s="16" t="s">
        <v>16</v>
      </c>
      <c r="E21" s="16" t="s">
        <v>2</v>
      </c>
      <c r="F21" s="16" t="s">
        <v>3</v>
      </c>
      <c r="G21" s="16" t="s">
        <v>4</v>
      </c>
      <c r="H21" s="16" t="s">
        <v>5</v>
      </c>
      <c r="I21" s="16" t="s">
        <v>6</v>
      </c>
      <c r="J21" s="16" t="s">
        <v>31</v>
      </c>
      <c r="K21" s="16"/>
    </row>
    <row r="22" spans="4:30" x14ac:dyDescent="0.25">
      <c r="D22" t="s">
        <v>13</v>
      </c>
      <c r="E22" s="13">
        <f t="shared" ref="E22:J22" si="28">E5/E12</f>
        <v>0.15330555555555556</v>
      </c>
      <c r="F22" s="13">
        <f t="shared" si="28"/>
        <v>9.3192307692307741E-2</v>
      </c>
      <c r="G22" s="13">
        <f t="shared" si="28"/>
        <v>6.5684051398337134E-2</v>
      </c>
      <c r="H22" s="13">
        <f t="shared" si="28"/>
        <v>5.1343503937007873E-2</v>
      </c>
      <c r="I22" s="13">
        <f t="shared" si="28"/>
        <v>3.2653475393201424E-2</v>
      </c>
      <c r="J22" s="13">
        <f t="shared" si="28"/>
        <v>5.3080568720379133E-2</v>
      </c>
      <c r="K22" s="13"/>
      <c r="L22" s="13"/>
      <c r="M22" s="13">
        <f>M5/E12</f>
        <v>0.16863611111111115</v>
      </c>
      <c r="N22" s="13">
        <f t="shared" ref="N22:R22" si="29">N5/F12</f>
        <v>0.10251153846153852</v>
      </c>
      <c r="O22" s="13">
        <f t="shared" si="29"/>
        <v>7.2252456538170862E-2</v>
      </c>
      <c r="P22" s="13">
        <f t="shared" si="29"/>
        <v>5.6477854330708663E-2</v>
      </c>
      <c r="Q22" s="13">
        <f t="shared" si="29"/>
        <v>3.591882293252157E-2</v>
      </c>
      <c r="R22" s="13">
        <f t="shared" si="29"/>
        <v>5.8388625592417052E-2</v>
      </c>
    </row>
    <row r="23" spans="4:30" x14ac:dyDescent="0.25">
      <c r="D23" t="s">
        <v>14</v>
      </c>
      <c r="E23" s="13">
        <f t="shared" ref="E23:J23" si="30">(E6+E7)/E12</f>
        <v>1.6055555555555556E-2</v>
      </c>
      <c r="F23" s="13">
        <f t="shared" si="30"/>
        <v>1.5333333333333334E-2</v>
      </c>
      <c r="G23" s="13">
        <f t="shared" si="30"/>
        <v>1.9697656840513982E-2</v>
      </c>
      <c r="H23" s="13">
        <f t="shared" si="30"/>
        <v>1.7445866141732286E-2</v>
      </c>
      <c r="I23" s="13">
        <f t="shared" si="30"/>
        <v>1.8670725520040586E-2</v>
      </c>
      <c r="J23" s="13">
        <f t="shared" si="30"/>
        <v>1.81042654028436E-2</v>
      </c>
      <c r="K23" s="13"/>
      <c r="M23" s="29">
        <f>(M6+M7)/E12</f>
        <v>1.7661111111111114E-2</v>
      </c>
      <c r="N23" s="29">
        <f t="shared" ref="N23:R23" si="31">(N6+N7)/F12</f>
        <v>1.6866666666666669E-2</v>
      </c>
      <c r="O23" s="29">
        <f t="shared" si="31"/>
        <v>2.1667422524565383E-2</v>
      </c>
      <c r="P23" s="29">
        <f t="shared" si="31"/>
        <v>1.9190452755905515E-2</v>
      </c>
      <c r="Q23" s="29">
        <f t="shared" si="31"/>
        <v>2.0537798072044651E-2</v>
      </c>
      <c r="R23" s="29">
        <f t="shared" si="31"/>
        <v>1.9914691943127963E-2</v>
      </c>
    </row>
    <row r="24" spans="4:30" x14ac:dyDescent="0.25">
      <c r="D24" t="s">
        <v>15</v>
      </c>
      <c r="E24" s="13">
        <f>E4/E12</f>
        <v>0.10652777777777778</v>
      </c>
      <c r="F24" s="13">
        <f t="shared" ref="F24:I24" si="32">F4/F12</f>
        <v>5.0410256410256413E-2</v>
      </c>
      <c r="G24" s="13">
        <f t="shared" si="32"/>
        <v>5.155706727135298E-2</v>
      </c>
      <c r="H24" s="13">
        <f t="shared" si="32"/>
        <v>3.610728346456693E-2</v>
      </c>
      <c r="I24" s="13">
        <f t="shared" si="32"/>
        <v>2.7595129375951294E-2</v>
      </c>
      <c r="J24" s="13">
        <f t="shared" ref="J24" si="33">J4/J12</f>
        <v>3.886255924170616E-2</v>
      </c>
      <c r="K24" s="13"/>
      <c r="M24" s="29">
        <f>M4/E12</f>
        <v>0.11718055555555557</v>
      </c>
      <c r="N24" s="29">
        <f t="shared" ref="N24:R24" si="34">N4/F12</f>
        <v>5.5451282051282053E-2</v>
      </c>
      <c r="O24" s="29">
        <f t="shared" si="34"/>
        <v>5.6712773998488286E-2</v>
      </c>
      <c r="P24" s="29">
        <f t="shared" si="34"/>
        <v>3.9718011811023628E-2</v>
      </c>
      <c r="Q24" s="29">
        <f t="shared" si="34"/>
        <v>3.0354642313546426E-2</v>
      </c>
      <c r="R24" s="29">
        <f t="shared" si="34"/>
        <v>4.2748815165876773E-2</v>
      </c>
    </row>
    <row r="25" spans="4:30" x14ac:dyDescent="0.25">
      <c r="D25" t="s">
        <v>21</v>
      </c>
      <c r="E25" s="13">
        <f>E8/E12</f>
        <v>2.7777777777777779E-3</v>
      </c>
      <c r="F25" s="13">
        <f t="shared" ref="F25:J25" si="35">F8/F12</f>
        <v>3.9743589743589745E-3</v>
      </c>
      <c r="G25" s="13">
        <f t="shared" si="35"/>
        <v>4.5124716553287978E-3</v>
      </c>
      <c r="H25" s="13">
        <f t="shared" si="35"/>
        <v>6.0039370078740157E-3</v>
      </c>
      <c r="I25" s="13">
        <f t="shared" si="35"/>
        <v>5.512430238457636E-3</v>
      </c>
      <c r="J25" s="13">
        <f t="shared" si="35"/>
        <v>5.2132701421800948E-3</v>
      </c>
      <c r="K25" s="13"/>
      <c r="M25" s="29">
        <f>M8/E12</f>
        <v>3.0555555555555557E-3</v>
      </c>
      <c r="N25" s="29">
        <f t="shared" ref="N25:R25" si="36">N8/F12</f>
        <v>4.3717948717948724E-3</v>
      </c>
      <c r="O25" s="29">
        <f t="shared" si="36"/>
        <v>4.9637188208616779E-3</v>
      </c>
      <c r="P25" s="29">
        <f t="shared" si="36"/>
        <v>6.6043307086614171E-3</v>
      </c>
      <c r="Q25" s="29">
        <f t="shared" si="36"/>
        <v>6.0636732623033998E-3</v>
      </c>
      <c r="R25" s="29">
        <f t="shared" si="36"/>
        <v>5.7345971563981055E-3</v>
      </c>
    </row>
    <row r="27" spans="4:30" x14ac:dyDescent="0.25">
      <c r="D27" s="16" t="s">
        <v>17</v>
      </c>
      <c r="E27" s="16"/>
      <c r="F27" s="16"/>
      <c r="G27" s="16"/>
      <c r="H27" s="16"/>
      <c r="I27" s="16"/>
      <c r="J27" s="16"/>
      <c r="K27" s="16"/>
    </row>
    <row r="28" spans="4:30" x14ac:dyDescent="0.25">
      <c r="D28" t="s">
        <v>13</v>
      </c>
      <c r="E28" s="12">
        <f>E5/E11</f>
        <v>9.8722810532341165E-2</v>
      </c>
      <c r="F28" s="12">
        <f t="shared" ref="F28:J28" si="37">F5/F11</f>
        <v>8.9196750681031778E-2</v>
      </c>
      <c r="G28" s="12">
        <f t="shared" si="37"/>
        <v>7.4307164784047502E-2</v>
      </c>
      <c r="H28" s="12">
        <f t="shared" si="37"/>
        <v>7.0519449795532124E-2</v>
      </c>
      <c r="I28" s="12">
        <f t="shared" si="37"/>
        <v>5.9599766638576884E-2</v>
      </c>
      <c r="J28" s="12">
        <f t="shared" si="37"/>
        <v>7.2475490989096308E-2</v>
      </c>
      <c r="K28" s="12"/>
    </row>
    <row r="29" spans="4:30" x14ac:dyDescent="0.25">
      <c r="D29" t="s">
        <v>18</v>
      </c>
      <c r="E29" s="12">
        <f>(E6+E7)/E11</f>
        <v>1.0339152833428737E-2</v>
      </c>
      <c r="F29" s="12">
        <f t="shared" ref="F29:J29" si="38">(F6+F7)/F11</f>
        <v>1.4675927062115002E-2</v>
      </c>
      <c r="G29" s="12">
        <f t="shared" si="38"/>
        <v>2.2283598553190759E-2</v>
      </c>
      <c r="H29" s="12">
        <f t="shared" si="38"/>
        <v>2.3961607354084289E-2</v>
      </c>
      <c r="I29" s="12">
        <f t="shared" si="38"/>
        <v>3.4078176076749983E-2</v>
      </c>
      <c r="J29" s="12">
        <f t="shared" si="38"/>
        <v>2.4719319248066779E-2</v>
      </c>
      <c r="K29" s="12"/>
    </row>
    <row r="30" spans="4:30" x14ac:dyDescent="0.25">
      <c r="D30" t="s">
        <v>15</v>
      </c>
      <c r="E30" s="12">
        <f>E4/E11</f>
        <v>6.8599742415569556E-2</v>
      </c>
      <c r="F30" s="12">
        <f t="shared" ref="F30:J30" si="39">F4/F11</f>
        <v>4.8248950843006844E-2</v>
      </c>
      <c r="G30" s="12">
        <f t="shared" si="39"/>
        <v>5.8325566282161997E-2</v>
      </c>
      <c r="H30" s="12">
        <f t="shared" si="39"/>
        <v>4.9592754064010279E-2</v>
      </c>
      <c r="I30" s="12">
        <f t="shared" si="39"/>
        <v>5.0367173826479116E-2</v>
      </c>
      <c r="J30" s="12">
        <f t="shared" si="39"/>
        <v>5.3062413045588376E-2</v>
      </c>
      <c r="K30" s="12"/>
    </row>
    <row r="31" spans="4:30" x14ac:dyDescent="0.25">
      <c r="D31" t="s">
        <v>30</v>
      </c>
      <c r="E31" s="12">
        <f>E8/E11</f>
        <v>1.788780767029193E-3</v>
      </c>
      <c r="F31" s="12">
        <f t="shared" ref="F31:J31" si="40">F8/F11</f>
        <v>3.803961027805728E-3</v>
      </c>
      <c r="G31" s="12">
        <f t="shared" si="40"/>
        <v>5.1048765680179907E-3</v>
      </c>
      <c r="H31" s="12">
        <f t="shared" si="40"/>
        <v>8.2463077495015039E-3</v>
      </c>
      <c r="I31" s="12">
        <f t="shared" si="40"/>
        <v>1.0061396279181754E-2</v>
      </c>
      <c r="J31" s="12">
        <f t="shared" si="40"/>
        <v>7.1181285792862462E-3</v>
      </c>
      <c r="K31" s="12"/>
    </row>
    <row r="32" spans="4:30" x14ac:dyDescent="0.25">
      <c r="D32" t="s">
        <v>40</v>
      </c>
      <c r="E32" s="12">
        <f>SUM(E4:E8)/E11</f>
        <v>0.17945048654836865</v>
      </c>
      <c r="F32" s="12">
        <f t="shared" ref="F32:J32" si="41">SUM(F4:F8)/F11</f>
        <v>0.15592558961395933</v>
      </c>
      <c r="G32" s="12">
        <f t="shared" si="41"/>
        <v>0.16002120618741825</v>
      </c>
      <c r="H32" s="12">
        <f t="shared" si="41"/>
        <v>0.15232011896312816</v>
      </c>
      <c r="I32" s="12">
        <f t="shared" si="41"/>
        <v>0.15410651282098775</v>
      </c>
      <c r="J32" s="12">
        <f t="shared" si="41"/>
        <v>0.15737535186203774</v>
      </c>
      <c r="K32" s="12"/>
    </row>
    <row r="34" spans="1:12" x14ac:dyDescent="0.25">
      <c r="D34" s="16" t="s">
        <v>39</v>
      </c>
      <c r="E34" s="16"/>
      <c r="F34" s="16"/>
      <c r="G34" s="16"/>
      <c r="H34" s="16"/>
      <c r="I34" s="16"/>
      <c r="J34" s="16"/>
      <c r="K34" s="16"/>
    </row>
    <row r="35" spans="1:12" x14ac:dyDescent="0.25">
      <c r="E35" s="13">
        <f>SUM(E4:E8)/SUM($E4:$I8)</f>
        <v>0.1031345416413936</v>
      </c>
      <c r="F35" s="13">
        <f t="shared" ref="F35:I35" si="42">SUM(F4:F8)/SUM($E4:$I8)</f>
        <v>0.13063502996782184</v>
      </c>
      <c r="G35" s="13">
        <f t="shared" si="42"/>
        <v>0.19239033216477669</v>
      </c>
      <c r="H35" s="13">
        <f t="shared" si="42"/>
        <v>0.23167233810693821</v>
      </c>
      <c r="I35" s="13">
        <f t="shared" si="42"/>
        <v>0.3421677581190693</v>
      </c>
      <c r="J35" s="13">
        <f>SUM(E35:I35)</f>
        <v>0.99999999999999967</v>
      </c>
    </row>
    <row r="37" spans="1:12" x14ac:dyDescent="0.25">
      <c r="A37" t="s">
        <v>20</v>
      </c>
    </row>
    <row r="38" spans="1:12" x14ac:dyDescent="0.25">
      <c r="D38" t="s">
        <v>33</v>
      </c>
    </row>
    <row r="40" spans="1:12" x14ac:dyDescent="0.25">
      <c r="D40" s="16" t="s">
        <v>34</v>
      </c>
      <c r="E40" s="15"/>
      <c r="F40" s="15"/>
      <c r="G40" s="15"/>
      <c r="H40" s="15"/>
      <c r="I40" s="15"/>
      <c r="J40" s="15"/>
      <c r="K40" s="15"/>
    </row>
    <row r="41" spans="1:12" x14ac:dyDescent="0.25">
      <c r="D41" s="39" t="s">
        <v>28</v>
      </c>
      <c r="E41" s="40"/>
      <c r="F41" s="40"/>
      <c r="G41" s="40"/>
      <c r="H41" s="40"/>
      <c r="I41" s="40"/>
      <c r="J41" s="40"/>
      <c r="K41" s="40"/>
      <c r="L41" s="40"/>
    </row>
    <row r="42" spans="1:12" x14ac:dyDescent="0.25">
      <c r="D42" s="41" t="s">
        <v>29</v>
      </c>
      <c r="E42" s="40"/>
      <c r="F42" s="40"/>
      <c r="G42" s="40"/>
      <c r="H42" s="40"/>
      <c r="I42" s="40"/>
      <c r="J42" s="40"/>
      <c r="K42" s="19"/>
    </row>
    <row r="44" spans="1:12" x14ac:dyDescent="0.25">
      <c r="D44" t="s">
        <v>22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 t="s">
        <v>27</v>
      </c>
    </row>
    <row r="45" spans="1:12" x14ac:dyDescent="0.25">
      <c r="D45" t="s">
        <v>23</v>
      </c>
      <c r="E45">
        <v>10.8</v>
      </c>
      <c r="F45">
        <v>9.74</v>
      </c>
      <c r="G45">
        <v>8.14</v>
      </c>
      <c r="H45">
        <v>7.7</v>
      </c>
      <c r="I45">
        <v>6.53</v>
      </c>
      <c r="J45">
        <v>7.93</v>
      </c>
    </row>
    <row r="46" spans="1:12" x14ac:dyDescent="0.25">
      <c r="D46" t="s">
        <v>18</v>
      </c>
      <c r="E46">
        <v>1.03</v>
      </c>
      <c r="F46">
        <v>1.47</v>
      </c>
      <c r="G46">
        <v>2.23</v>
      </c>
      <c r="H46">
        <v>2.4</v>
      </c>
      <c r="I46">
        <v>3.41</v>
      </c>
      <c r="J46">
        <v>2.4700000000000002</v>
      </c>
    </row>
    <row r="47" spans="1:12" x14ac:dyDescent="0.25">
      <c r="D47" t="s">
        <v>24</v>
      </c>
      <c r="E47">
        <v>0.2</v>
      </c>
      <c r="F47">
        <v>0.4</v>
      </c>
      <c r="G47">
        <v>0.5</v>
      </c>
      <c r="H47">
        <v>0.8</v>
      </c>
      <c r="I47">
        <v>1</v>
      </c>
      <c r="J47">
        <v>0.7</v>
      </c>
    </row>
    <row r="48" spans="1:12" x14ac:dyDescent="0.25">
      <c r="D48" t="s">
        <v>25</v>
      </c>
      <c r="E48">
        <v>6.86</v>
      </c>
      <c r="F48">
        <v>4.82</v>
      </c>
      <c r="G48">
        <v>5.83</v>
      </c>
      <c r="H48">
        <v>4.96</v>
      </c>
      <c r="I48">
        <v>5.04</v>
      </c>
      <c r="J48">
        <v>5.31</v>
      </c>
    </row>
    <row r="49" spans="4:11" x14ac:dyDescent="0.25">
      <c r="D49" t="s">
        <v>26</v>
      </c>
      <c r="E49">
        <v>18.88</v>
      </c>
      <c r="F49">
        <v>16.41</v>
      </c>
      <c r="G49">
        <v>16.71</v>
      </c>
      <c r="H49">
        <v>15.88</v>
      </c>
      <c r="I49">
        <v>15.98</v>
      </c>
      <c r="J49">
        <v>16.420000000000002</v>
      </c>
    </row>
    <row r="52" spans="4:11" ht="26.25" x14ac:dyDescent="0.25">
      <c r="D52" s="22" t="s">
        <v>35</v>
      </c>
      <c r="E52" s="25" t="s">
        <v>2</v>
      </c>
      <c r="F52" s="25" t="s">
        <v>3</v>
      </c>
      <c r="G52" s="25" t="s">
        <v>4</v>
      </c>
      <c r="H52" s="25" t="s">
        <v>5</v>
      </c>
      <c r="I52" s="25" t="s">
        <v>6</v>
      </c>
      <c r="J52" s="25" t="s">
        <v>7</v>
      </c>
      <c r="K52" s="21"/>
    </row>
    <row r="53" spans="4:11" x14ac:dyDescent="0.25">
      <c r="D53" t="s">
        <v>41</v>
      </c>
      <c r="E53">
        <v>6400</v>
      </c>
    </row>
    <row r="54" spans="4:11" x14ac:dyDescent="0.25">
      <c r="D54" t="s">
        <v>36</v>
      </c>
      <c r="E54" s="23">
        <f>E5/SUM($E5:$I5)*$E53</f>
        <v>788.72786548467047</v>
      </c>
      <c r="F54" s="23">
        <f>F5/SUM($E5:$I5)*$E53</f>
        <v>1038.8227675680507</v>
      </c>
      <c r="G54" s="23">
        <f>G5/SUM($E5:$I5)*$E53</f>
        <v>1241.899828059755</v>
      </c>
      <c r="H54" s="23">
        <f>H5/SUM($E5:$I5)*$E53</f>
        <v>1490.9943505348008</v>
      </c>
      <c r="I54" s="23">
        <f>I5/SUM($E5:$I5)*$E53</f>
        <v>1839.5551883527232</v>
      </c>
      <c r="J54" s="23"/>
    </row>
    <row r="55" spans="4:11" x14ac:dyDescent="0.25">
      <c r="D55" t="s">
        <v>42</v>
      </c>
      <c r="E55" s="24">
        <f>[1]Table_1_1!$F$12</f>
        <v>9093668</v>
      </c>
      <c r="F55" s="23"/>
      <c r="G55" s="23"/>
      <c r="H55" s="23"/>
      <c r="I55" s="23"/>
      <c r="J55" s="23"/>
    </row>
    <row r="56" spans="4:11" x14ac:dyDescent="0.25">
      <c r="D56" t="s">
        <v>37</v>
      </c>
      <c r="E56" s="24">
        <f>0.2*$E55</f>
        <v>1818733.6</v>
      </c>
      <c r="F56" s="24">
        <f t="shared" ref="F56:I56" si="43">0.2*$E55</f>
        <v>1818733.6</v>
      </c>
      <c r="G56" s="24">
        <f t="shared" si="43"/>
        <v>1818733.6</v>
      </c>
      <c r="H56" s="24">
        <f t="shared" si="43"/>
        <v>1818733.6</v>
      </c>
      <c r="I56" s="24">
        <f t="shared" si="43"/>
        <v>1818733.6</v>
      </c>
      <c r="J56" s="23"/>
    </row>
    <row r="57" spans="4:11" x14ac:dyDescent="0.25">
      <c r="D57" t="s">
        <v>38</v>
      </c>
      <c r="E57" s="24">
        <f>(E54*1000000)/E56</f>
        <v>433.66871623456592</v>
      </c>
      <c r="F57" s="24">
        <f t="shared" ref="F57:I57" si="44">(F54*1000000)/F56</f>
        <v>571.1791807046676</v>
      </c>
      <c r="G57" s="24">
        <f t="shared" si="44"/>
        <v>682.83767785438999</v>
      </c>
      <c r="H57" s="24">
        <f t="shared" si="44"/>
        <v>819.79810046661078</v>
      </c>
      <c r="I57" s="24">
        <f t="shared" si="44"/>
        <v>1011.4483992337982</v>
      </c>
      <c r="J57" s="23"/>
    </row>
  </sheetData>
  <mergeCells count="3">
    <mergeCell ref="E2:I2"/>
    <mergeCell ref="D41:L41"/>
    <mergeCell ref="D42:J4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38" sqref="D38"/>
    </sheetView>
  </sheetViews>
  <sheetFormatPr defaultRowHeight="15" x14ac:dyDescent="0.25"/>
  <sheetData>
    <row r="1" spans="1:7" x14ac:dyDescent="0.25">
      <c r="A1" t="s">
        <v>60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0</v>
      </c>
      <c r="B2">
        <v>38.35</v>
      </c>
      <c r="C2">
        <v>39.32</v>
      </c>
      <c r="D2">
        <v>68.209999999999994</v>
      </c>
      <c r="E2">
        <v>73.37</v>
      </c>
      <c r="F2">
        <v>108.78</v>
      </c>
      <c r="G2">
        <v>65.599999999999994</v>
      </c>
    </row>
    <row r="3" spans="1:7" x14ac:dyDescent="0.25">
      <c r="A3" t="s">
        <v>8</v>
      </c>
      <c r="B3">
        <v>55.190000000000005</v>
      </c>
      <c r="C3">
        <v>72.69000000000004</v>
      </c>
      <c r="D3">
        <v>86.900000000000034</v>
      </c>
      <c r="E3">
        <v>104.33</v>
      </c>
      <c r="F3">
        <v>128.72000000000003</v>
      </c>
      <c r="G3">
        <v>89.59999999999998</v>
      </c>
    </row>
    <row r="4" spans="1:7" x14ac:dyDescent="0.25">
      <c r="A4" t="s">
        <v>9</v>
      </c>
      <c r="B4">
        <v>1.97</v>
      </c>
      <c r="C4">
        <v>7.33</v>
      </c>
      <c r="D4">
        <v>15.61</v>
      </c>
      <c r="E4">
        <v>22.34</v>
      </c>
      <c r="F4">
        <v>49.78</v>
      </c>
      <c r="G4">
        <v>19.399999999999999</v>
      </c>
    </row>
    <row r="5" spans="1:7" x14ac:dyDescent="0.25">
      <c r="A5" t="s">
        <v>10</v>
      </c>
      <c r="B5">
        <v>3.81</v>
      </c>
      <c r="C5">
        <v>4.63</v>
      </c>
      <c r="D5">
        <v>10.45</v>
      </c>
      <c r="E5">
        <v>13.11</v>
      </c>
      <c r="F5">
        <v>23.82</v>
      </c>
      <c r="G5">
        <v>11.16</v>
      </c>
    </row>
    <row r="6" spans="1:7" x14ac:dyDescent="0.25">
      <c r="A6" t="s">
        <v>32</v>
      </c>
      <c r="B6">
        <v>1</v>
      </c>
      <c r="C6">
        <v>3.1</v>
      </c>
      <c r="D6">
        <v>5.97</v>
      </c>
      <c r="E6">
        <v>12.2</v>
      </c>
      <c r="F6">
        <v>21.73</v>
      </c>
      <c r="G6">
        <v>8.8000000000000007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Wkly_exp_by_gross_quintile</vt:lpstr>
      <vt:lpstr>Sheet3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Savage</dc:creator>
  <cp:lastModifiedBy>Hugh Parsonage</cp:lastModifiedBy>
  <dcterms:created xsi:type="dcterms:W3CDTF">2013-11-13T06:57:30Z</dcterms:created>
  <dcterms:modified xsi:type="dcterms:W3CDTF">2015-10-25T23:23:08Z</dcterms:modified>
</cp:coreProperties>
</file>