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lei\fleishco\financials\"/>
    </mc:Choice>
  </mc:AlternateContent>
  <xr:revisionPtr revIDLastSave="0" documentId="13_ncr:1_{6BFBCCA4-1061-437D-BF39-BDB3880805E3}" xr6:coauthVersionLast="45" xr6:coauthVersionMax="45" xr10:uidLastSave="{00000000-0000-0000-0000-000000000000}"/>
  <bookViews>
    <workbookView xWindow="3370" yWindow="2060" windowWidth="28800" windowHeight="15460" xr2:uid="{F286A124-1441-411A-B959-6CC53B0146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0" i="1" l="1"/>
  <c r="Q21" i="1"/>
  <c r="Q22" i="1"/>
  <c r="Q23" i="1"/>
  <c r="Q24" i="1"/>
  <c r="Q25" i="1"/>
  <c r="Q26" i="1"/>
  <c r="Q27" i="1"/>
  <c r="Q28" i="1"/>
  <c r="Q29" i="1"/>
  <c r="Q30" i="1"/>
  <c r="Q31" i="1"/>
  <c r="R22" i="1"/>
  <c r="L32" i="1"/>
  <c r="L33" i="1" s="1"/>
  <c r="L34" i="1" s="1"/>
  <c r="K32" i="1"/>
  <c r="K33" i="1" s="1"/>
  <c r="K34" i="1" s="1"/>
  <c r="L28" i="1"/>
  <c r="L29" i="1" s="1"/>
  <c r="L30" i="1" s="1"/>
  <c r="K28" i="1"/>
  <c r="K29" i="1" s="1"/>
  <c r="K30" i="1" s="1"/>
  <c r="L24" i="1"/>
  <c r="L25" i="1" s="1"/>
  <c r="L26" i="1" s="1"/>
  <c r="K24" i="1"/>
  <c r="K25" i="1" s="1"/>
  <c r="K26" i="1" s="1"/>
  <c r="K21" i="1"/>
  <c r="K22" i="1" s="1"/>
  <c r="L21" i="1"/>
  <c r="L22" i="1" s="1"/>
  <c r="R32" i="1"/>
  <c r="R33" i="1"/>
  <c r="R34" i="1"/>
  <c r="R20" i="1"/>
  <c r="R5" i="1"/>
  <c r="R6" i="1"/>
  <c r="R7" i="1"/>
  <c r="R8" i="1"/>
  <c r="R9" i="1"/>
  <c r="R10" i="1"/>
  <c r="R11" i="1"/>
  <c r="R12" i="1"/>
  <c r="R13" i="1"/>
  <c r="R14" i="1"/>
  <c r="R4" i="1"/>
  <c r="F5" i="1"/>
  <c r="F6" i="1"/>
  <c r="F7" i="1"/>
  <c r="F8" i="1"/>
  <c r="F9" i="1"/>
  <c r="F10" i="1"/>
  <c r="F11" i="1"/>
  <c r="F12" i="1"/>
  <c r="F13" i="1"/>
  <c r="F14" i="1"/>
  <c r="F4" i="1"/>
  <c r="P23" i="1"/>
  <c r="P27" i="1"/>
  <c r="P31" i="1"/>
  <c r="N22" i="1"/>
  <c r="O23" i="1"/>
  <c r="O27" i="1"/>
  <c r="O31" i="1"/>
  <c r="C33" i="1"/>
  <c r="C32" i="1" s="1"/>
  <c r="C31" i="1" s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R21" i="1" l="1"/>
  <c r="R24" i="1"/>
  <c r="R26" i="1"/>
  <c r="R25" i="1"/>
  <c r="R23" i="1"/>
  <c r="R27" i="1"/>
  <c r="T4" i="1"/>
  <c r="S4" i="1"/>
  <c r="V4" i="1"/>
  <c r="U4" i="1"/>
  <c r="G4" i="1"/>
  <c r="I8" i="1"/>
  <c r="G14" i="1"/>
  <c r="G13" i="1"/>
  <c r="G12" i="1"/>
  <c r="G11" i="1"/>
  <c r="G10" i="1"/>
  <c r="G9" i="1"/>
  <c r="G8" i="1"/>
  <c r="G7" i="1"/>
  <c r="G6" i="1"/>
  <c r="G5" i="1"/>
  <c r="J8" i="1"/>
  <c r="R28" i="1" l="1"/>
  <c r="R29" i="1"/>
  <c r="C6" i="1"/>
  <c r="C7" i="1" l="1"/>
  <c r="C8" i="1" s="1"/>
  <c r="C9" i="1" s="1"/>
  <c r="C10" i="1" s="1"/>
  <c r="C11" i="1" s="1"/>
  <c r="C12" i="1" s="1"/>
  <c r="R31" i="1" l="1"/>
  <c r="R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Fleisher</author>
  </authors>
  <commentList>
    <comment ref="U5" authorId="0" shapeId="0" xr:uid="{F7E52E3B-E392-4664-B7D2-BBB125FEB157}">
      <text>
        <r>
          <rPr>
            <b/>
            <sz val="9"/>
            <color indexed="81"/>
            <rFont val="Tahoma"/>
            <family val="2"/>
          </rPr>
          <t>Christopher Fleisher:</t>
        </r>
        <r>
          <rPr>
            <sz val="9"/>
            <color indexed="81"/>
            <rFont val="Tahoma"/>
            <family val="2"/>
          </rPr>
          <t xml:space="preserve">
roughly double</t>
        </r>
      </text>
    </comment>
    <comment ref="V5" authorId="0" shapeId="0" xr:uid="{C8BC25D3-2AB6-4CD1-824A-8F73AF55821E}">
      <text>
        <r>
          <rPr>
            <b/>
            <sz val="9"/>
            <color indexed="81"/>
            <rFont val="Tahoma"/>
            <family val="2"/>
          </rPr>
          <t>Christopher Fleisher:</t>
        </r>
        <r>
          <rPr>
            <sz val="9"/>
            <color indexed="81"/>
            <rFont val="Tahoma"/>
            <family val="2"/>
          </rPr>
          <t xml:space="preserve">
low end of investor pres guide from 1/8/2017 of 0-26.6</t>
        </r>
      </text>
    </comment>
  </commentList>
</comments>
</file>

<file path=xl/sharedStrings.xml><?xml version="1.0" encoding="utf-8"?>
<sst xmlns="http://schemas.openxmlformats.org/spreadsheetml/2006/main" count="92" uniqueCount="39">
  <si>
    <t>PRPL</t>
  </si>
  <si>
    <t>Sales</t>
  </si>
  <si>
    <t>Adj EBITDA</t>
  </si>
  <si>
    <t>Class A</t>
  </si>
  <si>
    <t>Class B</t>
  </si>
  <si>
    <t>Cash</t>
  </si>
  <si>
    <t>Debt</t>
  </si>
  <si>
    <t>RSUs</t>
  </si>
  <si>
    <t>* PF for Purple Innovation transaction</t>
  </si>
  <si>
    <t>*</t>
  </si>
  <si>
    <t>Period</t>
  </si>
  <si>
    <t>Release</t>
  </si>
  <si>
    <t>launched 8mm share secondary with 1.5mm upsize</t>
  </si>
  <si>
    <t>priced upsized 10mm share secondary with 1.5mm upsize</t>
  </si>
  <si>
    <t>Q3 results</t>
  </si>
  <si>
    <t>Q2 results</t>
  </si>
  <si>
    <t>Q1 results</t>
  </si>
  <si>
    <t>Q4 results</t>
  </si>
  <si>
    <t>Fwd Q Sales</t>
  </si>
  <si>
    <t>Fwd Q Adj EBITDA</t>
  </si>
  <si>
    <t>Fwd Y Sales</t>
  </si>
  <si>
    <t>Fwd Y EBITDA</t>
  </si>
  <si>
    <t>Merger completed</t>
  </si>
  <si>
    <t>Event</t>
  </si>
  <si>
    <t>TPX</t>
  </si>
  <si>
    <t>LEG</t>
  </si>
  <si>
    <t>SNBR</t>
  </si>
  <si>
    <t>ZZZ CN</t>
  </si>
  <si>
    <t>Op Lease</t>
  </si>
  <si>
    <t>Strike</t>
  </si>
  <si>
    <t>Warrants</t>
  </si>
  <si>
    <t>Common</t>
  </si>
  <si>
    <t>Adj EBITDAR</t>
  </si>
  <si>
    <t>Options</t>
  </si>
  <si>
    <t>* options and strike based on 2015-12-31</t>
  </si>
  <si>
    <t>* **</t>
  </si>
  <si>
    <t>**</t>
  </si>
  <si>
    <t>** run rate lease expense</t>
  </si>
  <si>
    <t>add implied adj ebitda to snbr fwd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</si>
</sst>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);\(#,##0.0\)"/>
  </numFmts>
  <fonts count="5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39" fontId="1" fillId="0" borderId="0" xfId="0" applyNumberFormat="1" applyFont="1"/>
    <xf numFmtId="164" fontId="4" fillId="0" borderId="0" xfId="0" applyNumberFormat="1" applyFont="1"/>
    <xf numFmtId="3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2F78A-FD3F-46C5-A55D-09D2971DD109}">
  <dimension ref="A2:W44"/>
  <sheetViews>
    <sheetView tabSelected="1" workbookViewId="0">
      <pane xSplit="3" ySplit="19" topLeftCell="D20" activePane="bottomRight" state="frozen"/>
      <selection pane="topRight" activeCell="D1" sqref="D1"/>
      <selection pane="bottomLeft" activeCell="A20" sqref="A20"/>
      <selection pane="bottomRight" activeCell="E39" sqref="E39"/>
    </sheetView>
  </sheetViews>
  <sheetFormatPr defaultRowHeight="14.5" x14ac:dyDescent="0.35"/>
  <cols>
    <col min="2" max="3" width="10.453125" bestFit="1" customWidth="1"/>
    <col min="5" max="5" width="9.453125" bestFit="1" customWidth="1"/>
    <col min="6" max="12" width="9.453125" customWidth="1"/>
  </cols>
  <sheetData>
    <row r="2" spans="1:23" x14ac:dyDescent="0.35">
      <c r="B2" t="s">
        <v>0</v>
      </c>
    </row>
    <row r="3" spans="1:23" x14ac:dyDescent="0.35">
      <c r="B3" t="s">
        <v>11</v>
      </c>
      <c r="C3" t="s">
        <v>10</v>
      </c>
      <c r="D3" t="s">
        <v>3</v>
      </c>
      <c r="E3" t="s">
        <v>4</v>
      </c>
      <c r="F3" t="s">
        <v>31</v>
      </c>
      <c r="G3" t="s">
        <v>30</v>
      </c>
      <c r="H3" t="s">
        <v>29</v>
      </c>
      <c r="I3" t="s">
        <v>7</v>
      </c>
      <c r="J3" t="s">
        <v>29</v>
      </c>
      <c r="K3" t="s">
        <v>33</v>
      </c>
      <c r="L3" t="s">
        <v>29</v>
      </c>
      <c r="M3" t="s">
        <v>6</v>
      </c>
      <c r="N3" t="s">
        <v>5</v>
      </c>
      <c r="O3" t="s">
        <v>1</v>
      </c>
      <c r="P3" t="s">
        <v>2</v>
      </c>
      <c r="Q3" t="s">
        <v>28</v>
      </c>
      <c r="R3" t="s">
        <v>32</v>
      </c>
      <c r="S3" t="s">
        <v>18</v>
      </c>
      <c r="T3" t="s">
        <v>19</v>
      </c>
      <c r="U3" t="s">
        <v>20</v>
      </c>
      <c r="V3" t="s">
        <v>21</v>
      </c>
      <c r="W3" t="s">
        <v>23</v>
      </c>
    </row>
    <row r="4" spans="1:23" x14ac:dyDescent="0.35">
      <c r="A4" t="s">
        <v>9</v>
      </c>
      <c r="B4" s="2">
        <v>43174</v>
      </c>
      <c r="C4" s="2">
        <v>43100</v>
      </c>
      <c r="D4" s="3">
        <v>9.682855</v>
      </c>
      <c r="E4" s="3">
        <v>44.071317999999998</v>
      </c>
      <c r="F4" s="6">
        <f>+E4+D4</f>
        <v>53.754172999999994</v>
      </c>
      <c r="G4" s="3">
        <f t="shared" ref="G4:G9" si="0">(15500+12800)/1000</f>
        <v>28.3</v>
      </c>
      <c r="H4" s="5">
        <v>11.5</v>
      </c>
      <c r="I4" s="3"/>
      <c r="J4" s="5"/>
      <c r="K4" s="5"/>
      <c r="L4" s="5"/>
      <c r="M4" s="3">
        <v>19.081</v>
      </c>
      <c r="N4" s="3">
        <v>26.843</v>
      </c>
      <c r="O4" s="3">
        <v>63.039000000000001</v>
      </c>
      <c r="P4" s="3">
        <v>-3.165</v>
      </c>
      <c r="Q4" s="3">
        <v>0</v>
      </c>
      <c r="R4" s="6">
        <f>+Q4+P4</f>
        <v>-3.165</v>
      </c>
      <c r="S4" s="3">
        <f>192-133.8</f>
        <v>58.199999999999989</v>
      </c>
      <c r="T4" s="3">
        <f>-1.5-2.1</f>
        <v>-3.6</v>
      </c>
      <c r="U4" s="3">
        <f>+(370+480)/2</f>
        <v>425</v>
      </c>
      <c r="V4" s="3">
        <f>+(0+26.6)/2</f>
        <v>13.3</v>
      </c>
      <c r="W4" t="s">
        <v>22</v>
      </c>
    </row>
    <row r="5" spans="1:23" x14ac:dyDescent="0.35">
      <c r="A5" t="s">
        <v>9</v>
      </c>
      <c r="B5" s="2">
        <v>43174</v>
      </c>
      <c r="C5" s="2">
        <v>43100</v>
      </c>
      <c r="D5" s="3">
        <v>9.682855</v>
      </c>
      <c r="E5" s="3">
        <v>44.071317999999998</v>
      </c>
      <c r="F5" s="6">
        <f t="shared" ref="F5:F14" si="1">+E5+D5</f>
        <v>53.754172999999994</v>
      </c>
      <c r="G5" s="3">
        <f t="shared" si="0"/>
        <v>28.3</v>
      </c>
      <c r="H5" s="5">
        <v>11.5</v>
      </c>
      <c r="I5" s="3"/>
      <c r="J5" s="5"/>
      <c r="K5" s="5"/>
      <c r="L5" s="5"/>
      <c r="M5" s="3">
        <v>19.081</v>
      </c>
      <c r="N5" s="3">
        <v>26.843</v>
      </c>
      <c r="O5" s="3">
        <v>63.039000000000001</v>
      </c>
      <c r="P5" s="3">
        <v>-3.165</v>
      </c>
      <c r="Q5" s="3">
        <v>0</v>
      </c>
      <c r="R5" s="6">
        <f t="shared" ref="R5:R14" si="2">+Q5+P5</f>
        <v>-3.165</v>
      </c>
      <c r="S5" s="3">
        <v>54.5</v>
      </c>
      <c r="T5" s="3">
        <v>-2.75</v>
      </c>
      <c r="U5" s="3">
        <v>384</v>
      </c>
      <c r="V5" s="3">
        <v>0</v>
      </c>
      <c r="W5" t="s">
        <v>17</v>
      </c>
    </row>
    <row r="6" spans="1:23" x14ac:dyDescent="0.35">
      <c r="B6" s="2">
        <v>43235</v>
      </c>
      <c r="C6" s="1">
        <f t="shared" ref="C6:C12" si="3">+EOMONTH(C5,3)</f>
        <v>43190</v>
      </c>
      <c r="D6" s="3">
        <v>9.682855</v>
      </c>
      <c r="E6" s="3">
        <v>44.071317999999998</v>
      </c>
      <c r="F6" s="6">
        <f t="shared" si="1"/>
        <v>53.754172999999994</v>
      </c>
      <c r="G6" s="3">
        <f t="shared" si="0"/>
        <v>28.3</v>
      </c>
      <c r="H6" s="5">
        <v>11.5</v>
      </c>
      <c r="I6" s="3"/>
      <c r="J6" s="5"/>
      <c r="K6" s="5"/>
      <c r="L6" s="5"/>
      <c r="M6" s="3">
        <v>19.081</v>
      </c>
      <c r="N6" s="3">
        <v>26.843</v>
      </c>
      <c r="O6" s="3">
        <v>60.768000000000001</v>
      </c>
      <c r="P6" s="3">
        <v>-0.77100000000000002</v>
      </c>
      <c r="Q6" s="3">
        <v>0</v>
      </c>
      <c r="R6" s="6">
        <f t="shared" si="2"/>
        <v>-0.77100000000000002</v>
      </c>
      <c r="S6" s="3">
        <v>71.5</v>
      </c>
      <c r="T6" s="3">
        <v>-2</v>
      </c>
      <c r="U6" s="3">
        <v>300</v>
      </c>
      <c r="V6" s="3">
        <v>0</v>
      </c>
      <c r="W6" t="s">
        <v>16</v>
      </c>
    </row>
    <row r="7" spans="1:23" x14ac:dyDescent="0.35">
      <c r="B7" s="2">
        <v>43321</v>
      </c>
      <c r="C7" s="1">
        <f t="shared" si="3"/>
        <v>43281</v>
      </c>
      <c r="D7" s="3">
        <v>9.7306360000000005</v>
      </c>
      <c r="E7" s="3">
        <v>44.071317999999998</v>
      </c>
      <c r="F7" s="6">
        <f t="shared" si="1"/>
        <v>53.801953999999995</v>
      </c>
      <c r="G7" s="3">
        <f t="shared" si="0"/>
        <v>28.3</v>
      </c>
      <c r="H7" s="5">
        <v>11.5</v>
      </c>
      <c r="I7" s="3"/>
      <c r="J7" s="5"/>
      <c r="K7" s="5"/>
      <c r="L7" s="5"/>
      <c r="M7" s="3">
        <v>20.018999999999998</v>
      </c>
      <c r="N7" s="3">
        <v>10.430999999999999</v>
      </c>
      <c r="O7" s="3">
        <v>75.760000000000005</v>
      </c>
      <c r="P7" s="3">
        <v>-3.5310000000000001</v>
      </c>
      <c r="Q7" s="3">
        <v>0</v>
      </c>
      <c r="R7" s="6">
        <f t="shared" si="2"/>
        <v>-3.5310000000000001</v>
      </c>
      <c r="S7" s="3">
        <v>73</v>
      </c>
      <c r="T7" s="3">
        <v>0</v>
      </c>
      <c r="U7" s="3">
        <v>300</v>
      </c>
      <c r="V7" s="3">
        <v>0</v>
      </c>
      <c r="W7" t="s">
        <v>15</v>
      </c>
    </row>
    <row r="8" spans="1:23" x14ac:dyDescent="0.35">
      <c r="B8" s="2">
        <v>43418</v>
      </c>
      <c r="C8" s="1">
        <f t="shared" si="3"/>
        <v>43373</v>
      </c>
      <c r="D8" s="3">
        <v>9.7306360000000005</v>
      </c>
      <c r="E8" s="3">
        <v>44.071317999999998</v>
      </c>
      <c r="F8" s="6">
        <f t="shared" si="1"/>
        <v>53.801953999999995</v>
      </c>
      <c r="G8" s="3">
        <f t="shared" si="0"/>
        <v>28.3</v>
      </c>
      <c r="H8" s="5">
        <v>11.5</v>
      </c>
      <c r="I8" s="3">
        <f>(500+370)/1000</f>
        <v>0.87</v>
      </c>
      <c r="J8" s="5">
        <f>5.95*8/8.7+6.08*0.7/8.7</f>
        <v>5.9604597701149435</v>
      </c>
      <c r="K8" s="5"/>
      <c r="L8" s="5"/>
      <c r="M8" s="3">
        <v>20.695</v>
      </c>
      <c r="N8" s="3">
        <v>7.665</v>
      </c>
      <c r="O8" s="3">
        <v>70.805999999999997</v>
      </c>
      <c r="P8" s="3">
        <v>-2.746</v>
      </c>
      <c r="Q8" s="3">
        <v>0</v>
      </c>
      <c r="R8" s="6">
        <f t="shared" si="2"/>
        <v>-2.746</v>
      </c>
      <c r="S8" s="3">
        <v>78</v>
      </c>
      <c r="T8" s="3">
        <v>1</v>
      </c>
      <c r="U8" s="3">
        <v>285</v>
      </c>
      <c r="V8" s="3">
        <v>-6</v>
      </c>
      <c r="W8" t="s">
        <v>14</v>
      </c>
    </row>
    <row r="9" spans="1:23" x14ac:dyDescent="0.35">
      <c r="B9" s="2">
        <v>43536</v>
      </c>
      <c r="C9" s="1">
        <f t="shared" si="3"/>
        <v>43465</v>
      </c>
      <c r="D9" s="3">
        <v>9.7306360000000005</v>
      </c>
      <c r="E9" s="3">
        <v>44.071317999999998</v>
      </c>
      <c r="F9" s="6">
        <f t="shared" si="1"/>
        <v>53.801953999999995</v>
      </c>
      <c r="G9" s="3">
        <f t="shared" si="0"/>
        <v>28.3</v>
      </c>
      <c r="H9" s="5">
        <v>11.5</v>
      </c>
      <c r="I9" s="3">
        <v>0.93300000000000005</v>
      </c>
      <c r="J9" s="5">
        <v>5.96</v>
      </c>
      <c r="K9" s="5"/>
      <c r="L9" s="5"/>
      <c r="M9" s="3">
        <v>21.411000000000001</v>
      </c>
      <c r="N9" s="3">
        <v>12.231999999999999</v>
      </c>
      <c r="O9" s="3">
        <v>78.456999999999994</v>
      </c>
      <c r="P9" s="3">
        <v>-3.6779999999999999</v>
      </c>
      <c r="Q9" s="3">
        <v>0</v>
      </c>
      <c r="R9" s="6">
        <f t="shared" si="2"/>
        <v>-3.6779999999999999</v>
      </c>
      <c r="S9" s="3"/>
      <c r="T9" s="3"/>
      <c r="U9" s="3">
        <v>362.5</v>
      </c>
      <c r="V9" s="3">
        <v>5.5</v>
      </c>
      <c r="W9" t="s">
        <v>17</v>
      </c>
    </row>
    <row r="10" spans="1:23" x14ac:dyDescent="0.35">
      <c r="B10" s="2">
        <v>43592</v>
      </c>
      <c r="C10" s="1">
        <f t="shared" si="3"/>
        <v>43555</v>
      </c>
      <c r="D10" s="3">
        <v>9.7306360000000005</v>
      </c>
      <c r="E10" s="3">
        <v>44.071317999999998</v>
      </c>
      <c r="F10" s="6">
        <f t="shared" si="1"/>
        <v>53.801953999999995</v>
      </c>
      <c r="G10" s="3">
        <f>(15500+12800+2613.241)/1000</f>
        <v>30.913241000000003</v>
      </c>
      <c r="H10" s="5">
        <v>11.5</v>
      </c>
      <c r="I10" s="3">
        <v>0.89600000000000002</v>
      </c>
      <c r="J10" s="5">
        <v>5.89</v>
      </c>
      <c r="K10" s="5"/>
      <c r="L10" s="5"/>
      <c r="M10" s="3">
        <v>32.820999999999998</v>
      </c>
      <c r="N10" s="3">
        <v>12.182</v>
      </c>
      <c r="O10" s="3">
        <v>83.647999999999996</v>
      </c>
      <c r="P10" s="3">
        <v>6.1920000000000002</v>
      </c>
      <c r="Q10" s="3">
        <v>0</v>
      </c>
      <c r="R10" s="6">
        <f t="shared" si="2"/>
        <v>6.1920000000000002</v>
      </c>
      <c r="S10" s="3"/>
      <c r="T10" s="3"/>
      <c r="U10" s="3">
        <v>362.5</v>
      </c>
      <c r="V10" s="3">
        <v>5.5</v>
      </c>
      <c r="W10" t="s">
        <v>16</v>
      </c>
    </row>
    <row r="11" spans="1:23" x14ac:dyDescent="0.35">
      <c r="B11" s="2">
        <v>43741</v>
      </c>
      <c r="C11" s="1">
        <f t="shared" si="3"/>
        <v>43646</v>
      </c>
      <c r="D11" s="3">
        <v>9.8947160000000007</v>
      </c>
      <c r="E11" s="3">
        <v>44.003791</v>
      </c>
      <c r="F11" s="6">
        <f t="shared" si="1"/>
        <v>53.898507000000002</v>
      </c>
      <c r="G11" s="3">
        <f>(15500+12800+2613.241)/1000</f>
        <v>30.913241000000003</v>
      </c>
      <c r="H11" s="5">
        <v>11.5</v>
      </c>
      <c r="I11" s="3">
        <v>1.347</v>
      </c>
      <c r="J11" s="5">
        <v>6.17</v>
      </c>
      <c r="K11" s="5"/>
      <c r="L11" s="5"/>
      <c r="M11" s="3">
        <v>33.652999999999999</v>
      </c>
      <c r="N11" s="3">
        <v>20.254999999999999</v>
      </c>
      <c r="O11" s="3">
        <v>103.004</v>
      </c>
      <c r="P11" s="3">
        <v>6.1820000000000004</v>
      </c>
      <c r="Q11" s="3">
        <v>0</v>
      </c>
      <c r="R11" s="6">
        <f t="shared" si="2"/>
        <v>6.1820000000000004</v>
      </c>
      <c r="S11" s="3"/>
      <c r="T11" s="3"/>
      <c r="U11" s="3">
        <v>412.5</v>
      </c>
      <c r="V11" s="3">
        <v>25.5</v>
      </c>
      <c r="W11" t="s">
        <v>15</v>
      </c>
    </row>
    <row r="12" spans="1:23" x14ac:dyDescent="0.35">
      <c r="B12" s="2">
        <v>43775</v>
      </c>
      <c r="C12" s="1">
        <f t="shared" si="3"/>
        <v>43738</v>
      </c>
      <c r="D12" s="3">
        <v>10.521611999999999</v>
      </c>
      <c r="E12" s="3">
        <v>43.365879</v>
      </c>
      <c r="F12" s="6">
        <f t="shared" si="1"/>
        <v>53.887490999999997</v>
      </c>
      <c r="G12" s="3">
        <f>(15500+12800+2613.241)/1000</f>
        <v>30.913241000000003</v>
      </c>
      <c r="H12" s="5">
        <v>11.5</v>
      </c>
      <c r="I12" s="3">
        <v>1.6040000000000001</v>
      </c>
      <c r="J12" s="5">
        <v>6.51</v>
      </c>
      <c r="K12" s="5"/>
      <c r="L12" s="5"/>
      <c r="M12" s="3">
        <v>34.524999999999999</v>
      </c>
      <c r="N12" s="3">
        <v>31.292999999999999</v>
      </c>
      <c r="O12" s="3">
        <v>117.40600000000001</v>
      </c>
      <c r="P12" s="3">
        <v>15.305</v>
      </c>
      <c r="Q12" s="3">
        <v>0</v>
      </c>
      <c r="R12" s="6">
        <f t="shared" si="2"/>
        <v>15.305</v>
      </c>
      <c r="S12" s="3"/>
      <c r="T12" s="3"/>
      <c r="U12" s="3">
        <v>412.5</v>
      </c>
      <c r="V12" s="3">
        <v>27</v>
      </c>
      <c r="W12" t="s">
        <v>14</v>
      </c>
    </row>
    <row r="13" spans="1:23" x14ac:dyDescent="0.35">
      <c r="B13" s="2">
        <v>43777</v>
      </c>
      <c r="C13" s="1">
        <v>43738</v>
      </c>
      <c r="D13" s="3">
        <v>19.721612</v>
      </c>
      <c r="E13" s="3">
        <v>34.165879000000004</v>
      </c>
      <c r="F13" s="6">
        <f t="shared" si="1"/>
        <v>53.887491000000004</v>
      </c>
      <c r="G13" s="3">
        <f>(15500+12800+2613.241)/1000</f>
        <v>30.913241000000003</v>
      </c>
      <c r="H13" s="5">
        <v>11.5</v>
      </c>
      <c r="I13" s="3">
        <v>1.6040000000000001</v>
      </c>
      <c r="J13" s="5">
        <v>6.51</v>
      </c>
      <c r="K13" s="5"/>
      <c r="L13" s="5"/>
      <c r="M13" s="3">
        <v>34.524999999999999</v>
      </c>
      <c r="N13" s="3">
        <v>31.292999999999999</v>
      </c>
      <c r="O13" s="3">
        <v>117.40600000000001</v>
      </c>
      <c r="P13" s="3">
        <v>15.305</v>
      </c>
      <c r="Q13" s="3">
        <v>0</v>
      </c>
      <c r="R13" s="6">
        <f t="shared" si="2"/>
        <v>15.305</v>
      </c>
      <c r="S13" s="3"/>
      <c r="T13" s="3"/>
      <c r="U13" s="3">
        <v>412.5</v>
      </c>
      <c r="V13" s="3">
        <v>27</v>
      </c>
      <c r="W13" t="s">
        <v>12</v>
      </c>
    </row>
    <row r="14" spans="1:23" x14ac:dyDescent="0.35">
      <c r="B14" s="2">
        <v>43784</v>
      </c>
      <c r="C14" s="1">
        <v>43738</v>
      </c>
      <c r="D14" s="3">
        <v>21.721612</v>
      </c>
      <c r="E14" s="3">
        <v>32.165879000000004</v>
      </c>
      <c r="F14" s="6">
        <f t="shared" si="1"/>
        <v>53.887491000000004</v>
      </c>
      <c r="G14" s="3">
        <f>(15500+12800+2613.241)/1000</f>
        <v>30.913241000000003</v>
      </c>
      <c r="H14" s="5">
        <v>11.5</v>
      </c>
      <c r="I14" s="3">
        <v>1.6040000000000001</v>
      </c>
      <c r="J14" s="5">
        <v>6.51</v>
      </c>
      <c r="K14" s="5"/>
      <c r="L14" s="5"/>
      <c r="M14" s="3">
        <v>34.524999999999999</v>
      </c>
      <c r="N14" s="3">
        <v>31.292999999999999</v>
      </c>
      <c r="O14" s="3">
        <v>117.40600000000001</v>
      </c>
      <c r="P14" s="3">
        <v>15.305</v>
      </c>
      <c r="Q14" s="3">
        <v>0</v>
      </c>
      <c r="R14" s="6">
        <f t="shared" si="2"/>
        <v>15.305</v>
      </c>
      <c r="S14" s="3"/>
      <c r="T14" s="3"/>
      <c r="U14" s="3">
        <v>412.5</v>
      </c>
      <c r="V14" s="3">
        <v>27</v>
      </c>
      <c r="W14" t="s">
        <v>13</v>
      </c>
    </row>
    <row r="15" spans="1:23" x14ac:dyDescent="0.35">
      <c r="D15" s="4"/>
      <c r="E15" s="3"/>
      <c r="F15" s="3"/>
      <c r="G15" s="4"/>
      <c r="H15" s="4"/>
      <c r="I15" s="4"/>
      <c r="J15" s="4"/>
      <c r="K15" s="4"/>
      <c r="L15" s="4"/>
    </row>
    <row r="16" spans="1:23" x14ac:dyDescent="0.35">
      <c r="A16" t="s">
        <v>8</v>
      </c>
      <c r="E16" s="4"/>
      <c r="F16" s="4"/>
      <c r="G16" s="4"/>
      <c r="H16" s="4"/>
      <c r="I16" s="4"/>
      <c r="J16" s="4"/>
      <c r="K16" s="4"/>
      <c r="L16" s="4"/>
    </row>
    <row r="18" spans="1:23" x14ac:dyDescent="0.35">
      <c r="B18" t="s">
        <v>26</v>
      </c>
    </row>
    <row r="19" spans="1:23" x14ac:dyDescent="0.35">
      <c r="B19" t="s">
        <v>11</v>
      </c>
      <c r="C19" t="s">
        <v>10</v>
      </c>
      <c r="D19" t="s">
        <v>3</v>
      </c>
      <c r="E19" t="s">
        <v>4</v>
      </c>
      <c r="F19" t="s">
        <v>31</v>
      </c>
      <c r="G19" t="s">
        <v>30</v>
      </c>
      <c r="H19" t="s">
        <v>29</v>
      </c>
      <c r="I19" t="s">
        <v>7</v>
      </c>
      <c r="J19" t="s">
        <v>29</v>
      </c>
      <c r="K19" t="s">
        <v>33</v>
      </c>
      <c r="L19" t="s">
        <v>29</v>
      </c>
      <c r="M19" t="s">
        <v>6</v>
      </c>
      <c r="N19" t="s">
        <v>5</v>
      </c>
      <c r="O19" t="s">
        <v>1</v>
      </c>
      <c r="P19" t="s">
        <v>2</v>
      </c>
      <c r="Q19" t="s">
        <v>28</v>
      </c>
      <c r="R19" t="s">
        <v>32</v>
      </c>
      <c r="S19" t="s">
        <v>18</v>
      </c>
      <c r="T19" t="s">
        <v>19</v>
      </c>
      <c r="U19" t="s">
        <v>20</v>
      </c>
      <c r="V19" t="s">
        <v>21</v>
      </c>
      <c r="W19" t="s">
        <v>23</v>
      </c>
    </row>
    <row r="20" spans="1:23" x14ac:dyDescent="0.35">
      <c r="A20" t="s">
        <v>35</v>
      </c>
      <c r="B20" s="2"/>
      <c r="C20" s="1">
        <f t="shared" ref="C20:C23" si="4">+EOMONTH(C21,-3)</f>
        <v>42460</v>
      </c>
      <c r="D20" s="3"/>
      <c r="E20" s="3"/>
      <c r="F20" s="3">
        <v>46.686</v>
      </c>
      <c r="G20" s="3"/>
      <c r="H20" s="5"/>
      <c r="I20" s="3"/>
      <c r="J20" s="5"/>
      <c r="K20" s="3">
        <v>1.0349999999999999</v>
      </c>
      <c r="L20" s="5">
        <v>16.14</v>
      </c>
      <c r="M20" s="3">
        <v>0</v>
      </c>
      <c r="N20" s="3">
        <v>29.52</v>
      </c>
      <c r="O20" s="3">
        <v>352.98</v>
      </c>
      <c r="P20" s="3">
        <v>37.445</v>
      </c>
      <c r="Q20" s="6">
        <f>63.204/4</f>
        <v>15.801</v>
      </c>
      <c r="R20" s="6">
        <f>+Q20+P20</f>
        <v>53.246000000000002</v>
      </c>
      <c r="S20" s="3"/>
      <c r="T20" s="3"/>
      <c r="U20" s="3"/>
      <c r="V20" s="3"/>
      <c r="W20" t="s">
        <v>16</v>
      </c>
    </row>
    <row r="21" spans="1:23" x14ac:dyDescent="0.35">
      <c r="A21" t="s">
        <v>36</v>
      </c>
      <c r="B21" s="2"/>
      <c r="C21" s="1">
        <f t="shared" si="4"/>
        <v>42551</v>
      </c>
      <c r="D21" s="3"/>
      <c r="E21" s="3"/>
      <c r="F21" s="3">
        <v>45.929000000000002</v>
      </c>
      <c r="G21" s="3"/>
      <c r="H21" s="5"/>
      <c r="I21" s="3"/>
      <c r="J21" s="5"/>
      <c r="K21" s="6">
        <f t="shared" ref="K21:K22" si="5">+K20</f>
        <v>1.0349999999999999</v>
      </c>
      <c r="L21" s="7">
        <f t="shared" ref="L21:L22" si="6">+L20</f>
        <v>16.14</v>
      </c>
      <c r="M21" s="3">
        <v>16</v>
      </c>
      <c r="N21" s="3">
        <v>2.4009999999999998</v>
      </c>
      <c r="O21" s="3">
        <v>276.87799999999999</v>
      </c>
      <c r="P21" s="3">
        <v>20.324999999999999</v>
      </c>
      <c r="Q21" s="6">
        <f>64.232/4</f>
        <v>16.058</v>
      </c>
      <c r="R21" s="6">
        <f t="shared" ref="R21:R34" si="7">+Q21+P21</f>
        <v>36.382999999999996</v>
      </c>
      <c r="S21" s="3"/>
      <c r="T21" s="3"/>
      <c r="U21" s="3"/>
      <c r="V21" s="3"/>
      <c r="W21" t="s">
        <v>15</v>
      </c>
    </row>
    <row r="22" spans="1:23" x14ac:dyDescent="0.35">
      <c r="A22" t="s">
        <v>36</v>
      </c>
      <c r="B22" s="2"/>
      <c r="C22" s="1">
        <f t="shared" si="4"/>
        <v>42643</v>
      </c>
      <c r="D22" s="3"/>
      <c r="E22" s="3"/>
      <c r="F22" s="3">
        <v>44.941000000000003</v>
      </c>
      <c r="G22" s="3"/>
      <c r="H22" s="5"/>
      <c r="I22" s="3"/>
      <c r="J22" s="5"/>
      <c r="K22" s="6">
        <f t="shared" si="5"/>
        <v>1.0349999999999999</v>
      </c>
      <c r="L22" s="7">
        <f t="shared" si="6"/>
        <v>16.14</v>
      </c>
      <c r="M22" s="3">
        <v>0</v>
      </c>
      <c r="N22" s="3">
        <f>45.383+5.963</f>
        <v>51.346000000000004</v>
      </c>
      <c r="O22" s="3">
        <v>367.988</v>
      </c>
      <c r="P22" s="3">
        <v>55.26</v>
      </c>
      <c r="Q22" s="6">
        <f>64.994/4</f>
        <v>16.2485</v>
      </c>
      <c r="R22" s="6">
        <f t="shared" si="7"/>
        <v>71.508499999999998</v>
      </c>
      <c r="S22" s="3"/>
      <c r="T22" s="3"/>
      <c r="U22" s="3"/>
      <c r="V22" s="3"/>
      <c r="W22" t="s">
        <v>14</v>
      </c>
    </row>
    <row r="23" spans="1:23" x14ac:dyDescent="0.35">
      <c r="A23" t="s">
        <v>36</v>
      </c>
      <c r="B23" s="2"/>
      <c r="C23" s="1">
        <f t="shared" si="4"/>
        <v>42735</v>
      </c>
      <c r="D23" s="3"/>
      <c r="E23" s="3"/>
      <c r="F23" s="3">
        <v>42.95</v>
      </c>
      <c r="G23" s="3"/>
      <c r="H23" s="5"/>
      <c r="I23" s="3"/>
      <c r="J23" s="5"/>
      <c r="K23" s="3">
        <v>0.92700000000000005</v>
      </c>
      <c r="L23" s="5">
        <v>17.399999999999999</v>
      </c>
      <c r="M23" s="3">
        <v>0</v>
      </c>
      <c r="N23" s="3">
        <v>11.609</v>
      </c>
      <c r="O23" s="6">
        <f>1311.3-SUM(O20:O22)</f>
        <v>313.45399999999995</v>
      </c>
      <c r="P23" s="6">
        <f>145.689-SUM(P20:P22)</f>
        <v>32.658999999999992</v>
      </c>
      <c r="Q23" s="6">
        <f>62.101/4</f>
        <v>15.52525</v>
      </c>
      <c r="R23" s="6">
        <f t="shared" si="7"/>
        <v>48.184249999999992</v>
      </c>
      <c r="S23" s="3"/>
      <c r="T23" s="3"/>
      <c r="U23" s="3"/>
      <c r="V23" s="3"/>
      <c r="W23" t="s">
        <v>17</v>
      </c>
    </row>
    <row r="24" spans="1:23" x14ac:dyDescent="0.35">
      <c r="A24" t="s">
        <v>36</v>
      </c>
      <c r="B24" s="2"/>
      <c r="C24" s="1">
        <f t="shared" ref="C24:C32" si="8">+EOMONTH(C25,-3)</f>
        <v>42825</v>
      </c>
      <c r="D24" s="3"/>
      <c r="E24" s="3"/>
      <c r="F24" s="3">
        <v>41.676000000000002</v>
      </c>
      <c r="G24" s="3"/>
      <c r="H24" s="5"/>
      <c r="I24" s="3"/>
      <c r="J24" s="5"/>
      <c r="K24" s="6">
        <f t="shared" ref="K24" si="9">+K23</f>
        <v>0.92700000000000005</v>
      </c>
      <c r="L24" s="7">
        <f t="shared" ref="L24" si="10">+L23</f>
        <v>17.399999999999999</v>
      </c>
      <c r="M24" s="3">
        <v>0</v>
      </c>
      <c r="N24" s="3">
        <v>36.451999999999998</v>
      </c>
      <c r="O24" s="3">
        <v>393.899</v>
      </c>
      <c r="P24" s="3">
        <v>55.728000000000002</v>
      </c>
      <c r="Q24" s="6">
        <f>69.217/4</f>
        <v>17.30425</v>
      </c>
      <c r="R24" s="6">
        <f t="shared" si="7"/>
        <v>73.032250000000005</v>
      </c>
      <c r="S24" s="3"/>
      <c r="T24" s="3"/>
      <c r="U24" s="3"/>
      <c r="V24" s="3"/>
      <c r="W24" t="s">
        <v>16</v>
      </c>
    </row>
    <row r="25" spans="1:23" x14ac:dyDescent="0.35">
      <c r="A25" t="s">
        <v>36</v>
      </c>
      <c r="B25" s="2"/>
      <c r="C25" s="1">
        <f t="shared" si="8"/>
        <v>42916</v>
      </c>
      <c r="D25" s="3"/>
      <c r="E25" s="3"/>
      <c r="F25" s="3">
        <v>41.066000000000003</v>
      </c>
      <c r="G25" s="3"/>
      <c r="H25" s="5"/>
      <c r="I25" s="3"/>
      <c r="J25" s="5"/>
      <c r="K25" s="6">
        <f t="shared" ref="K25:K26" si="11">+K24</f>
        <v>0.92700000000000005</v>
      </c>
      <c r="L25" s="7">
        <f t="shared" ref="L25:L26" si="12">+L24</f>
        <v>17.399999999999999</v>
      </c>
      <c r="M25" s="3">
        <v>13.95</v>
      </c>
      <c r="N25" s="3">
        <v>2.0819999999999999</v>
      </c>
      <c r="O25" s="3">
        <v>284.673</v>
      </c>
      <c r="P25" s="3">
        <v>16.036999999999999</v>
      </c>
      <c r="Q25" s="6">
        <f>70.815/4</f>
        <v>17.703749999999999</v>
      </c>
      <c r="R25" s="6">
        <f t="shared" si="7"/>
        <v>33.740749999999998</v>
      </c>
      <c r="S25" s="3"/>
      <c r="T25" s="3"/>
      <c r="U25" s="3"/>
      <c r="V25" s="3"/>
      <c r="W25" t="s">
        <v>15</v>
      </c>
    </row>
    <row r="26" spans="1:23" x14ac:dyDescent="0.35">
      <c r="A26" t="s">
        <v>36</v>
      </c>
      <c r="B26" s="2"/>
      <c r="C26" s="1">
        <f t="shared" si="8"/>
        <v>43008</v>
      </c>
      <c r="D26" s="3"/>
      <c r="E26" s="3"/>
      <c r="F26" s="3">
        <v>39.819000000000003</v>
      </c>
      <c r="G26" s="3"/>
      <c r="H26" s="5"/>
      <c r="I26" s="3"/>
      <c r="J26" s="5"/>
      <c r="K26" s="6">
        <f t="shared" si="11"/>
        <v>0.92700000000000005</v>
      </c>
      <c r="L26" s="7">
        <f t="shared" si="12"/>
        <v>17.399999999999999</v>
      </c>
      <c r="M26" s="3">
        <v>0</v>
      </c>
      <c r="N26" s="3">
        <v>29.914000000000001</v>
      </c>
      <c r="O26" s="3">
        <v>402.64600000000002</v>
      </c>
      <c r="P26" s="3">
        <v>57.984000000000002</v>
      </c>
      <c r="Q26" s="6">
        <f>72.26/4</f>
        <v>18.065000000000001</v>
      </c>
      <c r="R26" s="6">
        <f t="shared" si="7"/>
        <v>76.049000000000007</v>
      </c>
      <c r="S26" s="3"/>
      <c r="T26" s="3"/>
      <c r="U26" s="3"/>
      <c r="V26" s="3"/>
      <c r="W26" t="s">
        <v>14</v>
      </c>
    </row>
    <row r="27" spans="1:23" x14ac:dyDescent="0.35">
      <c r="A27" t="s">
        <v>36</v>
      </c>
      <c r="B27" s="2"/>
      <c r="C27" s="1">
        <f t="shared" si="8"/>
        <v>43100</v>
      </c>
      <c r="D27" s="3"/>
      <c r="E27" s="3"/>
      <c r="F27" s="3">
        <v>38.487000000000002</v>
      </c>
      <c r="G27" s="3"/>
      <c r="H27" s="5"/>
      <c r="I27" s="3"/>
      <c r="J27" s="5"/>
      <c r="K27" s="3">
        <v>0.879</v>
      </c>
      <c r="L27" s="5">
        <v>18.79</v>
      </c>
      <c r="M27" s="3">
        <v>24.5</v>
      </c>
      <c r="N27" s="3">
        <v>3.6509999999999998</v>
      </c>
      <c r="O27" s="6">
        <f>1444.5-SUM(O24:O26)</f>
        <v>363.28199999999993</v>
      </c>
      <c r="P27" s="6">
        <f>169.097-SUM(P24:P26)</f>
        <v>39.348000000000013</v>
      </c>
      <c r="Q27" s="6">
        <f>69.084/4</f>
        <v>17.271000000000001</v>
      </c>
      <c r="R27" s="6">
        <f t="shared" si="7"/>
        <v>56.619000000000014</v>
      </c>
      <c r="S27" s="3"/>
      <c r="T27" s="3"/>
      <c r="U27" s="3"/>
      <c r="V27" s="3"/>
      <c r="W27" t="s">
        <v>17</v>
      </c>
    </row>
    <row r="28" spans="1:23" x14ac:dyDescent="0.35">
      <c r="A28" t="s">
        <v>36</v>
      </c>
      <c r="B28" s="2"/>
      <c r="C28" s="1">
        <f t="shared" si="8"/>
        <v>43190</v>
      </c>
      <c r="D28" s="3"/>
      <c r="E28" s="3"/>
      <c r="F28" s="3">
        <v>36.942999999999998</v>
      </c>
      <c r="G28" s="3"/>
      <c r="H28" s="5"/>
      <c r="I28" s="3"/>
      <c r="J28" s="5"/>
      <c r="K28" s="6">
        <f t="shared" ref="K28" si="13">+K27</f>
        <v>0.879</v>
      </c>
      <c r="L28" s="7">
        <f t="shared" ref="L28" si="14">+L27</f>
        <v>18.79</v>
      </c>
      <c r="M28" s="3">
        <v>75.8</v>
      </c>
      <c r="N28" s="3">
        <v>2.335</v>
      </c>
      <c r="O28" s="3">
        <v>388.63299999999998</v>
      </c>
      <c r="P28" s="3">
        <v>45.598999999999997</v>
      </c>
      <c r="Q28" s="6">
        <f>74.933/4</f>
        <v>18.733250000000002</v>
      </c>
      <c r="R28" s="6">
        <f t="shared" si="7"/>
        <v>64.332250000000002</v>
      </c>
      <c r="S28" s="3"/>
      <c r="T28" s="3"/>
      <c r="U28" s="3"/>
      <c r="V28" s="3"/>
      <c r="W28" t="s">
        <v>16</v>
      </c>
    </row>
    <row r="29" spans="1:23" x14ac:dyDescent="0.35">
      <c r="A29" t="s">
        <v>36</v>
      </c>
      <c r="B29" s="2"/>
      <c r="C29" s="1">
        <f t="shared" si="8"/>
        <v>43281</v>
      </c>
      <c r="D29" s="3"/>
      <c r="E29" s="3"/>
      <c r="F29" s="3">
        <v>34.893000000000001</v>
      </c>
      <c r="G29" s="3"/>
      <c r="H29" s="5"/>
      <c r="I29" s="3"/>
      <c r="J29" s="5"/>
      <c r="K29" s="6">
        <f t="shared" ref="K29:K30" si="15">+K28</f>
        <v>0.879</v>
      </c>
      <c r="L29" s="7">
        <f t="shared" ref="L29:L30" si="16">+L28</f>
        <v>18.79</v>
      </c>
      <c r="M29" s="3">
        <v>182.5</v>
      </c>
      <c r="N29" s="3">
        <v>2.407</v>
      </c>
      <c r="O29" s="3">
        <v>316.33800000000002</v>
      </c>
      <c r="P29" s="3">
        <v>21.155999999999999</v>
      </c>
      <c r="Q29" s="6">
        <f>76.215/4</f>
        <v>19.053750000000001</v>
      </c>
      <c r="R29" s="6">
        <f t="shared" si="7"/>
        <v>40.20975</v>
      </c>
      <c r="S29" s="3"/>
      <c r="T29" s="3"/>
      <c r="U29" s="3"/>
      <c r="V29" s="3"/>
      <c r="W29" t="s">
        <v>15</v>
      </c>
    </row>
    <row r="30" spans="1:23" x14ac:dyDescent="0.35">
      <c r="A30" t="s">
        <v>36</v>
      </c>
      <c r="B30" s="2"/>
      <c r="C30" s="1">
        <f t="shared" si="8"/>
        <v>43373</v>
      </c>
      <c r="D30" s="3"/>
      <c r="E30" s="3"/>
      <c r="F30" s="3">
        <v>33.216000000000001</v>
      </c>
      <c r="G30" s="3"/>
      <c r="H30" s="5"/>
      <c r="I30" s="3"/>
      <c r="J30" s="5"/>
      <c r="K30" s="6">
        <f t="shared" si="15"/>
        <v>0.879</v>
      </c>
      <c r="L30" s="7">
        <f t="shared" si="16"/>
        <v>18.79</v>
      </c>
      <c r="M30" s="3">
        <v>135.80000000000001</v>
      </c>
      <c r="N30" s="3">
        <v>1.2410000000000001</v>
      </c>
      <c r="O30" s="3">
        <v>414.779</v>
      </c>
      <c r="P30" s="3">
        <v>44.19</v>
      </c>
      <c r="Q30" s="6">
        <f>77.797/4</f>
        <v>19.449249999999999</v>
      </c>
      <c r="R30" s="6">
        <f t="shared" si="7"/>
        <v>63.639249999999997</v>
      </c>
      <c r="S30" s="3"/>
      <c r="T30" s="3"/>
      <c r="U30" s="3"/>
      <c r="V30" s="3"/>
      <c r="W30" t="s">
        <v>14</v>
      </c>
    </row>
    <row r="31" spans="1:23" x14ac:dyDescent="0.35">
      <c r="B31" s="2"/>
      <c r="C31" s="1">
        <f t="shared" si="8"/>
        <v>43465</v>
      </c>
      <c r="D31" s="3"/>
      <c r="E31" s="3"/>
      <c r="F31" s="3">
        <v>30.521999999999998</v>
      </c>
      <c r="G31" s="3"/>
      <c r="H31" s="5"/>
      <c r="I31" s="3"/>
      <c r="J31" s="5"/>
      <c r="K31" s="3">
        <v>0.89800000000000002</v>
      </c>
      <c r="L31" s="5">
        <v>20.76</v>
      </c>
      <c r="M31" s="3">
        <v>199.6</v>
      </c>
      <c r="N31" s="3">
        <v>1.6120000000000001</v>
      </c>
      <c r="O31" s="6">
        <f>1531.6-SUM(O28:O30)</f>
        <v>411.84999999999991</v>
      </c>
      <c r="P31" s="6">
        <f>165.588-SUM(P28:P30)</f>
        <v>54.643000000000001</v>
      </c>
      <c r="Q31" s="3">
        <f>85.807-SUM(Q32:Q34)</f>
        <v>22.088999999999999</v>
      </c>
      <c r="R31" s="6">
        <f t="shared" si="7"/>
        <v>76.731999999999999</v>
      </c>
      <c r="S31" s="3"/>
      <c r="T31" s="3"/>
      <c r="U31" s="3"/>
      <c r="V31" s="3"/>
      <c r="W31" t="s">
        <v>17</v>
      </c>
    </row>
    <row r="32" spans="1:23" x14ac:dyDescent="0.35">
      <c r="B32" s="2"/>
      <c r="C32" s="1">
        <f t="shared" si="8"/>
        <v>43555</v>
      </c>
      <c r="D32" s="3"/>
      <c r="E32" s="3"/>
      <c r="F32" s="3">
        <v>30.213000000000001</v>
      </c>
      <c r="G32" s="3"/>
      <c r="H32" s="5"/>
      <c r="I32" s="3"/>
      <c r="J32" s="5"/>
      <c r="K32" s="6">
        <f t="shared" ref="K32" si="17">+K31</f>
        <v>0.89800000000000002</v>
      </c>
      <c r="L32" s="7">
        <f t="shared" ref="L32" si="18">+L31</f>
        <v>20.76</v>
      </c>
      <c r="M32" s="3">
        <v>218.7</v>
      </c>
      <c r="N32" s="3">
        <v>1.696</v>
      </c>
      <c r="O32" s="3">
        <v>426.44499999999999</v>
      </c>
      <c r="P32" s="3">
        <v>52.122</v>
      </c>
      <c r="Q32" s="3">
        <v>21.056000000000001</v>
      </c>
      <c r="R32" s="6">
        <f t="shared" si="7"/>
        <v>73.177999999999997</v>
      </c>
      <c r="S32" s="3"/>
      <c r="T32" s="3"/>
      <c r="U32" s="3"/>
      <c r="V32" s="3"/>
      <c r="W32" t="s">
        <v>16</v>
      </c>
    </row>
    <row r="33" spans="1:23" x14ac:dyDescent="0.35">
      <c r="B33" s="2"/>
      <c r="C33" s="1">
        <f>+EOMONTH(C34,-3)</f>
        <v>43646</v>
      </c>
      <c r="D33" s="3"/>
      <c r="E33" s="3"/>
      <c r="F33" s="3">
        <v>29.323</v>
      </c>
      <c r="G33" s="3"/>
      <c r="H33" s="5"/>
      <c r="I33" s="3"/>
      <c r="J33" s="5"/>
      <c r="K33" s="6">
        <f t="shared" ref="K33:K34" si="19">+K32</f>
        <v>0.89800000000000002</v>
      </c>
      <c r="L33" s="7">
        <f t="shared" ref="L33:L34" si="20">+L32</f>
        <v>20.76</v>
      </c>
      <c r="M33" s="3">
        <v>281.5</v>
      </c>
      <c r="N33" s="3">
        <v>1.6839999999999999</v>
      </c>
      <c r="O33" s="3">
        <v>355.96300000000002</v>
      </c>
      <c r="P33" s="3">
        <v>26.824999999999999</v>
      </c>
      <c r="Q33" s="3">
        <v>21.079000000000001</v>
      </c>
      <c r="R33" s="6">
        <f t="shared" si="7"/>
        <v>47.903999999999996</v>
      </c>
      <c r="S33" s="3"/>
      <c r="T33" s="3"/>
      <c r="U33" s="3"/>
      <c r="V33" s="3"/>
      <c r="W33" t="s">
        <v>15</v>
      </c>
    </row>
    <row r="34" spans="1:23" x14ac:dyDescent="0.35">
      <c r="B34" s="2"/>
      <c r="C34" s="2">
        <v>43738</v>
      </c>
      <c r="D34" s="3"/>
      <c r="E34" s="3"/>
      <c r="F34" s="3">
        <v>28.427</v>
      </c>
      <c r="G34" s="3"/>
      <c r="H34" s="5"/>
      <c r="I34" s="3"/>
      <c r="J34" s="5"/>
      <c r="K34" s="6">
        <f t="shared" si="19"/>
        <v>0.89800000000000002</v>
      </c>
      <c r="L34" s="7">
        <f t="shared" si="20"/>
        <v>20.76</v>
      </c>
      <c r="M34" s="3">
        <v>213.7</v>
      </c>
      <c r="N34" s="3">
        <v>1.5449999999999999</v>
      </c>
      <c r="O34" s="3">
        <v>474.77800000000002</v>
      </c>
      <c r="P34" s="3">
        <v>58.29</v>
      </c>
      <c r="Q34" s="3">
        <v>21.582999999999998</v>
      </c>
      <c r="R34" s="6">
        <f t="shared" si="7"/>
        <v>79.87299999999999</v>
      </c>
      <c r="S34" s="3"/>
      <c r="T34" s="3"/>
      <c r="U34" s="3"/>
      <c r="V34" s="3"/>
      <c r="W34" t="s">
        <v>14</v>
      </c>
    </row>
    <row r="35" spans="1:23" x14ac:dyDescent="0.35">
      <c r="Q35" s="3"/>
    </row>
    <row r="36" spans="1:23" x14ac:dyDescent="0.35">
      <c r="A36" t="s">
        <v>34</v>
      </c>
    </row>
    <row r="37" spans="1:23" x14ac:dyDescent="0.35">
      <c r="A37" t="s">
        <v>37</v>
      </c>
    </row>
    <row r="39" spans="1:23" x14ac:dyDescent="0.35">
      <c r="B39" t="s">
        <v>38</v>
      </c>
    </row>
    <row r="42" spans="1:23" x14ac:dyDescent="0.35">
      <c r="B42" t="s">
        <v>24</v>
      </c>
    </row>
    <row r="43" spans="1:23" x14ac:dyDescent="0.35">
      <c r="B43" t="s">
        <v>25</v>
      </c>
    </row>
    <row r="44" spans="1:23" x14ac:dyDescent="0.35">
      <c r="B44" t="s">
        <v>27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Fleisher</dc:creator>
  <cp:lastModifiedBy>Christopher Fleisher</cp:lastModifiedBy>
  <dcterms:created xsi:type="dcterms:W3CDTF">2019-12-13T00:52:34Z</dcterms:created>
  <dcterms:modified xsi:type="dcterms:W3CDTF">2019-12-17T01:56:33Z</dcterms:modified>
</cp:coreProperties>
</file>