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ropbox/teaching/v-brch-nigeria-2023/case-studies/"/>
    </mc:Choice>
  </mc:AlternateContent>
  <xr:revisionPtr revIDLastSave="0" documentId="13_ncr:1_{82A4A175-E917-4546-9339-AC3DBE24930F}" xr6:coauthVersionLast="47" xr6:coauthVersionMax="47" xr10:uidLastSave="{00000000-0000-0000-0000-000000000000}"/>
  <bookViews>
    <workbookView xWindow="0" yWindow="760" windowWidth="34560" windowHeight="19720" xr2:uid="{662BD01A-6D8F-4448-A9B7-D7B1817CA996}"/>
  </bookViews>
  <sheets>
    <sheet name="parameters" sheetId="1" r:id="rId1"/>
    <sheet name="transition_rates" sheetId="7" r:id="rId2"/>
    <sheet name="transition_probs" sheetId="6" r:id="rId3"/>
    <sheet name="payoffs" sheetId="2" r:id="rId4"/>
    <sheet name="&lt;&lt;&lt; SETUP &lt;&lt;&lt;" sheetId="8" r:id="rId5"/>
    <sheet name="Embed Transition Matrix" sheetId="9" r:id="rId6"/>
    <sheet name="Calculate Transition Matrix" sheetId="17" r:id="rId7"/>
    <sheet name="one-way" sheetId="15" r:id="rId8"/>
    <sheet name="trtA" sheetId="3" r:id="rId9"/>
    <sheet name="trtB" sheetId="10" r:id="rId10"/>
    <sheet name="trtC" sheetId="11" r:id="rId11"/>
    <sheet name="trtD" sheetId="12" r:id="rId12"/>
    <sheet name="trtE" sheetId="13" r:id="rId13"/>
    <sheet name="ICER" sheetId="5" r:id="rId14"/>
    <sheet name="ICER_Alt" sheetId="14" r:id="rId15"/>
  </sheets>
  <externalReferences>
    <externalReference r:id="rId16"/>
  </externalReferences>
  <definedNames>
    <definedName name="_xlnm._FilterDatabase" localSheetId="14" hidden="1">ICER_Alt!$D$11:$I$15</definedName>
    <definedName name="A">ICER_Alt!$D$3:$E$3</definedName>
    <definedName name="B">ICER_Alt!$D$4:$E$4</definedName>
    <definedName name="C_">ICER_Alt!$D$5:$E$5</definedName>
    <definedName name="c_D" localSheetId="14">[1]cs2_parameters!#REF!</definedName>
    <definedName name="c_D">parameters!$B$19</definedName>
    <definedName name="c_D_trtA" localSheetId="14">#REF!</definedName>
    <definedName name="c_D_trtA">payoffs!$E$4</definedName>
    <definedName name="c_D_trtB" localSheetId="14">#REF!</definedName>
    <definedName name="c_D_trtB">payoffs!$E$7</definedName>
    <definedName name="c_D_trtC" localSheetId="14">#REF!</definedName>
    <definedName name="c_D_trtC">payoffs!$E$10</definedName>
    <definedName name="c_D_trtD" localSheetId="14">#REF!</definedName>
    <definedName name="c_D_trtD">payoffs!$E$13</definedName>
    <definedName name="c_D_trtE" localSheetId="14">#REF!</definedName>
    <definedName name="c_D_trtE">payoffs!$E$16</definedName>
    <definedName name="c_H" localSheetId="14">[1]cs2_parameters!#REF!</definedName>
    <definedName name="c_H">parameters!$B$17</definedName>
    <definedName name="c_H_trtA" localSheetId="14">#REF!</definedName>
    <definedName name="c_H_trtA">payoffs!$E$2</definedName>
    <definedName name="c_H_trtB" localSheetId="14">#REF!</definedName>
    <definedName name="c_H_trtB">payoffs!$E$5</definedName>
    <definedName name="c_H_trtC" localSheetId="14">#REF!</definedName>
    <definedName name="c_H_trtC">payoffs!$E$8</definedName>
    <definedName name="c_H_trtD" localSheetId="14">#REF!</definedName>
    <definedName name="c_H_trtD">payoffs!$E$11</definedName>
    <definedName name="c_H_trtE" localSheetId="14">#REF!</definedName>
    <definedName name="c_H_trtE">payoffs!$E$14</definedName>
    <definedName name="c_S" localSheetId="14">[1]cs2_parameters!#REF!</definedName>
    <definedName name="c_S">parameters!$B$18</definedName>
    <definedName name="c_S_trtA" localSheetId="14">#REF!</definedName>
    <definedName name="c_S_trtA">payoffs!$E$3</definedName>
    <definedName name="c_S_trtB" localSheetId="14">#REF!</definedName>
    <definedName name="c_S_trtB">payoffs!$E$6</definedName>
    <definedName name="c_S_trtC" localSheetId="14">#REF!</definedName>
    <definedName name="c_S_trtC">payoffs!$E$9</definedName>
    <definedName name="c_S_trtD" localSheetId="14">#REF!</definedName>
    <definedName name="c_S_trtD">payoffs!$E$12</definedName>
    <definedName name="c_S_trtE" localSheetId="14">#REF!</definedName>
    <definedName name="c_S_trtE">payoffs!$E$15</definedName>
    <definedName name="c_trtA" localSheetId="14">[1]cs2_parameters!#REF!</definedName>
    <definedName name="c_trtA">parameters!$B$20</definedName>
    <definedName name="c_trtB" localSheetId="14">[1]cs2_parameters!#REF!</definedName>
    <definedName name="c_trtB">parameters!$B$21</definedName>
    <definedName name="c_trtC" localSheetId="14">[1]cs2_parameters!#REF!</definedName>
    <definedName name="c_trtC">parameters!$B$22</definedName>
    <definedName name="c_trtD" localSheetId="14">[1]cs2_parameters!#REF!</definedName>
    <definedName name="c_trtD">parameters!$B$23</definedName>
    <definedName name="c_trtE" localSheetId="14">[1]cs2_parameters!#REF!</definedName>
    <definedName name="c_trtE">parameters!$B$24</definedName>
    <definedName name="D">ICER_Alt!$D$6:$E$6</definedName>
    <definedName name="d_c" localSheetId="14">[1]cs2_parameters!#REF!</definedName>
    <definedName name="d_c">parameters!$B$4</definedName>
    <definedName name="d_e" localSheetId="14">[1]cs2_parameters!#REF!</definedName>
    <definedName name="d_e">parameters!$B$5</definedName>
    <definedName name="E">ICER_Alt!$D$7:$E$7</definedName>
    <definedName name="hr_HS_trtB">parameters!$B$10</definedName>
    <definedName name="hr_HS_trtC">parameters!$B$11</definedName>
    <definedName name="hr_HS_trtD">parameters!$B$12</definedName>
    <definedName name="hr_HS_trtE">parameters!$B$13</definedName>
    <definedName name="hr_S">parameters!$B$9</definedName>
    <definedName name="m_trtA" localSheetId="6">'Calculate Transition Matrix'!$I$3:$K$5</definedName>
    <definedName name="m_trtA">'Embed Transition Matrix'!$I$3:$K$5</definedName>
    <definedName name="m_trtB" localSheetId="6">'Calculate Transition Matrix'!$I$7:$K$9</definedName>
    <definedName name="m_trtB">'Embed Transition Matrix'!$I$7:$K$9</definedName>
    <definedName name="m_trtC" localSheetId="6">'Calculate Transition Matrix'!$I$11:$K$13</definedName>
    <definedName name="m_trtC">'Embed Transition Matrix'!$I$11:$K$13</definedName>
    <definedName name="m_trtD" localSheetId="6">'Calculate Transition Matrix'!$I$15:$K$17</definedName>
    <definedName name="m_trtD">'Embed Transition Matrix'!$I$15:$K$17</definedName>
    <definedName name="m_trtE" localSheetId="6">'Calculate Transition Matrix'!$I$19:$K$21</definedName>
    <definedName name="m_trtE">'Embed Transition Matrix'!$I$19:$K$21</definedName>
    <definedName name="n_age_init" localSheetId="14">[1]cs2_parameters!$B$13</definedName>
    <definedName name="n_age_init">parameters!$B$2</definedName>
    <definedName name="n_age_max" localSheetId="14">[1]cs2_parameters!$B$14</definedName>
    <definedName name="n_age_max">parameters!$B$3</definedName>
    <definedName name="n_cycle_length">parameters!$B$25</definedName>
    <definedName name="n_sim">parameters!$B$6</definedName>
    <definedName name="p_HD_trtA">[1]cs2_parameters!$B$7</definedName>
    <definedName name="p_HD_trtB">[1]cs2_parameters!$B$8</definedName>
    <definedName name="p_HD_trtC">[1]cs2_parameters!$B$9</definedName>
    <definedName name="p_HD_trtD">[1]cs2_parameters!$B$10</definedName>
    <definedName name="p_HD_trtE">[1]cs2_parameters!$B$11</definedName>
    <definedName name="p_HS_trtA">[1]cs2_parameters!$B$2</definedName>
    <definedName name="p_HS_trtB">[1]cs2_parameters!$B$3</definedName>
    <definedName name="p_HS_trtC">[1]cs2_parameters!$B$4</definedName>
    <definedName name="p_HS_trtD">[1]cs2_parameters!$B$5</definedName>
    <definedName name="p_HS_trtE">[1]cs2_parameters!$B$6</definedName>
    <definedName name="p_SD">[1]cs2_parameters!$B$12</definedName>
    <definedName name="r_HD">parameters!$B$8</definedName>
    <definedName name="r_HS">parameters!$B$7</definedName>
    <definedName name="tot_cost_trtA" localSheetId="14">[1]cs2_trtA!#REF!</definedName>
    <definedName name="tot_cost_trtA" localSheetId="9">trtB!$L$4:$L$79</definedName>
    <definedName name="tot_cost_trtA" localSheetId="10">trtC!$L$4:$L$79</definedName>
    <definedName name="tot_cost_trtA" localSheetId="11">trtD!$L$4:$L$79</definedName>
    <definedName name="tot_cost_trtA" localSheetId="12">trtE!$L$4:$L$79</definedName>
    <definedName name="tot_cost_trtA">trtA!$L$4:$L$79</definedName>
    <definedName name="tot_cost_trtB" localSheetId="14">#REF!</definedName>
    <definedName name="tot_cost_trtB" localSheetId="10">trtC!$L$4:$L$79</definedName>
    <definedName name="tot_cost_trtB" localSheetId="11">trtD!$L$4:$L$79</definedName>
    <definedName name="tot_cost_trtB" localSheetId="12">trtE!$L$4:$L$79</definedName>
    <definedName name="tot_cost_trtB">trtB!$L$4:$L$79</definedName>
    <definedName name="tot_cost_trtC" localSheetId="14">#REF!</definedName>
    <definedName name="tot_cost_trtC" localSheetId="11">trtD!$L$4:$L$79</definedName>
    <definedName name="tot_cost_trtC" localSheetId="12">trtE!$L$4:$L$79</definedName>
    <definedName name="tot_cost_trtC">trtC!$L$4:$L$79</definedName>
    <definedName name="tot_cost_trtD" localSheetId="14">#REF!</definedName>
    <definedName name="tot_cost_trtD">trtD!$L$4:$L$79</definedName>
    <definedName name="tot_cost_trtE" localSheetId="14">#REF!</definedName>
    <definedName name="tot_cost_trtE">trtE!$L$4:$L$79</definedName>
    <definedName name="tot_qaly_trtA" localSheetId="14">[1]cs2_trtA!#REF!</definedName>
    <definedName name="tot_qaly_trtA" localSheetId="9">trtB!$N$4:$N$79</definedName>
    <definedName name="tot_qaly_trtA" localSheetId="10">trtC!$N$4:$N$79</definedName>
    <definedName name="tot_qaly_trtA" localSheetId="11">trtD!$N$4:$N$79</definedName>
    <definedName name="tot_qaly_trtA" localSheetId="12">trtE!$N$4:$N$79</definedName>
    <definedName name="tot_qaly_trtA">trtA!$N$4:$N$79</definedName>
    <definedName name="tot_qaly_trtB" localSheetId="14">#REF!</definedName>
    <definedName name="tot_qaly_trtB" localSheetId="10">trtC!$N$4:$N$79</definedName>
    <definedName name="tot_qaly_trtB" localSheetId="11">trtD!$N$4:$N$79</definedName>
    <definedName name="tot_qaly_trtB" localSheetId="12">trtE!$N$4:$N$79</definedName>
    <definedName name="tot_qaly_trtB">trtB!$N$4:$N$79</definedName>
    <definedName name="tot_qaly_trtC" localSheetId="14">#REF!</definedName>
    <definedName name="tot_qaly_trtC" localSheetId="11">trtD!$N$4:$N$79</definedName>
    <definedName name="tot_qaly_trtC" localSheetId="12">trtE!$N$4:$N$79</definedName>
    <definedName name="tot_qaly_trtC">trtC!$N$4:$N$79</definedName>
    <definedName name="tot_qaly_trtD" localSheetId="14">#REF!</definedName>
    <definedName name="tot_qaly_trtD">trtD!$N$4:$N$79</definedName>
    <definedName name="tot_qaly_trtE" localSheetId="14">#REF!</definedName>
    <definedName name="tot_qaly_trtE">trtE!$N$4:$N$79</definedName>
    <definedName name="u_D" localSheetId="14">[1]cs2_parameters!#REF!</definedName>
    <definedName name="u_D">parameters!$B$16</definedName>
    <definedName name="u_D_trtA" localSheetId="14">#REF!</definedName>
    <definedName name="u_D_trtA">payoffs!$H$4</definedName>
    <definedName name="u_D_trtB" localSheetId="14">#REF!</definedName>
    <definedName name="u_D_trtB">payoffs!$H$7</definedName>
    <definedName name="u_D_trtC" localSheetId="14">#REF!</definedName>
    <definedName name="u_D_trtC">payoffs!$H$10</definedName>
    <definedName name="u_D_trtD" localSheetId="14">#REF!</definedName>
    <definedName name="u_D_trtD">payoffs!$H$13</definedName>
    <definedName name="u_D_trtE" localSheetId="14">#REF!</definedName>
    <definedName name="u_D_trtE">payoffs!$H$16</definedName>
    <definedName name="u_H" localSheetId="14">[1]cs2_parameters!#REF!</definedName>
    <definedName name="u_H">parameters!$B$14</definedName>
    <definedName name="u_H_trtA" localSheetId="14">#REF!</definedName>
    <definedName name="u_H_trtA">payoffs!$H$2</definedName>
    <definedName name="u_H_trtB" localSheetId="14">#REF!</definedName>
    <definedName name="u_H_trtB">payoffs!$H$5</definedName>
    <definedName name="u_H_trtC" localSheetId="14">#REF!</definedName>
    <definedName name="u_H_trtC">payoffs!$H$8</definedName>
    <definedName name="u_H_trtD" localSheetId="14">#REF!</definedName>
    <definedName name="u_H_trtD">payoffs!$H$11</definedName>
    <definedName name="u_H_trtE" localSheetId="14">#REF!</definedName>
    <definedName name="u_H_trtE">payoffs!$H$14</definedName>
    <definedName name="u_S" localSheetId="14">[1]cs2_parameters!#REF!</definedName>
    <definedName name="u_S">parameters!$B$15</definedName>
    <definedName name="u_S_trtA" localSheetId="14">#REF!</definedName>
    <definedName name="u_S_trtA">payoffs!$H$3</definedName>
    <definedName name="u_S_trtB" localSheetId="14">#REF!</definedName>
    <definedName name="u_S_trtB">payoffs!$H$6</definedName>
    <definedName name="u_S_trtC" localSheetId="14">#REF!</definedName>
    <definedName name="u_S_trtC">payoffs!$H$9</definedName>
    <definedName name="u_S_trtD" localSheetId="14">#REF!</definedName>
    <definedName name="u_S_trtD">payoffs!$H$12</definedName>
    <definedName name="u_S_trtE" localSheetId="14">#REF!</definedName>
    <definedName name="u_S_trtE">payoffs!$H$15</definedName>
    <definedName name="v_costs">ICER_Alt!$D$3:$D$7</definedName>
    <definedName name="v_effects">ICER_Alt!$E$3:$E$7</definedName>
    <definedName name="v_strategies">ICER_Alt!$C$3:$C$7</definedName>
    <definedName name="w_c_disc_trtA" localSheetId="14">[1]cs2_trtA!#REF!</definedName>
    <definedName name="w_c_disc_trtA" localSheetId="9">trtB!$P$4:$P$79</definedName>
    <definedName name="w_c_disc_trtA" localSheetId="10">trtC!$P$4:$P$79</definedName>
    <definedName name="w_c_disc_trtA" localSheetId="11">trtD!$P$4:$P$79</definedName>
    <definedName name="w_c_disc_trtA" localSheetId="12">trtE!$P$4:$P$79</definedName>
    <definedName name="w_c_disc_trtA">trtA!$P$4:$P$79</definedName>
    <definedName name="w_c_disc_trtB" localSheetId="10">trtC!$P$4:$P$79</definedName>
    <definedName name="w_c_disc_trtB" localSheetId="11">trtD!$P$4:$P$79</definedName>
    <definedName name="w_c_disc_trtB" localSheetId="12">trtE!$P$4:$P$79</definedName>
    <definedName name="w_c_disc_trtB">trtB!$P$4:$P$79</definedName>
    <definedName name="w_c_disc_trtC" localSheetId="11">trtD!$P$4:$P$79</definedName>
    <definedName name="w_c_disc_trtC" localSheetId="12">trtE!$P$4:$P$79</definedName>
    <definedName name="w_c_disc_trtC">trtC!$P$4:$P$79</definedName>
    <definedName name="w_c_disc_trtD">trtD!$P$4:$P$79</definedName>
    <definedName name="w_c_disc_trtE">trtE!$P$4:$P$79</definedName>
    <definedName name="w_c_trtA" localSheetId="14">[1]cs2_trtA!#REF!</definedName>
    <definedName name="w_c_trtA" localSheetId="9">trtB!$U$4:$U$79</definedName>
    <definedName name="w_c_trtA" localSheetId="10">trtC!$U$4:$U$79</definedName>
    <definedName name="w_c_trtA" localSheetId="11">trtD!$U$4:$U$79</definedName>
    <definedName name="w_c_trtA" localSheetId="12">trtE!$U$4:$U$79</definedName>
    <definedName name="w_c_trtA">trtA!$U$4:$U$79</definedName>
    <definedName name="w_c_trtB" localSheetId="14">#REF!</definedName>
    <definedName name="w_c_trtB" localSheetId="10">trtC!$U$4:$U$79</definedName>
    <definedName name="w_c_trtB" localSheetId="11">trtD!$U$4:$U$79</definedName>
    <definedName name="w_c_trtB" localSheetId="12">trtE!$U$4:$U$79</definedName>
    <definedName name="w_c_trtB">trtB!$U$4:$U$79</definedName>
    <definedName name="w_c_trtC" localSheetId="14">#REF!</definedName>
    <definedName name="w_c_trtC" localSheetId="11">trtD!$U$4:$U$79</definedName>
    <definedName name="w_c_trtC" localSheetId="12">trtE!$U$4:$U$79</definedName>
    <definedName name="w_c_trtC">trtC!$U$4:$U$79</definedName>
    <definedName name="w_c_trtD" localSheetId="14">#REF!</definedName>
    <definedName name="w_c_trtD">trtD!$U$4:$U$79</definedName>
    <definedName name="w_c_trtE" localSheetId="14">#REF!</definedName>
    <definedName name="w_c_trtE">trtE!$U$4:$U$79</definedName>
    <definedName name="w_e_disc_trtA" localSheetId="9">trtB!$Q$4:$Q$79</definedName>
    <definedName name="w_e_disc_trtA" localSheetId="10">trtC!$Q$4:$Q$79</definedName>
    <definedName name="w_e_disc_trtA" localSheetId="11">trtD!$Q$4:$Q$79</definedName>
    <definedName name="w_e_disc_trtA" localSheetId="12">trtE!$Q$4:$Q$79</definedName>
    <definedName name="w_e_disc_trtA">trtA!$Q$4:$Q$79</definedName>
    <definedName name="w_e_disc_trtB" localSheetId="10">trtC!$Q$4:$Q$79</definedName>
    <definedName name="w_e_disc_trtB" localSheetId="11">trtD!$Q$4:$Q$79</definedName>
    <definedName name="w_e_disc_trtB" localSheetId="12">trtE!$Q$4:$Q$79</definedName>
    <definedName name="w_e_disc_trtB">trtB!$Q$4:$Q$79</definedName>
    <definedName name="w_e_disc_trtC" localSheetId="11">trtD!$Q$4:$Q$79</definedName>
    <definedName name="w_e_disc_trtC" localSheetId="12">trtE!$Q$4:$Q$79</definedName>
    <definedName name="w_e_disc_trtC">trtC!$Q$4:$Q$79</definedName>
    <definedName name="w_e_disc_trtD">trtD!$Q$4:$Q$79</definedName>
    <definedName name="w_e_disc_trtE">trtE!$Q$4:$Q$79</definedName>
    <definedName name="w_e_trtA" localSheetId="14">[1]cs2_trtA!#REF!</definedName>
    <definedName name="w_e_trtA" localSheetId="9">trtB!$V$4:$V$79</definedName>
    <definedName name="w_e_trtA" localSheetId="10">trtC!$V$4:$V$79</definedName>
    <definedName name="w_e_trtA" localSheetId="11">trtD!$V$4:$V$79</definedName>
    <definedName name="w_e_trtA" localSheetId="12">trtE!$V$4:$V$79</definedName>
    <definedName name="w_e_trtA">trtA!$V$4:$V$79</definedName>
    <definedName name="w_e_trtB" localSheetId="14">#REF!</definedName>
    <definedName name="w_e_trtB" localSheetId="10">trtC!$V$4:$V$79</definedName>
    <definedName name="w_e_trtB" localSheetId="11">trtD!$V$4:$V$79</definedName>
    <definedName name="w_e_trtB" localSheetId="12">trtE!$V$4:$V$79</definedName>
    <definedName name="w_e_trtB">trtB!$V$4:$V$79</definedName>
    <definedName name="w_e_trtC" localSheetId="14">#REF!</definedName>
    <definedName name="w_e_trtC" localSheetId="11">trtD!$V$4:$V$79</definedName>
    <definedName name="w_e_trtC" localSheetId="12">trtE!$V$4:$V$79</definedName>
    <definedName name="w_e_trtC">trtC!$V$4:$V$79</definedName>
    <definedName name="w_e_trtD" localSheetId="14">#REF!</definedName>
    <definedName name="w_e_trtD">trtD!$V$4:$V$79</definedName>
    <definedName name="w_e_trtE" localSheetId="14">#REF!</definedName>
    <definedName name="w_e_trtE">trtE!$V$4:$V$79</definedName>
    <definedName name="w_simp_trtA" localSheetId="9">trtB!$S$4:$S$79</definedName>
    <definedName name="w_simp_trtA" localSheetId="10">trtC!$S$4:$S$79</definedName>
    <definedName name="w_simp_trtA" localSheetId="11">trtD!$S$4:$S$79</definedName>
    <definedName name="w_simp_trtA" localSheetId="12">trtE!$S$4:$S$79</definedName>
    <definedName name="w_simp_trtA">trtA!$S$4:$S$79</definedName>
    <definedName name="w_simp_trtB" localSheetId="10">trtC!$S$4:$S$79</definedName>
    <definedName name="w_simp_trtB" localSheetId="11">trtD!$S$4:$S$79</definedName>
    <definedName name="w_simp_trtB" localSheetId="12">trtE!$S$4:$S$79</definedName>
    <definedName name="w_simp_trtB">trtB!$S$4:$S$79</definedName>
    <definedName name="w_simp_trtC" localSheetId="11">trtD!$S$4:$S$79</definedName>
    <definedName name="w_simp_trtC" localSheetId="12">trtE!$S$4:$S$79</definedName>
    <definedName name="w_simp_trtC">trtC!$S$4:$S$79</definedName>
    <definedName name="w_simp_trtD">trtD!$S$4:$S$79</definedName>
    <definedName name="w_simp_trtE">trtE!$S$4:$S$79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" i="3" l="1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K16" i="17"/>
  <c r="K8" i="17"/>
  <c r="J8" i="17"/>
  <c r="K19" i="17"/>
  <c r="I11" i="17"/>
  <c r="I3" i="17"/>
  <c r="K3" i="17"/>
  <c r="F20" i="9"/>
  <c r="E20" i="9"/>
  <c r="F19" i="9"/>
  <c r="S19" i="9" s="1"/>
  <c r="E19" i="9"/>
  <c r="R19" i="9" s="1"/>
  <c r="D19" i="9"/>
  <c r="Q19" i="9" s="1"/>
  <c r="F16" i="9"/>
  <c r="S16" i="9" s="1"/>
  <c r="E16" i="9"/>
  <c r="R16" i="9" s="1"/>
  <c r="F15" i="9"/>
  <c r="S15" i="9" s="1"/>
  <c r="E15" i="9"/>
  <c r="R15" i="9" s="1"/>
  <c r="D15" i="9"/>
  <c r="Q15" i="9" s="1"/>
  <c r="F12" i="9"/>
  <c r="S12" i="9" s="1"/>
  <c r="E12" i="9"/>
  <c r="R12" i="9" s="1"/>
  <c r="F11" i="9"/>
  <c r="S11" i="9" s="1"/>
  <c r="E11" i="9"/>
  <c r="R11" i="9" s="1"/>
  <c r="D11" i="9"/>
  <c r="Q11" i="9" s="1"/>
  <c r="F8" i="9"/>
  <c r="S8" i="9" s="1"/>
  <c r="E8" i="9"/>
  <c r="R8" i="9" s="1"/>
  <c r="F7" i="9"/>
  <c r="S7" i="9" s="1"/>
  <c r="E7" i="9"/>
  <c r="R7" i="9" s="1"/>
  <c r="D7" i="9"/>
  <c r="Q7" i="9" s="1"/>
  <c r="F4" i="9"/>
  <c r="E4" i="9"/>
  <c r="R4" i="9" s="1"/>
  <c r="F3" i="9"/>
  <c r="S3" i="9" s="1"/>
  <c r="E3" i="9"/>
  <c r="R3" i="9" s="1"/>
  <c r="D3" i="9"/>
  <c r="E3" i="17"/>
  <c r="J3" i="17" s="1"/>
  <c r="F21" i="17"/>
  <c r="F20" i="17"/>
  <c r="K20" i="17" s="1"/>
  <c r="E20" i="17"/>
  <c r="F19" i="17"/>
  <c r="E19" i="17"/>
  <c r="J19" i="17" s="1"/>
  <c r="D19" i="17"/>
  <c r="F16" i="17"/>
  <c r="J16" i="17" s="1"/>
  <c r="E16" i="17"/>
  <c r="F15" i="17"/>
  <c r="E15" i="17"/>
  <c r="K15" i="17" s="1"/>
  <c r="D15" i="17"/>
  <c r="F12" i="17"/>
  <c r="K12" i="17" s="1"/>
  <c r="E12" i="17"/>
  <c r="F11" i="17"/>
  <c r="K11" i="17" s="1"/>
  <c r="E11" i="17"/>
  <c r="J11" i="17" s="1"/>
  <c r="D11" i="17"/>
  <c r="F8" i="17"/>
  <c r="E8" i="17"/>
  <c r="F7" i="17"/>
  <c r="K7" i="17" s="1"/>
  <c r="E7" i="17"/>
  <c r="J7" i="17" s="1"/>
  <c r="D7" i="17"/>
  <c r="F4" i="17"/>
  <c r="K4" i="17" s="1"/>
  <c r="E4" i="17"/>
  <c r="F3" i="17"/>
  <c r="D3" i="17"/>
  <c r="B20" i="15"/>
  <c r="B19" i="15"/>
  <c r="B18" i="15"/>
  <c r="B17" i="15"/>
  <c r="B16" i="15"/>
  <c r="B15" i="15"/>
  <c r="B14" i="15"/>
  <c r="B13" i="15"/>
  <c r="B12" i="15"/>
  <c r="B4" i="15"/>
  <c r="B5" i="15"/>
  <c r="B6" i="15"/>
  <c r="B7" i="15"/>
  <c r="B8" i="15"/>
  <c r="B9" i="15"/>
  <c r="B10" i="15"/>
  <c r="B11" i="15"/>
  <c r="B3" i="15"/>
  <c r="E10" i="14"/>
  <c r="F10" i="14" s="1"/>
  <c r="S79" i="13"/>
  <c r="S78" i="13"/>
  <c r="S77" i="13"/>
  <c r="S76" i="13"/>
  <c r="S75" i="13"/>
  <c r="S74" i="13"/>
  <c r="S73" i="13"/>
  <c r="S72" i="13"/>
  <c r="S71" i="13"/>
  <c r="S70" i="13"/>
  <c r="S69" i="13"/>
  <c r="S68" i="13"/>
  <c r="S67" i="13"/>
  <c r="S66" i="13"/>
  <c r="S65" i="13"/>
  <c r="S64" i="13"/>
  <c r="S63" i="13"/>
  <c r="S62" i="13"/>
  <c r="S61" i="13"/>
  <c r="S60" i="13"/>
  <c r="S59" i="13"/>
  <c r="S58" i="13"/>
  <c r="S57" i="13"/>
  <c r="S56" i="13"/>
  <c r="S55" i="13"/>
  <c r="S54" i="13"/>
  <c r="S53" i="13"/>
  <c r="S52" i="13"/>
  <c r="S51" i="13"/>
  <c r="S50" i="13"/>
  <c r="S49" i="13"/>
  <c r="S48" i="13"/>
  <c r="S47" i="13"/>
  <c r="S46" i="13"/>
  <c r="S45" i="13"/>
  <c r="S44" i="13"/>
  <c r="S43" i="13"/>
  <c r="S42" i="13"/>
  <c r="S41" i="13"/>
  <c r="S40" i="13"/>
  <c r="S39" i="13"/>
  <c r="S38" i="13"/>
  <c r="S37" i="13"/>
  <c r="S36" i="13"/>
  <c r="S35" i="13"/>
  <c r="S34" i="13"/>
  <c r="S33" i="13"/>
  <c r="S32" i="13"/>
  <c r="S31" i="13"/>
  <c r="S30" i="13"/>
  <c r="S29" i="13"/>
  <c r="S28" i="13"/>
  <c r="S27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S12" i="13"/>
  <c r="S11" i="13"/>
  <c r="S10" i="13"/>
  <c r="S9" i="13"/>
  <c r="S8" i="13"/>
  <c r="S7" i="13"/>
  <c r="S6" i="13"/>
  <c r="S5" i="13"/>
  <c r="G5" i="13"/>
  <c r="Q5" i="13" s="1"/>
  <c r="S4" i="13"/>
  <c r="Q4" i="13"/>
  <c r="P4" i="13"/>
  <c r="S79" i="12"/>
  <c r="S78" i="12"/>
  <c r="S77" i="12"/>
  <c r="S76" i="12"/>
  <c r="S75" i="12"/>
  <c r="S74" i="12"/>
  <c r="S73" i="12"/>
  <c r="S72" i="12"/>
  <c r="S71" i="12"/>
  <c r="S70" i="12"/>
  <c r="S69" i="12"/>
  <c r="S68" i="12"/>
  <c r="S67" i="12"/>
  <c r="S66" i="12"/>
  <c r="S65" i="12"/>
  <c r="S64" i="12"/>
  <c r="S63" i="12"/>
  <c r="S62" i="12"/>
  <c r="S61" i="12"/>
  <c r="S60" i="12"/>
  <c r="S59" i="12"/>
  <c r="S58" i="12"/>
  <c r="S57" i="12"/>
  <c r="S56" i="12"/>
  <c r="S55" i="12"/>
  <c r="S54" i="12"/>
  <c r="S53" i="12"/>
  <c r="S52" i="12"/>
  <c r="S51" i="12"/>
  <c r="S50" i="12"/>
  <c r="S49" i="12"/>
  <c r="S48" i="12"/>
  <c r="S47" i="12"/>
  <c r="S46" i="12"/>
  <c r="S45" i="12"/>
  <c r="S44" i="12"/>
  <c r="S43" i="12"/>
  <c r="S42" i="12"/>
  <c r="S41" i="12"/>
  <c r="S40" i="12"/>
  <c r="S39" i="12"/>
  <c r="S38" i="12"/>
  <c r="S37" i="12"/>
  <c r="S36" i="12"/>
  <c r="S35" i="12"/>
  <c r="S34" i="12"/>
  <c r="S33" i="12"/>
  <c r="S32" i="12"/>
  <c r="S31" i="12"/>
  <c r="S30" i="12"/>
  <c r="S29" i="12"/>
  <c r="S28" i="12"/>
  <c r="S27" i="12"/>
  <c r="S26" i="12"/>
  <c r="S25" i="12"/>
  <c r="S24" i="12"/>
  <c r="S23" i="12"/>
  <c r="S22" i="12"/>
  <c r="S21" i="12"/>
  <c r="S20" i="12"/>
  <c r="S19" i="12"/>
  <c r="S18" i="12"/>
  <c r="S17" i="12"/>
  <c r="S16" i="12"/>
  <c r="S15" i="12"/>
  <c r="S14" i="12"/>
  <c r="S13" i="12"/>
  <c r="S12" i="12"/>
  <c r="S11" i="12"/>
  <c r="S10" i="12"/>
  <c r="S9" i="12"/>
  <c r="S8" i="12"/>
  <c r="S7" i="12"/>
  <c r="S6" i="12"/>
  <c r="S5" i="12"/>
  <c r="G5" i="12"/>
  <c r="Q5" i="12" s="1"/>
  <c r="V5" i="12" s="1"/>
  <c r="S4" i="12"/>
  <c r="Q4" i="12"/>
  <c r="V4" i="12" s="1"/>
  <c r="P4" i="12"/>
  <c r="U4" i="12" s="1"/>
  <c r="S79" i="11"/>
  <c r="S78" i="11"/>
  <c r="S77" i="11"/>
  <c r="S76" i="11"/>
  <c r="S75" i="11"/>
  <c r="S74" i="11"/>
  <c r="S73" i="11"/>
  <c r="S72" i="11"/>
  <c r="S71" i="11"/>
  <c r="S70" i="11"/>
  <c r="S69" i="11"/>
  <c r="S68" i="11"/>
  <c r="S67" i="11"/>
  <c r="S66" i="11"/>
  <c r="S65" i="11"/>
  <c r="S64" i="11"/>
  <c r="S63" i="11"/>
  <c r="S62" i="11"/>
  <c r="S61" i="11"/>
  <c r="S60" i="11"/>
  <c r="S59" i="11"/>
  <c r="S58" i="11"/>
  <c r="S57" i="11"/>
  <c r="S56" i="11"/>
  <c r="S55" i="11"/>
  <c r="S54" i="11"/>
  <c r="S53" i="11"/>
  <c r="S52" i="11"/>
  <c r="S51" i="11"/>
  <c r="S50" i="11"/>
  <c r="S49" i="11"/>
  <c r="S48" i="11"/>
  <c r="S47" i="11"/>
  <c r="S46" i="11"/>
  <c r="S45" i="11"/>
  <c r="S44" i="11"/>
  <c r="S43" i="11"/>
  <c r="S42" i="11"/>
  <c r="S41" i="11"/>
  <c r="S40" i="11"/>
  <c r="S39" i="11"/>
  <c r="S38" i="11"/>
  <c r="S37" i="11"/>
  <c r="S36" i="11"/>
  <c r="S35" i="11"/>
  <c r="S34" i="11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G5" i="11"/>
  <c r="Q5" i="11" s="1"/>
  <c r="V5" i="11" s="1"/>
  <c r="S4" i="11"/>
  <c r="Q4" i="11"/>
  <c r="P4" i="11"/>
  <c r="U4" i="11" s="1"/>
  <c r="S79" i="10"/>
  <c r="S78" i="10"/>
  <c r="S77" i="10"/>
  <c r="S76" i="10"/>
  <c r="S75" i="10"/>
  <c r="S74" i="10"/>
  <c r="S73" i="10"/>
  <c r="S72" i="10"/>
  <c r="S71" i="10"/>
  <c r="S70" i="10"/>
  <c r="S69" i="10"/>
  <c r="S68" i="10"/>
  <c r="S67" i="10"/>
  <c r="S66" i="10"/>
  <c r="S65" i="10"/>
  <c r="S64" i="10"/>
  <c r="S63" i="10"/>
  <c r="S62" i="10"/>
  <c r="S61" i="10"/>
  <c r="S60" i="10"/>
  <c r="S59" i="10"/>
  <c r="S58" i="10"/>
  <c r="S57" i="10"/>
  <c r="S56" i="10"/>
  <c r="S55" i="10"/>
  <c r="S54" i="10"/>
  <c r="S53" i="10"/>
  <c r="S52" i="10"/>
  <c r="S51" i="10"/>
  <c r="S50" i="10"/>
  <c r="S49" i="10"/>
  <c r="S48" i="10"/>
  <c r="S47" i="10"/>
  <c r="S46" i="10"/>
  <c r="S45" i="10"/>
  <c r="S44" i="10"/>
  <c r="S43" i="10"/>
  <c r="S42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G5" i="10"/>
  <c r="Q5" i="10" s="1"/>
  <c r="V5" i="10" s="1"/>
  <c r="S4" i="10"/>
  <c r="Q4" i="10"/>
  <c r="P4" i="10"/>
  <c r="B42" i="1"/>
  <c r="B41" i="1"/>
  <c r="B40" i="1"/>
  <c r="B39" i="1"/>
  <c r="B38" i="1"/>
  <c r="B37" i="1"/>
  <c r="P4" i="3"/>
  <c r="Q4" i="3"/>
  <c r="E2" i="2"/>
  <c r="D6" i="3" s="1"/>
  <c r="R21" i="9"/>
  <c r="Q21" i="9"/>
  <c r="Q20" i="9"/>
  <c r="S17" i="9"/>
  <c r="R17" i="9"/>
  <c r="Q17" i="9"/>
  <c r="Q16" i="9"/>
  <c r="S13" i="9"/>
  <c r="R13" i="9"/>
  <c r="Q13" i="9"/>
  <c r="Q12" i="9"/>
  <c r="F21" i="9"/>
  <c r="S21" i="9" s="1"/>
  <c r="S20" i="9"/>
  <c r="R20" i="9"/>
  <c r="S9" i="9"/>
  <c r="R9" i="9"/>
  <c r="Q9" i="9"/>
  <c r="Q8" i="9"/>
  <c r="S5" i="9"/>
  <c r="R5" i="9"/>
  <c r="Q5" i="9"/>
  <c r="Q4" i="9"/>
  <c r="S4" i="9"/>
  <c r="H16" i="2"/>
  <c r="E8" i="13" s="1"/>
  <c r="H15" i="2"/>
  <c r="E7" i="13" s="1"/>
  <c r="H14" i="2"/>
  <c r="E6" i="13" s="1"/>
  <c r="H13" i="2"/>
  <c r="E8" i="12" s="1"/>
  <c r="H12" i="2"/>
  <c r="E7" i="12" s="1"/>
  <c r="H11" i="2"/>
  <c r="E6" i="12" s="1"/>
  <c r="H10" i="2"/>
  <c r="E8" i="11" s="1"/>
  <c r="H9" i="2"/>
  <c r="H8" i="2"/>
  <c r="E6" i="11" s="1"/>
  <c r="H7" i="2"/>
  <c r="E8" i="10" s="1"/>
  <c r="H6" i="2"/>
  <c r="E7" i="10" s="1"/>
  <c r="H5" i="2"/>
  <c r="E6" i="10" s="1"/>
  <c r="H4" i="2"/>
  <c r="E8" i="3" s="1"/>
  <c r="H3" i="2"/>
  <c r="E7" i="3" s="1"/>
  <c r="H2" i="2"/>
  <c r="E6" i="3" s="1"/>
  <c r="E16" i="2"/>
  <c r="D8" i="13" s="1"/>
  <c r="E15" i="2"/>
  <c r="D7" i="13" s="1"/>
  <c r="E14" i="2"/>
  <c r="D6" i="13" s="1"/>
  <c r="E13" i="2"/>
  <c r="D8" i="12" s="1"/>
  <c r="E12" i="2"/>
  <c r="D7" i="12" s="1"/>
  <c r="E11" i="2"/>
  <c r="D6" i="12" s="1"/>
  <c r="E10" i="2"/>
  <c r="E9" i="2"/>
  <c r="E8" i="2"/>
  <c r="D6" i="11" s="1"/>
  <c r="E7" i="2"/>
  <c r="E6" i="2"/>
  <c r="D7" i="10" s="1"/>
  <c r="E5" i="2"/>
  <c r="E4" i="2"/>
  <c r="D8" i="3" s="1" a="1"/>
  <c r="D8" i="3" s="1"/>
  <c r="E3" i="2"/>
  <c r="D7" i="3" s="1"/>
  <c r="I19" i="17" l="1"/>
  <c r="J20" i="17"/>
  <c r="J4" i="17"/>
  <c r="I7" i="17"/>
  <c r="J12" i="17"/>
  <c r="I15" i="17"/>
  <c r="J15" i="17"/>
  <c r="Q3" i="9"/>
  <c r="V4" i="3"/>
  <c r="V4" i="13"/>
  <c r="V4" i="11"/>
  <c r="V5" i="13"/>
  <c r="U4" i="13"/>
  <c r="D8" i="11"/>
  <c r="D7" i="11"/>
  <c r="G6" i="13"/>
  <c r="P5" i="13"/>
  <c r="U5" i="13" s="1"/>
  <c r="E7" i="11"/>
  <c r="G6" i="12"/>
  <c r="P5" i="12"/>
  <c r="U5" i="12" s="1"/>
  <c r="D8" i="10"/>
  <c r="D6" i="10"/>
  <c r="G6" i="11"/>
  <c r="V4" i="10"/>
  <c r="P5" i="11"/>
  <c r="U5" i="11" s="1"/>
  <c r="U4" i="3"/>
  <c r="U4" i="10"/>
  <c r="G6" i="10"/>
  <c r="P5" i="10"/>
  <c r="U5" i="10" s="1"/>
  <c r="U19" i="9" a="1"/>
  <c r="U7" i="9" a="1"/>
  <c r="U3" i="9" l="1" a="1"/>
  <c r="U3" i="9" s="1"/>
  <c r="Q6" i="13"/>
  <c r="V6" i="13" s="1"/>
  <c r="P6" i="13"/>
  <c r="U6" i="13" s="1"/>
  <c r="G7" i="13"/>
  <c r="Q6" i="12"/>
  <c r="V6" i="12" s="1"/>
  <c r="P6" i="12"/>
  <c r="U6" i="12" s="1"/>
  <c r="G7" i="12"/>
  <c r="P6" i="11"/>
  <c r="U6" i="11" s="1"/>
  <c r="Q6" i="11"/>
  <c r="V6" i="11" s="1"/>
  <c r="G7" i="11"/>
  <c r="U7" i="9"/>
  <c r="Q6" i="10"/>
  <c r="V6" i="10" s="1"/>
  <c r="P6" i="10"/>
  <c r="U6" i="10" s="1"/>
  <c r="G7" i="10"/>
  <c r="U19" i="9"/>
  <c r="U15" i="9" a="1"/>
  <c r="U11" i="9" a="1"/>
  <c r="P7" i="13" l="1"/>
  <c r="U7" i="13" s="1"/>
  <c r="Q7" i="13"/>
  <c r="V7" i="13" s="1"/>
  <c r="G8" i="13"/>
  <c r="P7" i="12"/>
  <c r="U7" i="12" s="1"/>
  <c r="Q7" i="12"/>
  <c r="V7" i="12" s="1"/>
  <c r="G8" i="12"/>
  <c r="P7" i="11"/>
  <c r="U7" i="11" s="1"/>
  <c r="Q7" i="11"/>
  <c r="V7" i="11" s="1"/>
  <c r="G8" i="11"/>
  <c r="Y19" i="9" a="1"/>
  <c r="Q7" i="10"/>
  <c r="V7" i="10" s="1"/>
  <c r="P7" i="10"/>
  <c r="U7" i="10" s="1"/>
  <c r="G8" i="10"/>
  <c r="Y3" i="9" a="1"/>
  <c r="U11" i="9"/>
  <c r="U15" i="9"/>
  <c r="Q8" i="13" l="1"/>
  <c r="V8" i="13" s="1"/>
  <c r="P8" i="13"/>
  <c r="U8" i="13" s="1"/>
  <c r="G9" i="13"/>
  <c r="Q8" i="12"/>
  <c r="V8" i="12" s="1"/>
  <c r="P8" i="12"/>
  <c r="U8" i="12" s="1"/>
  <c r="G9" i="12"/>
  <c r="Q8" i="11"/>
  <c r="V8" i="11" s="1"/>
  <c r="P8" i="11"/>
  <c r="U8" i="11" s="1"/>
  <c r="G9" i="11"/>
  <c r="Y19" i="9"/>
  <c r="Q8" i="10"/>
  <c r="V8" i="10" s="1"/>
  <c r="P8" i="10"/>
  <c r="U8" i="10" s="1"/>
  <c r="G9" i="10"/>
  <c r="Y3" i="9"/>
  <c r="Y11" i="9" a="1"/>
  <c r="Y7" i="9" a="1"/>
  <c r="Y15" i="9" a="1"/>
  <c r="Q9" i="13" l="1"/>
  <c r="V9" i="13" s="1"/>
  <c r="P9" i="13"/>
  <c r="U9" i="13" s="1"/>
  <c r="G10" i="13"/>
  <c r="Q9" i="12"/>
  <c r="V9" i="12" s="1"/>
  <c r="P9" i="12"/>
  <c r="U9" i="12" s="1"/>
  <c r="G10" i="12"/>
  <c r="Q9" i="11"/>
  <c r="V9" i="11" s="1"/>
  <c r="P9" i="11"/>
  <c r="U9" i="11" s="1"/>
  <c r="G10" i="11"/>
  <c r="Q9" i="10"/>
  <c r="V9" i="10" s="1"/>
  <c r="P9" i="10"/>
  <c r="U9" i="10" s="1"/>
  <c r="G10" i="10"/>
  <c r="AC19" i="9" a="1"/>
  <c r="AC3" i="9" a="1"/>
  <c r="Y11" i="9"/>
  <c r="Y15" i="9"/>
  <c r="Y7" i="9"/>
  <c r="G11" i="13" l="1"/>
  <c r="Q10" i="13"/>
  <c r="V10" i="13" s="1"/>
  <c r="P10" i="13"/>
  <c r="U10" i="13" s="1"/>
  <c r="G11" i="12"/>
  <c r="Q10" i="12"/>
  <c r="V10" i="12" s="1"/>
  <c r="P10" i="12"/>
  <c r="U10" i="12" s="1"/>
  <c r="G11" i="11"/>
  <c r="Q10" i="11"/>
  <c r="V10" i="11" s="1"/>
  <c r="P10" i="11"/>
  <c r="U10" i="11" s="1"/>
  <c r="AC19" i="9"/>
  <c r="I19" i="9" s="1"/>
  <c r="J20" i="9"/>
  <c r="J19" i="9"/>
  <c r="J21" i="9"/>
  <c r="K21" i="9"/>
  <c r="K19" i="9"/>
  <c r="I21" i="9"/>
  <c r="I20" i="9"/>
  <c r="K20" i="9"/>
  <c r="G11" i="10"/>
  <c r="P10" i="10"/>
  <c r="U10" i="10" s="1"/>
  <c r="Q10" i="10"/>
  <c r="V10" i="10" s="1"/>
  <c r="AC3" i="9"/>
  <c r="I3" i="9" s="1"/>
  <c r="K4" i="9"/>
  <c r="K3" i="9"/>
  <c r="K5" i="9"/>
  <c r="J4" i="9"/>
  <c r="J3" i="9"/>
  <c r="AC7" i="9" a="1"/>
  <c r="J8" i="9" s="1"/>
  <c r="AC15" i="9" a="1"/>
  <c r="AC11" i="9" a="1"/>
  <c r="H5" i="13" l="1" a="1"/>
  <c r="H5" i="13" s="1"/>
  <c r="H6" i="13" s="1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H35" i="13" s="1" a="1"/>
  <c r="H35" i="13" s="1"/>
  <c r="H36" i="13" s="1" a="1"/>
  <c r="H36" i="13" s="1"/>
  <c r="H37" i="13" s="1" a="1"/>
  <c r="H37" i="13" s="1"/>
  <c r="H38" i="13" s="1" a="1"/>
  <c r="H38" i="13" s="1"/>
  <c r="H39" i="13" s="1" a="1"/>
  <c r="H39" i="13" s="1"/>
  <c r="H40" i="13" s="1" a="1"/>
  <c r="H40" i="13" s="1"/>
  <c r="H41" i="13" s="1" a="1"/>
  <c r="H41" i="13" s="1"/>
  <c r="H42" i="13" s="1" a="1"/>
  <c r="H42" i="13" s="1"/>
  <c r="H43" i="13" s="1" a="1"/>
  <c r="H43" i="13" s="1"/>
  <c r="H44" i="13" s="1" a="1"/>
  <c r="H44" i="13" s="1"/>
  <c r="H45" i="13" s="1" a="1"/>
  <c r="H45" i="13" s="1"/>
  <c r="H46" i="13" s="1" a="1"/>
  <c r="H46" i="13" s="1"/>
  <c r="H47" i="13" s="1" a="1"/>
  <c r="H47" i="13" s="1"/>
  <c r="H48" i="13" s="1" a="1"/>
  <c r="H48" i="13" s="1"/>
  <c r="H49" i="13" s="1" a="1"/>
  <c r="H49" i="13" s="1"/>
  <c r="H50" i="13" s="1" a="1"/>
  <c r="H50" i="13" s="1"/>
  <c r="H51" i="13" s="1" a="1"/>
  <c r="H51" i="13" s="1"/>
  <c r="H52" i="13" s="1" a="1"/>
  <c r="H52" i="13" s="1"/>
  <c r="H53" i="13" s="1" a="1"/>
  <c r="H53" i="13" s="1"/>
  <c r="H54" i="13" s="1" a="1"/>
  <c r="H54" i="13" s="1"/>
  <c r="H55" i="13" s="1" a="1"/>
  <c r="H55" i="13" s="1"/>
  <c r="H56" i="13" s="1" a="1"/>
  <c r="H56" i="13" s="1"/>
  <c r="H57" i="13" s="1" a="1"/>
  <c r="H57" i="13" s="1"/>
  <c r="H58" i="13" s="1" a="1"/>
  <c r="H58" i="13" s="1"/>
  <c r="H59" i="13" s="1" a="1"/>
  <c r="H59" i="13" s="1"/>
  <c r="H60" i="13" s="1" a="1"/>
  <c r="H60" i="13" s="1"/>
  <c r="H61" i="13" s="1" a="1"/>
  <c r="H61" i="13" s="1"/>
  <c r="H62" i="13" s="1" a="1"/>
  <c r="H62" i="13" s="1"/>
  <c r="H63" i="13" s="1" a="1"/>
  <c r="H63" i="13" s="1"/>
  <c r="H64" i="13" s="1" a="1"/>
  <c r="H64" i="13" s="1"/>
  <c r="H65" i="13" s="1" a="1"/>
  <c r="H65" i="13" s="1"/>
  <c r="H66" i="13" s="1" a="1"/>
  <c r="H66" i="13" s="1"/>
  <c r="H67" i="13" s="1" a="1"/>
  <c r="H67" i="13" s="1"/>
  <c r="H68" i="13" s="1" a="1"/>
  <c r="H68" i="13" s="1"/>
  <c r="H69" i="13" s="1" a="1"/>
  <c r="H69" i="13" s="1"/>
  <c r="H70" i="13" s="1" a="1"/>
  <c r="H70" i="13" s="1"/>
  <c r="H71" i="13" s="1" a="1"/>
  <c r="H71" i="13" s="1"/>
  <c r="H72" i="13" s="1" a="1"/>
  <c r="H72" i="13" s="1"/>
  <c r="H73" i="13" s="1" a="1"/>
  <c r="H73" i="13" s="1"/>
  <c r="H74" i="13" s="1" a="1"/>
  <c r="H74" i="13" s="1"/>
  <c r="H75" i="13" s="1" a="1"/>
  <c r="H75" i="13" s="1"/>
  <c r="H76" i="13" s="1" a="1"/>
  <c r="H76" i="13" s="1"/>
  <c r="H77" i="13" s="1" a="1"/>
  <c r="H77" i="13" s="1"/>
  <c r="H78" i="13" s="1" a="1"/>
  <c r="H78" i="13" s="1"/>
  <c r="H79" i="13" s="1" a="1"/>
  <c r="H79" i="13" s="1"/>
  <c r="G12" i="13"/>
  <c r="P11" i="13"/>
  <c r="U11" i="13" s="1"/>
  <c r="Q11" i="13"/>
  <c r="V11" i="13" s="1"/>
  <c r="Q11" i="12"/>
  <c r="V11" i="12" s="1"/>
  <c r="G12" i="12"/>
  <c r="P11" i="12"/>
  <c r="U11" i="12" s="1"/>
  <c r="Q11" i="11"/>
  <c r="V11" i="11" s="1"/>
  <c r="G12" i="11"/>
  <c r="P11" i="11"/>
  <c r="U11" i="11" s="1"/>
  <c r="J15" i="9"/>
  <c r="I16" i="9"/>
  <c r="K16" i="9"/>
  <c r="J17" i="9"/>
  <c r="K15" i="9"/>
  <c r="J16" i="9"/>
  <c r="I17" i="9"/>
  <c r="K17" i="9"/>
  <c r="G12" i="10"/>
  <c r="Q11" i="10"/>
  <c r="V11" i="10" s="1"/>
  <c r="P11" i="10"/>
  <c r="U11" i="10" s="1"/>
  <c r="I13" i="9"/>
  <c r="K11" i="9"/>
  <c r="J13" i="9"/>
  <c r="J11" i="9"/>
  <c r="J12" i="9"/>
  <c r="I12" i="9"/>
  <c r="K13" i="9"/>
  <c r="K12" i="9"/>
  <c r="K9" i="9"/>
  <c r="K7" i="9"/>
  <c r="J9" i="9"/>
  <c r="K8" i="9"/>
  <c r="J7" i="9"/>
  <c r="I9" i="9"/>
  <c r="I8" i="9"/>
  <c r="AC15" i="9"/>
  <c r="I15" i="9" s="1"/>
  <c r="AC11" i="9"/>
  <c r="I11" i="9" s="1"/>
  <c r="I5" i="9"/>
  <c r="I4" i="9"/>
  <c r="J5" i="9"/>
  <c r="AC7" i="9"/>
  <c r="I7" i="9" s="1"/>
  <c r="H5" i="12" l="1" a="1"/>
  <c r="H5" i="12" s="1"/>
  <c r="H6" i="12" s="1" a="1"/>
  <c r="H6" i="12" s="1"/>
  <c r="H7" i="12" s="1" a="1"/>
  <c r="H7" i="12" s="1"/>
  <c r="H8" i="12" s="1" a="1"/>
  <c r="H8" i="12" s="1"/>
  <c r="H9" i="12" s="1" a="1"/>
  <c r="H9" i="12" s="1"/>
  <c r="H10" i="12" s="1" a="1"/>
  <c r="H10" i="12" s="1"/>
  <c r="H11" i="12" s="1" a="1"/>
  <c r="H11" i="12" s="1"/>
  <c r="H12" i="12" s="1" a="1"/>
  <c r="H12" i="12" s="1"/>
  <c r="H13" i="12" s="1" a="1"/>
  <c r="H13" i="12" s="1"/>
  <c r="H14" i="12" s="1" a="1"/>
  <c r="H14" i="12" s="1"/>
  <c r="H15" i="12" s="1" a="1"/>
  <c r="H15" i="12" s="1"/>
  <c r="H16" i="12" s="1" a="1"/>
  <c r="H16" i="12" s="1"/>
  <c r="H17" i="12" s="1" a="1"/>
  <c r="H17" i="12" s="1"/>
  <c r="H18" i="12" s="1" a="1"/>
  <c r="H18" i="12" s="1"/>
  <c r="H19" i="12" s="1" a="1"/>
  <c r="H19" i="12" s="1"/>
  <c r="H20" i="12" s="1" a="1"/>
  <c r="H20" i="12" s="1"/>
  <c r="H21" i="12" s="1" a="1"/>
  <c r="H21" i="12" s="1"/>
  <c r="H22" i="12" s="1" a="1"/>
  <c r="H22" i="12" s="1"/>
  <c r="H23" i="12" s="1" a="1"/>
  <c r="H23" i="12" s="1"/>
  <c r="H24" i="12" s="1" a="1"/>
  <c r="H24" i="12" s="1"/>
  <c r="H25" i="12" s="1" a="1"/>
  <c r="H25" i="12" s="1"/>
  <c r="H26" i="12" s="1" a="1"/>
  <c r="H26" i="12" s="1"/>
  <c r="H27" i="12" s="1" a="1"/>
  <c r="H27" i="12" s="1"/>
  <c r="H28" i="12" s="1" a="1"/>
  <c r="H28" i="12" s="1"/>
  <c r="H29" i="12" s="1" a="1"/>
  <c r="H29" i="12" s="1"/>
  <c r="H30" i="12" s="1" a="1"/>
  <c r="H30" i="12" s="1"/>
  <c r="H31" i="12" s="1" a="1"/>
  <c r="H31" i="12" s="1"/>
  <c r="H32" i="12" s="1" a="1"/>
  <c r="H32" i="12" s="1"/>
  <c r="H33" i="12" s="1" a="1"/>
  <c r="H33" i="12" s="1"/>
  <c r="H34" i="12" s="1" a="1"/>
  <c r="H34" i="12" s="1"/>
  <c r="H35" i="12" s="1" a="1"/>
  <c r="H35" i="12" s="1"/>
  <c r="H36" i="12" s="1" a="1"/>
  <c r="H36" i="12" s="1"/>
  <c r="H37" i="12" s="1" a="1"/>
  <c r="H37" i="12" s="1"/>
  <c r="H38" i="12" s="1" a="1"/>
  <c r="H38" i="12" s="1"/>
  <c r="H39" i="12" s="1" a="1"/>
  <c r="H39" i="12" s="1"/>
  <c r="H40" i="12" s="1" a="1"/>
  <c r="H40" i="12" s="1"/>
  <c r="H41" i="12" s="1" a="1"/>
  <c r="H41" i="12" s="1"/>
  <c r="H42" i="12" s="1" a="1"/>
  <c r="H42" i="12" s="1"/>
  <c r="H43" i="12" s="1" a="1"/>
  <c r="H43" i="12" s="1"/>
  <c r="H44" i="12" s="1" a="1"/>
  <c r="H44" i="12" s="1"/>
  <c r="H45" i="12" s="1" a="1"/>
  <c r="H45" i="12" s="1"/>
  <c r="H46" i="12" s="1" a="1"/>
  <c r="H46" i="12" s="1"/>
  <c r="H47" i="12" s="1" a="1"/>
  <c r="H47" i="12" s="1"/>
  <c r="H48" i="12" s="1" a="1"/>
  <c r="H48" i="12" s="1"/>
  <c r="H49" i="12" s="1" a="1"/>
  <c r="H49" i="12" s="1"/>
  <c r="H50" i="12" s="1" a="1"/>
  <c r="H50" i="12" s="1"/>
  <c r="H51" i="12" s="1" a="1"/>
  <c r="H51" i="12" s="1"/>
  <c r="H52" i="12" s="1" a="1"/>
  <c r="H52" i="12" s="1"/>
  <c r="H53" i="12" s="1" a="1"/>
  <c r="H53" i="12" s="1"/>
  <c r="H54" i="12" s="1" a="1"/>
  <c r="H54" i="12" s="1"/>
  <c r="H55" i="12" s="1" a="1"/>
  <c r="H55" i="12" s="1"/>
  <c r="H56" i="12" s="1" a="1"/>
  <c r="H56" i="12" s="1"/>
  <c r="H57" i="12" s="1" a="1"/>
  <c r="H57" i="12" s="1"/>
  <c r="H58" i="12" s="1" a="1"/>
  <c r="H58" i="12" s="1"/>
  <c r="H59" i="12" s="1" a="1"/>
  <c r="H59" i="12" s="1"/>
  <c r="H60" i="12" s="1" a="1"/>
  <c r="H60" i="12" s="1"/>
  <c r="H61" i="12" s="1" a="1"/>
  <c r="H61" i="12" s="1"/>
  <c r="H62" i="12" s="1" a="1"/>
  <c r="H62" i="12" s="1"/>
  <c r="H63" i="12" s="1" a="1"/>
  <c r="H63" i="12" s="1"/>
  <c r="H64" i="12" s="1" a="1"/>
  <c r="H64" i="12" s="1"/>
  <c r="H65" i="12" s="1" a="1"/>
  <c r="H65" i="12" s="1"/>
  <c r="H66" i="12" s="1" a="1"/>
  <c r="H66" i="12" s="1"/>
  <c r="H67" i="12" s="1" a="1"/>
  <c r="H67" i="12" s="1"/>
  <c r="H68" i="12" s="1" a="1"/>
  <c r="H68" i="12" s="1"/>
  <c r="H69" i="12" s="1" a="1"/>
  <c r="H69" i="12" s="1"/>
  <c r="H70" i="12" s="1" a="1"/>
  <c r="H70" i="12" s="1"/>
  <c r="H71" i="12" s="1" a="1"/>
  <c r="H71" i="12" s="1"/>
  <c r="H72" i="12" s="1" a="1"/>
  <c r="H72" i="12" s="1"/>
  <c r="H73" i="12" s="1" a="1"/>
  <c r="H73" i="12" s="1"/>
  <c r="H74" i="12" s="1" a="1"/>
  <c r="H74" i="12" s="1"/>
  <c r="H75" i="12" s="1" a="1"/>
  <c r="H75" i="12" s="1"/>
  <c r="H76" i="12" s="1" a="1"/>
  <c r="H76" i="12" s="1"/>
  <c r="H77" i="12" s="1" a="1"/>
  <c r="H77" i="12" s="1"/>
  <c r="H78" i="12" s="1" a="1"/>
  <c r="H78" i="12" s="1"/>
  <c r="H79" i="12" s="1" a="1"/>
  <c r="H79" i="12" s="1"/>
  <c r="P12" i="13"/>
  <c r="U12" i="13" s="1"/>
  <c r="G13" i="13"/>
  <c r="Q12" i="13"/>
  <c r="V12" i="13" s="1"/>
  <c r="H5" i="11" a="1"/>
  <c r="H5" i="11" s="1"/>
  <c r="H6" i="11" s="1" a="1"/>
  <c r="H6" i="11" s="1"/>
  <c r="H7" i="11" s="1" a="1"/>
  <c r="H7" i="11" s="1"/>
  <c r="H8" i="11" s="1" a="1"/>
  <c r="H8" i="11" s="1"/>
  <c r="H9" i="11" s="1" a="1"/>
  <c r="H9" i="11" s="1"/>
  <c r="H10" i="11" s="1" a="1"/>
  <c r="H10" i="11" s="1"/>
  <c r="H11" i="11" s="1" a="1"/>
  <c r="H11" i="11" s="1"/>
  <c r="H12" i="11" s="1" a="1"/>
  <c r="H12" i="11" s="1"/>
  <c r="H13" i="11" s="1" a="1"/>
  <c r="H13" i="11" s="1"/>
  <c r="H14" i="11" s="1" a="1"/>
  <c r="H14" i="11" s="1"/>
  <c r="H15" i="11" s="1" a="1"/>
  <c r="H15" i="11" s="1"/>
  <c r="H16" i="11" s="1" a="1"/>
  <c r="H16" i="11" s="1"/>
  <c r="H17" i="11" s="1" a="1"/>
  <c r="H17" i="11" s="1"/>
  <c r="H18" i="11" s="1" a="1"/>
  <c r="H18" i="11" s="1"/>
  <c r="H19" i="11" s="1" a="1"/>
  <c r="H19" i="11" s="1"/>
  <c r="H20" i="11" s="1" a="1"/>
  <c r="H20" i="11" s="1"/>
  <c r="H21" i="11" s="1" a="1"/>
  <c r="H21" i="11" s="1"/>
  <c r="H22" i="11" s="1" a="1"/>
  <c r="H22" i="11" s="1"/>
  <c r="H23" i="11" s="1" a="1"/>
  <c r="H23" i="11" s="1"/>
  <c r="H24" i="11" s="1" a="1"/>
  <c r="H24" i="11" s="1"/>
  <c r="H25" i="11" s="1" a="1"/>
  <c r="H25" i="11" s="1"/>
  <c r="H26" i="11" s="1" a="1"/>
  <c r="H26" i="11" s="1"/>
  <c r="H27" i="11" s="1" a="1"/>
  <c r="H27" i="11" s="1"/>
  <c r="H28" i="11" s="1" a="1"/>
  <c r="H28" i="11" s="1"/>
  <c r="H29" i="11" s="1" a="1"/>
  <c r="H29" i="11" s="1"/>
  <c r="H30" i="11" s="1" a="1"/>
  <c r="H30" i="11" s="1"/>
  <c r="H31" i="11" s="1" a="1"/>
  <c r="H31" i="11" s="1"/>
  <c r="H32" i="11" s="1" a="1"/>
  <c r="H32" i="11" s="1"/>
  <c r="H33" i="11" s="1" a="1"/>
  <c r="H33" i="11" s="1"/>
  <c r="H34" i="11" s="1" a="1"/>
  <c r="H34" i="11" s="1"/>
  <c r="H35" i="11" s="1" a="1"/>
  <c r="H35" i="11" s="1"/>
  <c r="H36" i="11" s="1" a="1"/>
  <c r="H36" i="11" s="1"/>
  <c r="H37" i="11" s="1" a="1"/>
  <c r="H37" i="11" s="1"/>
  <c r="H38" i="11" s="1" a="1"/>
  <c r="H38" i="11" s="1"/>
  <c r="H39" i="11" s="1" a="1"/>
  <c r="H39" i="11" s="1"/>
  <c r="H40" i="11" s="1" a="1"/>
  <c r="H40" i="11" s="1"/>
  <c r="H41" i="11" s="1" a="1"/>
  <c r="H41" i="11" s="1"/>
  <c r="H42" i="11" s="1" a="1"/>
  <c r="H42" i="11" s="1"/>
  <c r="H43" i="11" s="1" a="1"/>
  <c r="H43" i="11" s="1"/>
  <c r="H44" i="11" s="1" a="1"/>
  <c r="H44" i="11" s="1"/>
  <c r="H45" i="11" s="1" a="1"/>
  <c r="H45" i="11" s="1"/>
  <c r="H46" i="11" s="1" a="1"/>
  <c r="H46" i="11" s="1"/>
  <c r="H47" i="11" s="1" a="1"/>
  <c r="H47" i="11" s="1"/>
  <c r="H48" i="11" s="1" a="1"/>
  <c r="H48" i="11" s="1"/>
  <c r="H49" i="11" s="1" a="1"/>
  <c r="H49" i="11" s="1"/>
  <c r="H50" i="11" s="1" a="1"/>
  <c r="H50" i="11" s="1"/>
  <c r="H51" i="11" s="1" a="1"/>
  <c r="H51" i="11" s="1"/>
  <c r="H52" i="11" s="1" a="1"/>
  <c r="H52" i="11" s="1"/>
  <c r="H53" i="11" s="1" a="1"/>
  <c r="H53" i="11" s="1"/>
  <c r="H54" i="11" s="1" a="1"/>
  <c r="H54" i="11" s="1"/>
  <c r="H55" i="11" s="1" a="1"/>
  <c r="H55" i="11" s="1"/>
  <c r="H56" i="11" s="1" a="1"/>
  <c r="H56" i="11" s="1"/>
  <c r="H57" i="11" s="1" a="1"/>
  <c r="H57" i="11" s="1"/>
  <c r="H58" i="11" s="1" a="1"/>
  <c r="H58" i="11" s="1"/>
  <c r="H59" i="11" s="1" a="1"/>
  <c r="H59" i="11" s="1"/>
  <c r="H60" i="11" s="1" a="1"/>
  <c r="H60" i="11" s="1"/>
  <c r="H61" i="11" s="1" a="1"/>
  <c r="H61" i="11" s="1"/>
  <c r="H62" i="11" s="1" a="1"/>
  <c r="H62" i="11" s="1"/>
  <c r="H63" i="11" s="1" a="1"/>
  <c r="H63" i="11" s="1"/>
  <c r="H64" i="11" s="1" a="1"/>
  <c r="H64" i="11" s="1"/>
  <c r="H65" i="11" s="1" a="1"/>
  <c r="H65" i="11" s="1"/>
  <c r="H66" i="11" s="1" a="1"/>
  <c r="H66" i="11" s="1"/>
  <c r="H67" i="11" s="1" a="1"/>
  <c r="H67" i="11" s="1"/>
  <c r="H68" i="11" s="1" a="1"/>
  <c r="H68" i="11" s="1"/>
  <c r="H69" i="11" s="1" a="1"/>
  <c r="H69" i="11" s="1"/>
  <c r="H70" i="11" s="1" a="1"/>
  <c r="H70" i="11" s="1"/>
  <c r="H71" i="11" s="1" a="1"/>
  <c r="H71" i="11" s="1"/>
  <c r="H72" i="11" s="1" a="1"/>
  <c r="H72" i="11" s="1"/>
  <c r="H73" i="11" s="1" a="1"/>
  <c r="H73" i="11" s="1"/>
  <c r="H74" i="11" s="1" a="1"/>
  <c r="H74" i="11" s="1"/>
  <c r="H75" i="11" s="1" a="1"/>
  <c r="H75" i="11" s="1"/>
  <c r="H76" i="11" s="1" a="1"/>
  <c r="H76" i="11" s="1"/>
  <c r="H77" i="11" s="1" a="1"/>
  <c r="H77" i="11" s="1"/>
  <c r="H78" i="11" s="1" a="1"/>
  <c r="H78" i="11" s="1"/>
  <c r="H79" i="11" s="1" a="1"/>
  <c r="H79" i="11" s="1"/>
  <c r="P12" i="12"/>
  <c r="U12" i="12" s="1"/>
  <c r="G13" i="12"/>
  <c r="Q12" i="12"/>
  <c r="V12" i="12" s="1"/>
  <c r="H5" i="10" a="1"/>
  <c r="H5" i="10" s="1"/>
  <c r="P12" i="11"/>
  <c r="U12" i="11" s="1"/>
  <c r="G13" i="11"/>
  <c r="Q12" i="11"/>
  <c r="V12" i="11" s="1"/>
  <c r="P12" i="10"/>
  <c r="U12" i="10" s="1"/>
  <c r="G13" i="10"/>
  <c r="Q12" i="10"/>
  <c r="V12" i="10" s="1"/>
  <c r="H5" i="3" a="1"/>
  <c r="H5" i="3" s="1"/>
  <c r="Q13" i="13" l="1"/>
  <c r="V13" i="13" s="1"/>
  <c r="P13" i="13"/>
  <c r="U13" i="13" s="1"/>
  <c r="G14" i="13"/>
  <c r="N4" i="13" a="1"/>
  <c r="N4" i="13" s="1"/>
  <c r="L4" i="13" a="1"/>
  <c r="L4" i="13" s="1"/>
  <c r="P13" i="12"/>
  <c r="U13" i="12" s="1"/>
  <c r="Q13" i="12"/>
  <c r="V13" i="12" s="1"/>
  <c r="G14" i="12"/>
  <c r="P13" i="11"/>
  <c r="U13" i="11" s="1"/>
  <c r="Q13" i="11"/>
  <c r="V13" i="11" s="1"/>
  <c r="G14" i="11"/>
  <c r="H6" i="10" a="1"/>
  <c r="H6" i="10" s="1"/>
  <c r="H7" i="10" s="1" a="1"/>
  <c r="H7" i="10" s="1"/>
  <c r="H8" i="10" s="1" a="1"/>
  <c r="H8" i="10" s="1"/>
  <c r="H9" i="10" s="1" a="1"/>
  <c r="H9" i="10" s="1"/>
  <c r="H10" i="10" s="1" a="1"/>
  <c r="H10" i="10" s="1"/>
  <c r="H11" i="10" s="1" a="1"/>
  <c r="H11" i="10" s="1"/>
  <c r="H12" i="10" s="1" a="1"/>
  <c r="H12" i="10" s="1"/>
  <c r="H13" i="10" s="1" a="1"/>
  <c r="H13" i="10" s="1"/>
  <c r="H14" i="10" s="1" a="1"/>
  <c r="H14" i="10" s="1"/>
  <c r="H15" i="10" s="1" a="1"/>
  <c r="H15" i="10" s="1"/>
  <c r="H16" i="10" s="1" a="1"/>
  <c r="H16" i="10" s="1"/>
  <c r="H17" i="10" s="1" a="1"/>
  <c r="H17" i="10" s="1"/>
  <c r="H18" i="10" s="1" a="1"/>
  <c r="H18" i="10" s="1"/>
  <c r="H19" i="10" s="1" a="1"/>
  <c r="H19" i="10" s="1"/>
  <c r="H20" i="10" s="1" a="1"/>
  <c r="H20" i="10" s="1"/>
  <c r="H21" i="10" s="1" a="1"/>
  <c r="H21" i="10" s="1"/>
  <c r="H22" i="10" s="1" a="1"/>
  <c r="H22" i="10" s="1"/>
  <c r="H23" i="10" s="1" a="1"/>
  <c r="H23" i="10" s="1"/>
  <c r="H24" i="10" s="1" a="1"/>
  <c r="H24" i="10" s="1"/>
  <c r="H25" i="10" s="1" a="1"/>
  <c r="H25" i="10" s="1"/>
  <c r="H26" i="10" s="1" a="1"/>
  <c r="H26" i="10" s="1"/>
  <c r="H27" i="10" s="1" a="1"/>
  <c r="H27" i="10" s="1"/>
  <c r="H28" i="10" s="1" a="1"/>
  <c r="H28" i="10" s="1"/>
  <c r="H29" i="10" s="1" a="1"/>
  <c r="H29" i="10" s="1"/>
  <c r="H30" i="10" s="1" a="1"/>
  <c r="H30" i="10" s="1"/>
  <c r="H31" i="10" s="1" a="1"/>
  <c r="H31" i="10" s="1"/>
  <c r="H32" i="10" s="1" a="1"/>
  <c r="H32" i="10" s="1"/>
  <c r="H33" i="10" s="1" a="1"/>
  <c r="H33" i="10" s="1"/>
  <c r="H34" i="10" s="1" a="1"/>
  <c r="H34" i="10" s="1"/>
  <c r="H35" i="10" s="1" a="1"/>
  <c r="H35" i="10" s="1"/>
  <c r="H36" i="10" s="1" a="1"/>
  <c r="H36" i="10" s="1"/>
  <c r="H37" i="10" s="1" a="1"/>
  <c r="H37" i="10" s="1"/>
  <c r="H38" i="10" s="1" a="1"/>
  <c r="H38" i="10" s="1"/>
  <c r="H39" i="10" s="1" a="1"/>
  <c r="H39" i="10" s="1"/>
  <c r="H40" i="10" s="1" a="1"/>
  <c r="H40" i="10" s="1"/>
  <c r="H41" i="10" s="1" a="1"/>
  <c r="H41" i="10" s="1"/>
  <c r="H42" i="10" s="1" a="1"/>
  <c r="H42" i="10" s="1"/>
  <c r="H43" i="10" s="1" a="1"/>
  <c r="H43" i="10" s="1"/>
  <c r="H44" i="10" s="1" a="1"/>
  <c r="H44" i="10" s="1"/>
  <c r="H45" i="10" s="1" a="1"/>
  <c r="H45" i="10" s="1"/>
  <c r="H46" i="10" s="1" a="1"/>
  <c r="H46" i="10" s="1"/>
  <c r="H47" i="10" s="1" a="1"/>
  <c r="H47" i="10" s="1"/>
  <c r="H48" i="10" s="1" a="1"/>
  <c r="H48" i="10" s="1"/>
  <c r="H49" i="10" s="1" a="1"/>
  <c r="H49" i="10" s="1"/>
  <c r="H50" i="10" s="1" a="1"/>
  <c r="H50" i="10" s="1"/>
  <c r="H51" i="10" s="1" a="1"/>
  <c r="H51" i="10" s="1"/>
  <c r="H52" i="10" s="1" a="1"/>
  <c r="H52" i="10" s="1"/>
  <c r="H53" i="10" s="1" a="1"/>
  <c r="H53" i="10" s="1"/>
  <c r="H54" i="10" s="1" a="1"/>
  <c r="H54" i="10" s="1"/>
  <c r="H55" i="10" s="1" a="1"/>
  <c r="H55" i="10" s="1"/>
  <c r="H56" i="10" s="1" a="1"/>
  <c r="H56" i="10" s="1"/>
  <c r="H57" i="10" s="1" a="1"/>
  <c r="H57" i="10" s="1"/>
  <c r="H58" i="10" s="1" a="1"/>
  <c r="H58" i="10" s="1"/>
  <c r="H59" i="10" s="1" a="1"/>
  <c r="H59" i="10" s="1"/>
  <c r="H60" i="10" s="1" a="1"/>
  <c r="H60" i="10" s="1"/>
  <c r="H61" i="10" s="1" a="1"/>
  <c r="H61" i="10" s="1"/>
  <c r="H62" i="10" s="1" a="1"/>
  <c r="H62" i="10" s="1"/>
  <c r="H63" i="10" s="1" a="1"/>
  <c r="H63" i="10" s="1"/>
  <c r="H64" i="10" s="1" a="1"/>
  <c r="H64" i="10" s="1"/>
  <c r="H65" i="10" s="1" a="1"/>
  <c r="H65" i="10" s="1"/>
  <c r="H66" i="10" s="1" a="1"/>
  <c r="H66" i="10" s="1"/>
  <c r="H67" i="10" s="1" a="1"/>
  <c r="H67" i="10" s="1"/>
  <c r="H68" i="10" s="1" a="1"/>
  <c r="H68" i="10" s="1"/>
  <c r="H69" i="10" s="1" a="1"/>
  <c r="H69" i="10" s="1"/>
  <c r="H70" i="10" s="1" a="1"/>
  <c r="H70" i="10" s="1"/>
  <c r="H71" i="10" s="1" a="1"/>
  <c r="H71" i="10" s="1"/>
  <c r="H72" i="10" s="1" a="1"/>
  <c r="H72" i="10" s="1"/>
  <c r="H73" i="10" s="1" a="1"/>
  <c r="H73" i="10" s="1"/>
  <c r="H74" i="10" s="1" a="1"/>
  <c r="H74" i="10" s="1"/>
  <c r="H75" i="10" s="1" a="1"/>
  <c r="H75" i="10" s="1"/>
  <c r="H76" i="10" s="1" a="1"/>
  <c r="H76" i="10" s="1"/>
  <c r="H77" i="10" s="1" a="1"/>
  <c r="H77" i="10" s="1"/>
  <c r="H78" i="10" s="1" a="1"/>
  <c r="H78" i="10" s="1"/>
  <c r="H79" i="10" s="1" a="1"/>
  <c r="H79" i="10" s="1"/>
  <c r="H6" i="3" a="1"/>
  <c r="H6" i="3" s="1"/>
  <c r="H7" i="3" s="1" a="1"/>
  <c r="H7" i="3" s="1"/>
  <c r="H8" i="3" s="1" a="1"/>
  <c r="H8" i="3" s="1"/>
  <c r="H9" i="3" s="1" a="1"/>
  <c r="H9" i="3" s="1"/>
  <c r="H10" i="3" s="1" a="1"/>
  <c r="H10" i="3" s="1"/>
  <c r="H11" i="3" s="1" a="1"/>
  <c r="H11" i="3" s="1"/>
  <c r="H12" i="3" s="1" a="1"/>
  <c r="H12" i="3" s="1"/>
  <c r="H13" i="3" s="1" a="1"/>
  <c r="H13" i="3" s="1"/>
  <c r="H14" i="3" s="1" a="1"/>
  <c r="H14" i="3" s="1"/>
  <c r="H15" i="3" s="1" a="1"/>
  <c r="H15" i="3" s="1"/>
  <c r="H16" i="3" s="1" a="1"/>
  <c r="H16" i="3" s="1"/>
  <c r="H17" i="3" s="1" a="1"/>
  <c r="H17" i="3" s="1"/>
  <c r="H18" i="3" s="1" a="1"/>
  <c r="H18" i="3" s="1"/>
  <c r="H19" i="3" s="1" a="1"/>
  <c r="H19" i="3" s="1"/>
  <c r="H20" i="3" s="1" a="1"/>
  <c r="H20" i="3" s="1"/>
  <c r="H21" i="3" s="1" a="1"/>
  <c r="H21" i="3" s="1"/>
  <c r="H22" i="3" s="1" a="1"/>
  <c r="H22" i="3" s="1"/>
  <c r="H23" i="3" s="1" a="1"/>
  <c r="H23" i="3" s="1"/>
  <c r="H24" i="3" s="1" a="1"/>
  <c r="H24" i="3" s="1"/>
  <c r="H25" i="3" s="1" a="1"/>
  <c r="H25" i="3" s="1"/>
  <c r="H26" i="3" s="1" a="1"/>
  <c r="H26" i="3" s="1"/>
  <c r="H27" i="3" s="1" a="1"/>
  <c r="H27" i="3" s="1"/>
  <c r="H28" i="3" s="1" a="1"/>
  <c r="H28" i="3" s="1"/>
  <c r="H29" i="3" s="1" a="1"/>
  <c r="H29" i="3" s="1"/>
  <c r="H30" i="3" s="1" a="1"/>
  <c r="H30" i="3" s="1"/>
  <c r="H31" i="3" s="1" a="1"/>
  <c r="H31" i="3" s="1"/>
  <c r="H32" i="3" s="1" a="1"/>
  <c r="H32" i="3" s="1"/>
  <c r="H33" i="3" s="1" a="1"/>
  <c r="H33" i="3" s="1"/>
  <c r="H34" i="3" s="1" a="1"/>
  <c r="H34" i="3" s="1"/>
  <c r="H35" i="3" s="1" a="1"/>
  <c r="H35" i="3" s="1"/>
  <c r="H36" i="3" s="1" a="1"/>
  <c r="H36" i="3" s="1"/>
  <c r="H37" i="3" s="1" a="1"/>
  <c r="H37" i="3" s="1"/>
  <c r="H38" i="3" s="1" a="1"/>
  <c r="H38" i="3" s="1"/>
  <c r="H39" i="3" s="1" a="1"/>
  <c r="H39" i="3" s="1"/>
  <c r="H40" i="3" s="1" a="1"/>
  <c r="H40" i="3" s="1"/>
  <c r="H41" i="3" s="1" a="1"/>
  <c r="H41" i="3" s="1"/>
  <c r="H42" i="3" s="1" a="1"/>
  <c r="H42" i="3" s="1"/>
  <c r="H43" i="3" s="1" a="1"/>
  <c r="H43" i="3" s="1"/>
  <c r="H44" i="3" s="1" a="1"/>
  <c r="H44" i="3" s="1"/>
  <c r="H45" i="3" s="1" a="1"/>
  <c r="H45" i="3" s="1"/>
  <c r="H46" i="3" s="1" a="1"/>
  <c r="H46" i="3" s="1"/>
  <c r="H47" i="3" s="1" a="1"/>
  <c r="H47" i="3" s="1"/>
  <c r="H48" i="3" s="1" a="1"/>
  <c r="H48" i="3" s="1"/>
  <c r="H49" i="3" s="1" a="1"/>
  <c r="H49" i="3" s="1"/>
  <c r="H50" i="3" s="1" a="1"/>
  <c r="H50" i="3" s="1"/>
  <c r="H51" i="3" s="1" a="1"/>
  <c r="H51" i="3" s="1"/>
  <c r="H52" i="3" s="1" a="1"/>
  <c r="H52" i="3" s="1"/>
  <c r="H53" i="3" s="1" a="1"/>
  <c r="H53" i="3" s="1"/>
  <c r="H54" i="3" s="1" a="1"/>
  <c r="H54" i="3" s="1"/>
  <c r="H55" i="3" s="1" a="1"/>
  <c r="H55" i="3" s="1"/>
  <c r="H56" i="3" s="1" a="1"/>
  <c r="H56" i="3" s="1"/>
  <c r="H57" i="3" s="1" a="1"/>
  <c r="H57" i="3" s="1"/>
  <c r="H58" i="3" s="1" a="1"/>
  <c r="H58" i="3" s="1"/>
  <c r="H59" i="3" s="1" a="1"/>
  <c r="H59" i="3" s="1"/>
  <c r="H60" i="3" s="1" a="1"/>
  <c r="H60" i="3" s="1"/>
  <c r="H61" i="3" s="1" a="1"/>
  <c r="H61" i="3" s="1"/>
  <c r="H62" i="3" s="1" a="1"/>
  <c r="H62" i="3" s="1"/>
  <c r="H63" i="3" s="1" a="1"/>
  <c r="H63" i="3" s="1"/>
  <c r="H64" i="3" s="1" a="1"/>
  <c r="H64" i="3" s="1"/>
  <c r="H65" i="3" s="1" a="1"/>
  <c r="H65" i="3" s="1"/>
  <c r="H66" i="3" s="1" a="1"/>
  <c r="H66" i="3" s="1"/>
  <c r="H67" i="3" s="1" a="1"/>
  <c r="H67" i="3" s="1"/>
  <c r="H68" i="3" s="1" a="1"/>
  <c r="H68" i="3" s="1"/>
  <c r="H69" i="3" s="1" a="1"/>
  <c r="H69" i="3" s="1"/>
  <c r="H70" i="3" s="1" a="1"/>
  <c r="H70" i="3" s="1"/>
  <c r="H71" i="3" s="1" a="1"/>
  <c r="H71" i="3" s="1"/>
  <c r="H72" i="3" s="1" a="1"/>
  <c r="H72" i="3" s="1"/>
  <c r="H73" i="3" s="1" a="1"/>
  <c r="H73" i="3" s="1"/>
  <c r="H74" i="3" s="1" a="1"/>
  <c r="H74" i="3" s="1"/>
  <c r="H75" i="3" s="1" a="1"/>
  <c r="H75" i="3" s="1"/>
  <c r="H76" i="3" s="1" a="1"/>
  <c r="H76" i="3" s="1"/>
  <c r="H77" i="3" s="1" a="1"/>
  <c r="H77" i="3" s="1"/>
  <c r="H78" i="3" s="1" a="1"/>
  <c r="H78" i="3" s="1"/>
  <c r="H79" i="3" s="1" a="1"/>
  <c r="H79" i="3" s="1"/>
  <c r="P13" i="10"/>
  <c r="U13" i="10" s="1"/>
  <c r="Q13" i="10"/>
  <c r="V13" i="10" s="1"/>
  <c r="G14" i="10"/>
  <c r="L4" i="3" l="1" a="1"/>
  <c r="L4" i="3" s="1"/>
  <c r="L4" i="10" a="1"/>
  <c r="L4" i="10" s="1"/>
  <c r="Q14" i="13"/>
  <c r="V14" i="13" s="1"/>
  <c r="P14" i="13"/>
  <c r="U14" i="13" s="1"/>
  <c r="G15" i="13"/>
  <c r="L4" i="12" a="1"/>
  <c r="L4" i="12" s="1"/>
  <c r="N4" i="12" a="1"/>
  <c r="N4" i="12" s="1"/>
  <c r="Q14" i="12"/>
  <c r="V14" i="12" s="1"/>
  <c r="P14" i="12"/>
  <c r="U14" i="12" s="1"/>
  <c r="G15" i="12"/>
  <c r="L4" i="11" a="1"/>
  <c r="L4" i="11" s="1"/>
  <c r="N4" i="10" a="1"/>
  <c r="N4" i="10" s="1"/>
  <c r="Q14" i="11"/>
  <c r="V14" i="11" s="1"/>
  <c r="P14" i="11"/>
  <c r="U14" i="11" s="1"/>
  <c r="G15" i="11"/>
  <c r="N4" i="11" a="1"/>
  <c r="N4" i="11" s="1"/>
  <c r="Q14" i="10"/>
  <c r="V14" i="10" s="1"/>
  <c r="P14" i="10"/>
  <c r="U14" i="10" s="1"/>
  <c r="G15" i="10"/>
  <c r="N4" i="3" a="1"/>
  <c r="N4" i="3" s="1"/>
  <c r="G16" i="13" l="1"/>
  <c r="Q15" i="13"/>
  <c r="V15" i="13" s="1"/>
  <c r="P15" i="13"/>
  <c r="U15" i="13" s="1"/>
  <c r="G16" i="12"/>
  <c r="Q15" i="12"/>
  <c r="V15" i="12" s="1"/>
  <c r="P15" i="12"/>
  <c r="U15" i="12" s="1"/>
  <c r="G16" i="11"/>
  <c r="P15" i="11"/>
  <c r="U15" i="11" s="1"/>
  <c r="Q15" i="11"/>
  <c r="V15" i="11" s="1"/>
  <c r="G16" i="10"/>
  <c r="Q15" i="10"/>
  <c r="V15" i="10" s="1"/>
  <c r="P15" i="10"/>
  <c r="U15" i="10" s="1"/>
  <c r="G17" i="13" l="1"/>
  <c r="P16" i="13"/>
  <c r="U16" i="13" s="1"/>
  <c r="Q16" i="13"/>
  <c r="V16" i="13" s="1"/>
  <c r="Q16" i="12"/>
  <c r="V16" i="12" s="1"/>
  <c r="G17" i="12"/>
  <c r="P16" i="12"/>
  <c r="U16" i="12" s="1"/>
  <c r="G17" i="11"/>
  <c r="Q16" i="11"/>
  <c r="V16" i="11" s="1"/>
  <c r="P16" i="11"/>
  <c r="U16" i="11" s="1"/>
  <c r="G17" i="10"/>
  <c r="P16" i="10"/>
  <c r="U16" i="10" s="1"/>
  <c r="Q16" i="10"/>
  <c r="V16" i="10" s="1"/>
  <c r="P17" i="13" l="1"/>
  <c r="U17" i="13" s="1"/>
  <c r="G18" i="13"/>
  <c r="Q17" i="13"/>
  <c r="V17" i="13" s="1"/>
  <c r="P17" i="12"/>
  <c r="U17" i="12" s="1"/>
  <c r="G18" i="12"/>
  <c r="Q17" i="12"/>
  <c r="V17" i="12" s="1"/>
  <c r="P17" i="11"/>
  <c r="U17" i="11" s="1"/>
  <c r="G18" i="11"/>
  <c r="Q17" i="11"/>
  <c r="V17" i="11" s="1"/>
  <c r="P17" i="10"/>
  <c r="U17" i="10" s="1"/>
  <c r="G18" i="10"/>
  <c r="Q17" i="10"/>
  <c r="V17" i="10" s="1"/>
  <c r="Q18" i="13" l="1"/>
  <c r="V18" i="13" s="1"/>
  <c r="P18" i="13"/>
  <c r="U18" i="13" s="1"/>
  <c r="G19" i="13"/>
  <c r="P18" i="12"/>
  <c r="U18" i="12" s="1"/>
  <c r="Q18" i="12"/>
  <c r="V18" i="12" s="1"/>
  <c r="G19" i="12"/>
  <c r="Q18" i="11"/>
  <c r="V18" i="11" s="1"/>
  <c r="P18" i="11"/>
  <c r="U18" i="11" s="1"/>
  <c r="G19" i="11"/>
  <c r="P18" i="10"/>
  <c r="U18" i="10" s="1"/>
  <c r="Q18" i="10"/>
  <c r="V18" i="10" s="1"/>
  <c r="G19" i="10"/>
  <c r="Q19" i="13" l="1"/>
  <c r="V19" i="13" s="1"/>
  <c r="P19" i="13"/>
  <c r="U19" i="13" s="1"/>
  <c r="G20" i="13"/>
  <c r="Q19" i="12"/>
  <c r="V19" i="12" s="1"/>
  <c r="P19" i="12"/>
  <c r="U19" i="12" s="1"/>
  <c r="G20" i="12"/>
  <c r="Q19" i="11"/>
  <c r="V19" i="11" s="1"/>
  <c r="P19" i="11"/>
  <c r="U19" i="11" s="1"/>
  <c r="G20" i="11"/>
  <c r="Q19" i="10"/>
  <c r="V19" i="10" s="1"/>
  <c r="G20" i="10"/>
  <c r="P19" i="10"/>
  <c r="U19" i="10" s="1"/>
  <c r="G21" i="13" l="1"/>
  <c r="Q20" i="13"/>
  <c r="V20" i="13" s="1"/>
  <c r="P20" i="13"/>
  <c r="U20" i="13" s="1"/>
  <c r="G21" i="12"/>
  <c r="Q20" i="12"/>
  <c r="V20" i="12" s="1"/>
  <c r="P20" i="12"/>
  <c r="U20" i="12" s="1"/>
  <c r="G21" i="11"/>
  <c r="Q20" i="11"/>
  <c r="V20" i="11" s="1"/>
  <c r="P20" i="11"/>
  <c r="U20" i="11" s="1"/>
  <c r="G21" i="10"/>
  <c r="Q20" i="10"/>
  <c r="V20" i="10" s="1"/>
  <c r="P20" i="10"/>
  <c r="U20" i="10" s="1"/>
  <c r="G22" i="13" l="1"/>
  <c r="P21" i="13"/>
  <c r="U21" i="13" s="1"/>
  <c r="Q21" i="13"/>
  <c r="V21" i="13" s="1"/>
  <c r="Q21" i="12"/>
  <c r="V21" i="12" s="1"/>
  <c r="G22" i="12"/>
  <c r="P21" i="12"/>
  <c r="U21" i="12" s="1"/>
  <c r="Q21" i="11"/>
  <c r="V21" i="11" s="1"/>
  <c r="G22" i="11"/>
  <c r="P21" i="11"/>
  <c r="U21" i="11" s="1"/>
  <c r="G22" i="10"/>
  <c r="P21" i="10"/>
  <c r="U21" i="10" s="1"/>
  <c r="Q21" i="10"/>
  <c r="V21" i="10" s="1"/>
  <c r="P22" i="13" l="1"/>
  <c r="U22" i="13" s="1"/>
  <c r="G23" i="13"/>
  <c r="Q22" i="13"/>
  <c r="V22" i="13" s="1"/>
  <c r="P22" i="12"/>
  <c r="U22" i="12" s="1"/>
  <c r="G23" i="12"/>
  <c r="Q22" i="12"/>
  <c r="V22" i="12" s="1"/>
  <c r="P22" i="11"/>
  <c r="U22" i="11" s="1"/>
  <c r="G23" i="11"/>
  <c r="Q22" i="11"/>
  <c r="V22" i="11" s="1"/>
  <c r="P22" i="10"/>
  <c r="U22" i="10" s="1"/>
  <c r="Q22" i="10"/>
  <c r="V22" i="10" s="1"/>
  <c r="G23" i="10"/>
  <c r="Q23" i="13" l="1"/>
  <c r="V23" i="13" s="1"/>
  <c r="P23" i="13"/>
  <c r="U23" i="13" s="1"/>
  <c r="G24" i="13"/>
  <c r="Q23" i="12"/>
  <c r="V23" i="12" s="1"/>
  <c r="P23" i="12"/>
  <c r="U23" i="12" s="1"/>
  <c r="G24" i="12"/>
  <c r="Q23" i="11"/>
  <c r="V23" i="11" s="1"/>
  <c r="P23" i="11"/>
  <c r="U23" i="11" s="1"/>
  <c r="G24" i="11"/>
  <c r="Q23" i="10"/>
  <c r="V23" i="10" s="1"/>
  <c r="P23" i="10"/>
  <c r="U23" i="10" s="1"/>
  <c r="G24" i="10"/>
  <c r="Q24" i="13" l="1"/>
  <c r="V24" i="13" s="1"/>
  <c r="P24" i="13"/>
  <c r="U24" i="13" s="1"/>
  <c r="G25" i="13"/>
  <c r="Q24" i="12"/>
  <c r="V24" i="12" s="1"/>
  <c r="P24" i="12"/>
  <c r="U24" i="12" s="1"/>
  <c r="G25" i="12"/>
  <c r="Q24" i="11"/>
  <c r="V24" i="11" s="1"/>
  <c r="P24" i="11"/>
  <c r="U24" i="11" s="1"/>
  <c r="G25" i="11"/>
  <c r="Q24" i="10"/>
  <c r="V24" i="10" s="1"/>
  <c r="P24" i="10"/>
  <c r="U24" i="10" s="1"/>
  <c r="G25" i="10"/>
  <c r="G26" i="13" l="1"/>
  <c r="Q25" i="13"/>
  <c r="V25" i="13" s="1"/>
  <c r="P25" i="13"/>
  <c r="U25" i="13" s="1"/>
  <c r="G26" i="12"/>
  <c r="Q25" i="12"/>
  <c r="V25" i="12" s="1"/>
  <c r="P25" i="12"/>
  <c r="U25" i="12" s="1"/>
  <c r="G26" i="11"/>
  <c r="Q25" i="11"/>
  <c r="V25" i="11" s="1"/>
  <c r="P25" i="11"/>
  <c r="U25" i="11" s="1"/>
  <c r="G26" i="10"/>
  <c r="Q25" i="10"/>
  <c r="V25" i="10" s="1"/>
  <c r="P25" i="10"/>
  <c r="U25" i="10" s="1"/>
  <c r="G27" i="13" l="1"/>
  <c r="P26" i="13"/>
  <c r="U26" i="13" s="1"/>
  <c r="Q26" i="13"/>
  <c r="V26" i="13" s="1"/>
  <c r="G27" i="12"/>
  <c r="Q26" i="12"/>
  <c r="V26" i="12" s="1"/>
  <c r="P26" i="12"/>
  <c r="U26" i="12" s="1"/>
  <c r="G27" i="11"/>
  <c r="Q26" i="11"/>
  <c r="V26" i="11" s="1"/>
  <c r="P26" i="11"/>
  <c r="U26" i="11" s="1"/>
  <c r="G27" i="10"/>
  <c r="Q26" i="10"/>
  <c r="V26" i="10" s="1"/>
  <c r="P26" i="10"/>
  <c r="U26" i="10" s="1"/>
  <c r="P27" i="13" l="1"/>
  <c r="U27" i="13" s="1"/>
  <c r="G28" i="13"/>
  <c r="Q27" i="13"/>
  <c r="V27" i="13" s="1"/>
  <c r="P27" i="12"/>
  <c r="U27" i="12" s="1"/>
  <c r="G28" i="12"/>
  <c r="Q27" i="12"/>
  <c r="V27" i="12" s="1"/>
  <c r="P27" i="11"/>
  <c r="U27" i="11" s="1"/>
  <c r="G28" i="11"/>
  <c r="Q27" i="11"/>
  <c r="V27" i="11" s="1"/>
  <c r="P27" i="10"/>
  <c r="U27" i="10" s="1"/>
  <c r="G28" i="10"/>
  <c r="Q27" i="10"/>
  <c r="V27" i="10" s="1"/>
  <c r="Q28" i="13" l="1"/>
  <c r="V28" i="13" s="1"/>
  <c r="P28" i="13"/>
  <c r="U28" i="13" s="1"/>
  <c r="G29" i="13"/>
  <c r="Q28" i="12"/>
  <c r="V28" i="12" s="1"/>
  <c r="G29" i="12"/>
  <c r="P28" i="12"/>
  <c r="U28" i="12" s="1"/>
  <c r="G29" i="11"/>
  <c r="Q28" i="11"/>
  <c r="V28" i="11" s="1"/>
  <c r="P28" i="11"/>
  <c r="U28" i="11" s="1"/>
  <c r="Q28" i="10"/>
  <c r="V28" i="10" s="1"/>
  <c r="P28" i="10"/>
  <c r="U28" i="10" s="1"/>
  <c r="G29" i="10"/>
  <c r="Q29" i="13" l="1"/>
  <c r="V29" i="13" s="1"/>
  <c r="P29" i="13"/>
  <c r="U29" i="13" s="1"/>
  <c r="G30" i="13"/>
  <c r="Q29" i="12"/>
  <c r="V29" i="12" s="1"/>
  <c r="P29" i="12"/>
  <c r="U29" i="12" s="1"/>
  <c r="G30" i="12"/>
  <c r="Q29" i="11"/>
  <c r="V29" i="11" s="1"/>
  <c r="P29" i="11"/>
  <c r="U29" i="11" s="1"/>
  <c r="G30" i="11"/>
  <c r="Q29" i="10"/>
  <c r="V29" i="10" s="1"/>
  <c r="P29" i="10"/>
  <c r="U29" i="10" s="1"/>
  <c r="G30" i="10"/>
  <c r="G31" i="13" l="1"/>
  <c r="Q30" i="13"/>
  <c r="V30" i="13" s="1"/>
  <c r="P30" i="13"/>
  <c r="U30" i="13" s="1"/>
  <c r="G31" i="12"/>
  <c r="Q30" i="12"/>
  <c r="V30" i="12" s="1"/>
  <c r="P30" i="12"/>
  <c r="U30" i="12" s="1"/>
  <c r="G31" i="11"/>
  <c r="Q30" i="11"/>
  <c r="V30" i="11" s="1"/>
  <c r="P30" i="11"/>
  <c r="U30" i="11" s="1"/>
  <c r="G31" i="10"/>
  <c r="Q30" i="10"/>
  <c r="V30" i="10" s="1"/>
  <c r="P30" i="10"/>
  <c r="U30" i="10" s="1"/>
  <c r="G32" i="13" l="1"/>
  <c r="P31" i="13"/>
  <c r="U31" i="13" s="1"/>
  <c r="Q31" i="13"/>
  <c r="V31" i="13" s="1"/>
  <c r="Q31" i="12"/>
  <c r="V31" i="12" s="1"/>
  <c r="G32" i="12"/>
  <c r="P31" i="12"/>
  <c r="U31" i="12" s="1"/>
  <c r="G32" i="11"/>
  <c r="Q31" i="11"/>
  <c r="V31" i="11" s="1"/>
  <c r="P31" i="11"/>
  <c r="U31" i="11" s="1"/>
  <c r="P31" i="10"/>
  <c r="U31" i="10" s="1"/>
  <c r="G32" i="10"/>
  <c r="Q31" i="10"/>
  <c r="V31" i="10" s="1"/>
  <c r="P32" i="13" l="1"/>
  <c r="U32" i="13" s="1"/>
  <c r="G33" i="13"/>
  <c r="Q32" i="13"/>
  <c r="V32" i="13" s="1"/>
  <c r="P32" i="12"/>
  <c r="U32" i="12" s="1"/>
  <c r="G33" i="12"/>
  <c r="Q32" i="12"/>
  <c r="V32" i="12" s="1"/>
  <c r="P32" i="11"/>
  <c r="U32" i="11" s="1"/>
  <c r="G33" i="11"/>
  <c r="Q32" i="11"/>
  <c r="V32" i="11" s="1"/>
  <c r="P32" i="10"/>
  <c r="U32" i="10" s="1"/>
  <c r="G33" i="10"/>
  <c r="Q32" i="10"/>
  <c r="V32" i="10" s="1"/>
  <c r="Q33" i="13" l="1"/>
  <c r="V33" i="13" s="1"/>
  <c r="P33" i="13"/>
  <c r="U33" i="13" s="1"/>
  <c r="G34" i="13"/>
  <c r="Q33" i="12"/>
  <c r="V33" i="12" s="1"/>
  <c r="P33" i="12"/>
  <c r="U33" i="12" s="1"/>
  <c r="G34" i="12"/>
  <c r="Q33" i="11"/>
  <c r="V33" i="11" s="1"/>
  <c r="G34" i="11"/>
  <c r="P33" i="11"/>
  <c r="U33" i="11" s="1"/>
  <c r="Q33" i="10"/>
  <c r="V33" i="10" s="1"/>
  <c r="P33" i="10"/>
  <c r="U33" i="10" s="1"/>
  <c r="G34" i="10"/>
  <c r="Q34" i="13" l="1"/>
  <c r="V34" i="13" s="1"/>
  <c r="P34" i="13"/>
  <c r="U34" i="13" s="1"/>
  <c r="G35" i="13"/>
  <c r="Q34" i="12"/>
  <c r="V34" i="12" s="1"/>
  <c r="P34" i="12"/>
  <c r="U34" i="12" s="1"/>
  <c r="G35" i="12"/>
  <c r="Q34" i="11"/>
  <c r="V34" i="11" s="1"/>
  <c r="P34" i="11"/>
  <c r="U34" i="11" s="1"/>
  <c r="G35" i="11"/>
  <c r="Q34" i="10"/>
  <c r="V34" i="10" s="1"/>
  <c r="P34" i="10"/>
  <c r="U34" i="10" s="1"/>
  <c r="G35" i="10"/>
  <c r="G36" i="13" l="1"/>
  <c r="Q35" i="13"/>
  <c r="V35" i="13" s="1"/>
  <c r="P35" i="13"/>
  <c r="U35" i="13" s="1"/>
  <c r="G36" i="12"/>
  <c r="Q35" i="12"/>
  <c r="V35" i="12" s="1"/>
  <c r="P35" i="12"/>
  <c r="U35" i="12" s="1"/>
  <c r="G36" i="11"/>
  <c r="Q35" i="11"/>
  <c r="V35" i="11" s="1"/>
  <c r="P35" i="11"/>
  <c r="U35" i="11" s="1"/>
  <c r="G36" i="10"/>
  <c r="Q35" i="10"/>
  <c r="V35" i="10" s="1"/>
  <c r="P35" i="10"/>
  <c r="U35" i="10" s="1"/>
  <c r="G37" i="13" l="1"/>
  <c r="Q36" i="13"/>
  <c r="V36" i="13" s="1"/>
  <c r="P36" i="13"/>
  <c r="U36" i="13" s="1"/>
  <c r="Q36" i="12"/>
  <c r="V36" i="12" s="1"/>
  <c r="G37" i="12"/>
  <c r="P36" i="12"/>
  <c r="U36" i="12" s="1"/>
  <c r="G37" i="11"/>
  <c r="Q36" i="11"/>
  <c r="V36" i="11" s="1"/>
  <c r="P36" i="11"/>
  <c r="U36" i="11" s="1"/>
  <c r="G37" i="10"/>
  <c r="Q36" i="10"/>
  <c r="V36" i="10" s="1"/>
  <c r="P36" i="10"/>
  <c r="U36" i="10" s="1"/>
  <c r="P37" i="13" l="1"/>
  <c r="U37" i="13" s="1"/>
  <c r="G38" i="13"/>
  <c r="Q37" i="13"/>
  <c r="V37" i="13" s="1"/>
  <c r="P37" i="12"/>
  <c r="U37" i="12" s="1"/>
  <c r="G38" i="12"/>
  <c r="Q37" i="12"/>
  <c r="V37" i="12" s="1"/>
  <c r="P37" i="11"/>
  <c r="U37" i="11" s="1"/>
  <c r="G38" i="11"/>
  <c r="Q37" i="11"/>
  <c r="V37" i="11" s="1"/>
  <c r="P37" i="10"/>
  <c r="U37" i="10" s="1"/>
  <c r="Q37" i="10"/>
  <c r="V37" i="10" s="1"/>
  <c r="G38" i="10"/>
  <c r="Q38" i="13" l="1"/>
  <c r="V38" i="13" s="1"/>
  <c r="P38" i="13"/>
  <c r="U38" i="13" s="1"/>
  <c r="G39" i="13"/>
  <c r="Q38" i="12"/>
  <c r="V38" i="12" s="1"/>
  <c r="P38" i="12"/>
  <c r="U38" i="12" s="1"/>
  <c r="G39" i="12"/>
  <c r="Q38" i="11"/>
  <c r="V38" i="11" s="1"/>
  <c r="P38" i="11"/>
  <c r="U38" i="11" s="1"/>
  <c r="G39" i="11"/>
  <c r="Q38" i="10"/>
  <c r="V38" i="10" s="1"/>
  <c r="P38" i="10"/>
  <c r="U38" i="10" s="1"/>
  <c r="G39" i="10"/>
  <c r="Q39" i="13" l="1"/>
  <c r="V39" i="13" s="1"/>
  <c r="P39" i="13"/>
  <c r="U39" i="13" s="1"/>
  <c r="G40" i="13"/>
  <c r="Q39" i="12"/>
  <c r="V39" i="12" s="1"/>
  <c r="P39" i="12"/>
  <c r="U39" i="12" s="1"/>
  <c r="G40" i="12"/>
  <c r="Q39" i="11"/>
  <c r="V39" i="11" s="1"/>
  <c r="P39" i="11"/>
  <c r="U39" i="11" s="1"/>
  <c r="G40" i="11"/>
  <c r="Q39" i="10"/>
  <c r="V39" i="10" s="1"/>
  <c r="P39" i="10"/>
  <c r="U39" i="10" s="1"/>
  <c r="G40" i="10"/>
  <c r="G41" i="13" l="1"/>
  <c r="Q40" i="13"/>
  <c r="V40" i="13" s="1"/>
  <c r="P40" i="13"/>
  <c r="U40" i="13" s="1"/>
  <c r="G41" i="12"/>
  <c r="Q40" i="12"/>
  <c r="V40" i="12" s="1"/>
  <c r="P40" i="12"/>
  <c r="U40" i="12" s="1"/>
  <c r="G41" i="11"/>
  <c r="Q40" i="11"/>
  <c r="V40" i="11" s="1"/>
  <c r="P40" i="11"/>
  <c r="U40" i="11" s="1"/>
  <c r="G41" i="10"/>
  <c r="Q40" i="10"/>
  <c r="V40" i="10" s="1"/>
  <c r="P40" i="10"/>
  <c r="U40" i="10" s="1"/>
  <c r="G42" i="13" l="1"/>
  <c r="Q41" i="13"/>
  <c r="V41" i="13" s="1"/>
  <c r="P41" i="13"/>
  <c r="U41" i="13" s="1"/>
  <c r="Q41" i="12"/>
  <c r="V41" i="12" s="1"/>
  <c r="G42" i="12"/>
  <c r="P41" i="12"/>
  <c r="U41" i="12" s="1"/>
  <c r="Q41" i="11"/>
  <c r="V41" i="11" s="1"/>
  <c r="G42" i="11"/>
  <c r="P41" i="11"/>
  <c r="U41" i="11" s="1"/>
  <c r="P41" i="10"/>
  <c r="U41" i="10" s="1"/>
  <c r="G42" i="10"/>
  <c r="Q41" i="10"/>
  <c r="V41" i="10" s="1"/>
  <c r="P42" i="13" l="1"/>
  <c r="U42" i="13" s="1"/>
  <c r="G43" i="13"/>
  <c r="Q42" i="13"/>
  <c r="V42" i="13" s="1"/>
  <c r="P42" i="12"/>
  <c r="U42" i="12" s="1"/>
  <c r="G43" i="12"/>
  <c r="Q42" i="12"/>
  <c r="V42" i="12" s="1"/>
  <c r="P42" i="11"/>
  <c r="U42" i="11" s="1"/>
  <c r="G43" i="11"/>
  <c r="Q42" i="11"/>
  <c r="V42" i="11" s="1"/>
  <c r="P42" i="10"/>
  <c r="U42" i="10" s="1"/>
  <c r="G43" i="10"/>
  <c r="Q42" i="10"/>
  <c r="V42" i="10" s="1"/>
  <c r="Q43" i="13" l="1"/>
  <c r="V43" i="13" s="1"/>
  <c r="P43" i="13"/>
  <c r="U43" i="13" s="1"/>
  <c r="G44" i="13"/>
  <c r="Q43" i="12"/>
  <c r="V43" i="12" s="1"/>
  <c r="G44" i="12"/>
  <c r="P43" i="12"/>
  <c r="U43" i="12" s="1"/>
  <c r="Q43" i="11"/>
  <c r="V43" i="11" s="1"/>
  <c r="P43" i="11"/>
  <c r="U43" i="11" s="1"/>
  <c r="G44" i="11"/>
  <c r="Q43" i="10"/>
  <c r="V43" i="10" s="1"/>
  <c r="P43" i="10"/>
  <c r="U43" i="10" s="1"/>
  <c r="G44" i="10"/>
  <c r="Q44" i="13" l="1"/>
  <c r="V44" i="13" s="1"/>
  <c r="P44" i="13"/>
  <c r="U44" i="13" s="1"/>
  <c r="G45" i="13"/>
  <c r="Q44" i="12"/>
  <c r="V44" i="12" s="1"/>
  <c r="P44" i="12"/>
  <c r="U44" i="12" s="1"/>
  <c r="G45" i="12"/>
  <c r="Q44" i="11"/>
  <c r="V44" i="11" s="1"/>
  <c r="P44" i="11"/>
  <c r="U44" i="11" s="1"/>
  <c r="G45" i="11"/>
  <c r="Q44" i="10"/>
  <c r="V44" i="10" s="1"/>
  <c r="P44" i="10"/>
  <c r="U44" i="10" s="1"/>
  <c r="G45" i="10"/>
  <c r="G46" i="13" l="1"/>
  <c r="Q45" i="13"/>
  <c r="V45" i="13" s="1"/>
  <c r="P45" i="13"/>
  <c r="U45" i="13" s="1"/>
  <c r="G46" i="12"/>
  <c r="Q45" i="12"/>
  <c r="V45" i="12" s="1"/>
  <c r="P45" i="12"/>
  <c r="U45" i="12" s="1"/>
  <c r="G46" i="11"/>
  <c r="Q45" i="11"/>
  <c r="V45" i="11" s="1"/>
  <c r="P45" i="11"/>
  <c r="U45" i="11" s="1"/>
  <c r="G46" i="10"/>
  <c r="Q45" i="10"/>
  <c r="V45" i="10" s="1"/>
  <c r="P45" i="10"/>
  <c r="U45" i="10" s="1"/>
  <c r="G47" i="13" l="1"/>
  <c r="Q46" i="13"/>
  <c r="V46" i="13" s="1"/>
  <c r="P46" i="13"/>
  <c r="U46" i="13" s="1"/>
  <c r="Q46" i="12"/>
  <c r="V46" i="12" s="1"/>
  <c r="G47" i="12"/>
  <c r="P46" i="12"/>
  <c r="U46" i="12" s="1"/>
  <c r="G47" i="11"/>
  <c r="Q46" i="11"/>
  <c r="V46" i="11" s="1"/>
  <c r="P46" i="11"/>
  <c r="U46" i="11" s="1"/>
  <c r="P46" i="10"/>
  <c r="U46" i="10" s="1"/>
  <c r="G47" i="10"/>
  <c r="Q46" i="10"/>
  <c r="V46" i="10" s="1"/>
  <c r="P47" i="13" l="1"/>
  <c r="U47" i="13" s="1"/>
  <c r="G48" i="13"/>
  <c r="Q47" i="13"/>
  <c r="V47" i="13" s="1"/>
  <c r="P47" i="12"/>
  <c r="U47" i="12" s="1"/>
  <c r="G48" i="12"/>
  <c r="Q47" i="12"/>
  <c r="V47" i="12" s="1"/>
  <c r="P47" i="11"/>
  <c r="U47" i="11" s="1"/>
  <c r="G48" i="11"/>
  <c r="Q47" i="11"/>
  <c r="V47" i="11" s="1"/>
  <c r="P47" i="10"/>
  <c r="U47" i="10" s="1"/>
  <c r="Q47" i="10"/>
  <c r="V47" i="10" s="1"/>
  <c r="G48" i="10"/>
  <c r="Q48" i="13" l="1"/>
  <c r="V48" i="13" s="1"/>
  <c r="P48" i="13"/>
  <c r="U48" i="13" s="1"/>
  <c r="G49" i="13"/>
  <c r="Q48" i="12"/>
  <c r="V48" i="12" s="1"/>
  <c r="P48" i="12"/>
  <c r="U48" i="12" s="1"/>
  <c r="G49" i="12"/>
  <c r="G49" i="11"/>
  <c r="Q48" i="11"/>
  <c r="V48" i="11" s="1"/>
  <c r="P48" i="11"/>
  <c r="U48" i="11" s="1"/>
  <c r="Q48" i="10"/>
  <c r="V48" i="10" s="1"/>
  <c r="P48" i="10"/>
  <c r="U48" i="10" s="1"/>
  <c r="G49" i="10"/>
  <c r="Q49" i="13" l="1"/>
  <c r="V49" i="13" s="1"/>
  <c r="P49" i="13"/>
  <c r="U49" i="13" s="1"/>
  <c r="G50" i="13"/>
  <c r="Q49" i="12"/>
  <c r="V49" i="12" s="1"/>
  <c r="P49" i="12"/>
  <c r="U49" i="12" s="1"/>
  <c r="G50" i="12"/>
  <c r="Q49" i="11"/>
  <c r="V49" i="11" s="1"/>
  <c r="P49" i="11"/>
  <c r="U49" i="11" s="1"/>
  <c r="G50" i="11"/>
  <c r="Q49" i="10"/>
  <c r="V49" i="10" s="1"/>
  <c r="P49" i="10"/>
  <c r="U49" i="10" s="1"/>
  <c r="G50" i="10"/>
  <c r="G51" i="13" l="1"/>
  <c r="Q50" i="13"/>
  <c r="V50" i="13" s="1"/>
  <c r="P50" i="13"/>
  <c r="U50" i="13" s="1"/>
  <c r="G51" i="12"/>
  <c r="Q50" i="12"/>
  <c r="V50" i="12" s="1"/>
  <c r="P50" i="12"/>
  <c r="U50" i="12" s="1"/>
  <c r="G51" i="11"/>
  <c r="Q50" i="11"/>
  <c r="V50" i="11" s="1"/>
  <c r="P50" i="11"/>
  <c r="U50" i="11" s="1"/>
  <c r="G51" i="10"/>
  <c r="Q50" i="10"/>
  <c r="V50" i="10" s="1"/>
  <c r="P50" i="10"/>
  <c r="U50" i="10" s="1"/>
  <c r="G52" i="13" l="1"/>
  <c r="Q51" i="13"/>
  <c r="V51" i="13" s="1"/>
  <c r="P51" i="13"/>
  <c r="U51" i="13" s="1"/>
  <c r="G52" i="12"/>
  <c r="Q51" i="12"/>
  <c r="V51" i="12" s="1"/>
  <c r="P51" i="12"/>
  <c r="U51" i="12" s="1"/>
  <c r="Q51" i="11"/>
  <c r="V51" i="11" s="1"/>
  <c r="G52" i="11"/>
  <c r="P51" i="11"/>
  <c r="U51" i="11" s="1"/>
  <c r="P51" i="10"/>
  <c r="U51" i="10" s="1"/>
  <c r="G52" i="10"/>
  <c r="Q51" i="10"/>
  <c r="V51" i="10" s="1"/>
  <c r="P52" i="13" l="1"/>
  <c r="U52" i="13" s="1"/>
  <c r="G53" i="13"/>
  <c r="Q52" i="13"/>
  <c r="V52" i="13" s="1"/>
  <c r="P52" i="12"/>
  <c r="U52" i="12" s="1"/>
  <c r="G53" i="12"/>
  <c r="Q52" i="12"/>
  <c r="V52" i="12" s="1"/>
  <c r="P52" i="11"/>
  <c r="U52" i="11" s="1"/>
  <c r="G53" i="11"/>
  <c r="Q52" i="11"/>
  <c r="V52" i="11" s="1"/>
  <c r="P52" i="10"/>
  <c r="U52" i="10" s="1"/>
  <c r="G53" i="10"/>
  <c r="Q52" i="10"/>
  <c r="V52" i="10" s="1"/>
  <c r="Q53" i="13" l="1"/>
  <c r="V53" i="13" s="1"/>
  <c r="P53" i="13"/>
  <c r="U53" i="13" s="1"/>
  <c r="G54" i="13"/>
  <c r="Q53" i="12"/>
  <c r="V53" i="12" s="1"/>
  <c r="P53" i="12"/>
  <c r="U53" i="12" s="1"/>
  <c r="G54" i="12"/>
  <c r="G54" i="11"/>
  <c r="Q53" i="11"/>
  <c r="V53" i="11" s="1"/>
  <c r="P53" i="11"/>
  <c r="U53" i="11" s="1"/>
  <c r="Q53" i="10"/>
  <c r="V53" i="10" s="1"/>
  <c r="P53" i="10"/>
  <c r="U53" i="10" s="1"/>
  <c r="G54" i="10"/>
  <c r="Q54" i="13" l="1"/>
  <c r="V54" i="13" s="1"/>
  <c r="P54" i="13"/>
  <c r="U54" i="13" s="1"/>
  <c r="G55" i="13"/>
  <c r="Q54" i="12"/>
  <c r="V54" i="12" s="1"/>
  <c r="P54" i="12"/>
  <c r="U54" i="12" s="1"/>
  <c r="G55" i="12"/>
  <c r="Q54" i="11"/>
  <c r="V54" i="11" s="1"/>
  <c r="P54" i="11"/>
  <c r="U54" i="11" s="1"/>
  <c r="G55" i="11"/>
  <c r="Q54" i="10"/>
  <c r="V54" i="10" s="1"/>
  <c r="P54" i="10"/>
  <c r="U54" i="10" s="1"/>
  <c r="G55" i="10"/>
  <c r="G56" i="13" l="1"/>
  <c r="Q55" i="13"/>
  <c r="V55" i="13" s="1"/>
  <c r="P55" i="13"/>
  <c r="U55" i="13" s="1"/>
  <c r="G56" i="12"/>
  <c r="Q55" i="12"/>
  <c r="V55" i="12" s="1"/>
  <c r="P55" i="12"/>
  <c r="U55" i="12" s="1"/>
  <c r="G56" i="11"/>
  <c r="Q55" i="11"/>
  <c r="V55" i="11" s="1"/>
  <c r="P55" i="11"/>
  <c r="U55" i="11" s="1"/>
  <c r="G56" i="10"/>
  <c r="Q55" i="10"/>
  <c r="V55" i="10" s="1"/>
  <c r="P55" i="10"/>
  <c r="U55" i="10" s="1"/>
  <c r="P56" i="13" l="1"/>
  <c r="U56" i="13" s="1"/>
  <c r="G57" i="13"/>
  <c r="Q56" i="13"/>
  <c r="V56" i="13" s="1"/>
  <c r="Q56" i="12"/>
  <c r="V56" i="12" s="1"/>
  <c r="G57" i="12"/>
  <c r="P56" i="12"/>
  <c r="U56" i="12" s="1"/>
  <c r="G57" i="11"/>
  <c r="Q56" i="11"/>
  <c r="V56" i="11" s="1"/>
  <c r="P56" i="11"/>
  <c r="U56" i="11" s="1"/>
  <c r="G57" i="10"/>
  <c r="Q56" i="10"/>
  <c r="V56" i="10" s="1"/>
  <c r="P56" i="10"/>
  <c r="U56" i="10" s="1"/>
  <c r="P57" i="13" l="1"/>
  <c r="U57" i="13" s="1"/>
  <c r="G58" i="13"/>
  <c r="Q57" i="13"/>
  <c r="V57" i="13" s="1"/>
  <c r="P57" i="12"/>
  <c r="U57" i="12" s="1"/>
  <c r="G58" i="12"/>
  <c r="Q57" i="12"/>
  <c r="V57" i="12" s="1"/>
  <c r="P57" i="11"/>
  <c r="U57" i="11" s="1"/>
  <c r="G58" i="11"/>
  <c r="Q57" i="11"/>
  <c r="V57" i="11" s="1"/>
  <c r="P57" i="10"/>
  <c r="U57" i="10" s="1"/>
  <c r="Q57" i="10"/>
  <c r="V57" i="10" s="1"/>
  <c r="G58" i="10"/>
  <c r="Q58" i="13" l="1"/>
  <c r="V58" i="13" s="1"/>
  <c r="P58" i="13"/>
  <c r="U58" i="13" s="1"/>
  <c r="G59" i="13"/>
  <c r="Q58" i="12"/>
  <c r="V58" i="12" s="1"/>
  <c r="P58" i="12"/>
  <c r="U58" i="12" s="1"/>
  <c r="G59" i="12"/>
  <c r="Q58" i="11"/>
  <c r="V58" i="11" s="1"/>
  <c r="P58" i="11"/>
  <c r="U58" i="11" s="1"/>
  <c r="G59" i="11"/>
  <c r="Q58" i="10"/>
  <c r="V58" i="10" s="1"/>
  <c r="P58" i="10"/>
  <c r="U58" i="10" s="1"/>
  <c r="G59" i="10"/>
  <c r="Q59" i="13" l="1"/>
  <c r="V59" i="13" s="1"/>
  <c r="P59" i="13"/>
  <c r="U59" i="13" s="1"/>
  <c r="G60" i="13"/>
  <c r="Q59" i="12"/>
  <c r="V59" i="12" s="1"/>
  <c r="P59" i="12"/>
  <c r="U59" i="12" s="1"/>
  <c r="G60" i="12"/>
  <c r="Q59" i="11"/>
  <c r="V59" i="11" s="1"/>
  <c r="P59" i="11"/>
  <c r="U59" i="11" s="1"/>
  <c r="G60" i="11"/>
  <c r="Q59" i="10"/>
  <c r="V59" i="10" s="1"/>
  <c r="P59" i="10"/>
  <c r="U59" i="10" s="1"/>
  <c r="G60" i="10"/>
  <c r="G61" i="13" l="1"/>
  <c r="Q60" i="13"/>
  <c r="V60" i="13" s="1"/>
  <c r="P60" i="13"/>
  <c r="U60" i="13" s="1"/>
  <c r="G61" i="12"/>
  <c r="Q60" i="12"/>
  <c r="V60" i="12" s="1"/>
  <c r="P60" i="12"/>
  <c r="U60" i="12" s="1"/>
  <c r="G61" i="11"/>
  <c r="Q60" i="11"/>
  <c r="V60" i="11" s="1"/>
  <c r="P60" i="11"/>
  <c r="U60" i="11" s="1"/>
  <c r="G61" i="10"/>
  <c r="Q60" i="10"/>
  <c r="V60" i="10" s="1"/>
  <c r="P60" i="10"/>
  <c r="U60" i="10" s="1"/>
  <c r="G62" i="13" l="1"/>
  <c r="Q61" i="13"/>
  <c r="V61" i="13" s="1"/>
  <c r="P61" i="13"/>
  <c r="U61" i="13" s="1"/>
  <c r="Q61" i="12"/>
  <c r="V61" i="12" s="1"/>
  <c r="G62" i="12"/>
  <c r="P61" i="12"/>
  <c r="U61" i="12" s="1"/>
  <c r="G62" i="11"/>
  <c r="Q61" i="11"/>
  <c r="V61" i="11" s="1"/>
  <c r="P61" i="11"/>
  <c r="U61" i="11" s="1"/>
  <c r="G62" i="10"/>
  <c r="Q61" i="10"/>
  <c r="V61" i="10" s="1"/>
  <c r="P61" i="10"/>
  <c r="U61" i="10" s="1"/>
  <c r="P62" i="13" l="1"/>
  <c r="U62" i="13" s="1"/>
  <c r="G63" i="13"/>
  <c r="Q62" i="13"/>
  <c r="V62" i="13" s="1"/>
  <c r="P62" i="12"/>
  <c r="U62" i="12" s="1"/>
  <c r="G63" i="12"/>
  <c r="Q62" i="12"/>
  <c r="V62" i="12" s="1"/>
  <c r="P62" i="11"/>
  <c r="U62" i="11" s="1"/>
  <c r="G63" i="11"/>
  <c r="Q62" i="11"/>
  <c r="V62" i="11" s="1"/>
  <c r="P62" i="10"/>
  <c r="U62" i="10" s="1"/>
  <c r="Q62" i="10"/>
  <c r="V62" i="10" s="1"/>
  <c r="G63" i="10"/>
  <c r="Q63" i="13" l="1"/>
  <c r="V63" i="13" s="1"/>
  <c r="P63" i="13"/>
  <c r="U63" i="13" s="1"/>
  <c r="G64" i="13"/>
  <c r="Q63" i="12"/>
  <c r="V63" i="12" s="1"/>
  <c r="P63" i="12"/>
  <c r="U63" i="12" s="1"/>
  <c r="G64" i="12"/>
  <c r="G64" i="11"/>
  <c r="Q63" i="11"/>
  <c r="V63" i="11" s="1"/>
  <c r="P63" i="11"/>
  <c r="U63" i="11" s="1"/>
  <c r="Q63" i="10"/>
  <c r="V63" i="10" s="1"/>
  <c r="P63" i="10"/>
  <c r="U63" i="10" s="1"/>
  <c r="G64" i="10"/>
  <c r="Q64" i="13" l="1"/>
  <c r="V64" i="13" s="1"/>
  <c r="P64" i="13"/>
  <c r="U64" i="13" s="1"/>
  <c r="G65" i="13"/>
  <c r="Q64" i="12"/>
  <c r="V64" i="12" s="1"/>
  <c r="P64" i="12"/>
  <c r="U64" i="12" s="1"/>
  <c r="G65" i="12"/>
  <c r="Q64" i="11"/>
  <c r="V64" i="11" s="1"/>
  <c r="P64" i="11"/>
  <c r="U64" i="11" s="1"/>
  <c r="G65" i="11"/>
  <c r="Q64" i="10"/>
  <c r="V64" i="10" s="1"/>
  <c r="P64" i="10"/>
  <c r="U64" i="10" s="1"/>
  <c r="G65" i="10"/>
  <c r="G66" i="13" l="1"/>
  <c r="Q65" i="13"/>
  <c r="V65" i="13" s="1"/>
  <c r="P65" i="13"/>
  <c r="U65" i="13" s="1"/>
  <c r="G66" i="12"/>
  <c r="Q65" i="12"/>
  <c r="V65" i="12" s="1"/>
  <c r="P65" i="12"/>
  <c r="U65" i="12" s="1"/>
  <c r="G66" i="11"/>
  <c r="Q65" i="11"/>
  <c r="V65" i="11" s="1"/>
  <c r="P65" i="11"/>
  <c r="U65" i="11" s="1"/>
  <c r="G66" i="10"/>
  <c r="Q65" i="10"/>
  <c r="V65" i="10" s="1"/>
  <c r="P65" i="10"/>
  <c r="U65" i="10" s="1"/>
  <c r="G67" i="13" l="1"/>
  <c r="Q66" i="13"/>
  <c r="V66" i="13" s="1"/>
  <c r="P66" i="13"/>
  <c r="U66" i="13" s="1"/>
  <c r="G67" i="12"/>
  <c r="Q66" i="12"/>
  <c r="V66" i="12" s="1"/>
  <c r="P66" i="12"/>
  <c r="U66" i="12" s="1"/>
  <c r="G67" i="11"/>
  <c r="Q66" i="11"/>
  <c r="V66" i="11" s="1"/>
  <c r="P66" i="11"/>
  <c r="U66" i="11" s="1"/>
  <c r="G67" i="10"/>
  <c r="Q66" i="10"/>
  <c r="V66" i="10" s="1"/>
  <c r="P66" i="10"/>
  <c r="U66" i="10" s="1"/>
  <c r="P67" i="13" l="1"/>
  <c r="U67" i="13" s="1"/>
  <c r="G68" i="13"/>
  <c r="Q67" i="13"/>
  <c r="V67" i="13" s="1"/>
  <c r="P67" i="12"/>
  <c r="U67" i="12" s="1"/>
  <c r="G68" i="12"/>
  <c r="Q67" i="12"/>
  <c r="V67" i="12" s="1"/>
  <c r="P67" i="11"/>
  <c r="U67" i="11" s="1"/>
  <c r="G68" i="11"/>
  <c r="Q67" i="11"/>
  <c r="V67" i="11" s="1"/>
  <c r="P67" i="10"/>
  <c r="U67" i="10" s="1"/>
  <c r="G68" i="10"/>
  <c r="Q67" i="10"/>
  <c r="V67" i="10" s="1"/>
  <c r="Q68" i="13" l="1"/>
  <c r="V68" i="13" s="1"/>
  <c r="P68" i="13"/>
  <c r="U68" i="13" s="1"/>
  <c r="G69" i="13"/>
  <c r="Q68" i="12"/>
  <c r="V68" i="12" s="1"/>
  <c r="P68" i="12"/>
  <c r="U68" i="12" s="1"/>
  <c r="G69" i="12"/>
  <c r="Q68" i="11"/>
  <c r="V68" i="11" s="1"/>
  <c r="P68" i="11"/>
  <c r="U68" i="11" s="1"/>
  <c r="G69" i="11"/>
  <c r="Q68" i="10"/>
  <c r="V68" i="10" s="1"/>
  <c r="P68" i="10"/>
  <c r="U68" i="10" s="1"/>
  <c r="G69" i="10"/>
  <c r="Q69" i="13" l="1"/>
  <c r="V69" i="13" s="1"/>
  <c r="P69" i="13"/>
  <c r="U69" i="13" s="1"/>
  <c r="G70" i="13"/>
  <c r="Q69" i="12"/>
  <c r="V69" i="12" s="1"/>
  <c r="P69" i="12"/>
  <c r="U69" i="12" s="1"/>
  <c r="G70" i="12"/>
  <c r="Q69" i="11"/>
  <c r="V69" i="11" s="1"/>
  <c r="P69" i="11"/>
  <c r="U69" i="11" s="1"/>
  <c r="G70" i="11"/>
  <c r="Q69" i="10"/>
  <c r="V69" i="10" s="1"/>
  <c r="P69" i="10"/>
  <c r="U69" i="10" s="1"/>
  <c r="G70" i="10"/>
  <c r="G71" i="13" l="1"/>
  <c r="Q70" i="13"/>
  <c r="V70" i="13" s="1"/>
  <c r="P70" i="13"/>
  <c r="U70" i="13" s="1"/>
  <c r="G71" i="12"/>
  <c r="Q70" i="12"/>
  <c r="V70" i="12" s="1"/>
  <c r="P70" i="12"/>
  <c r="U70" i="12" s="1"/>
  <c r="G71" i="11"/>
  <c r="Q70" i="11"/>
  <c r="V70" i="11" s="1"/>
  <c r="P70" i="11"/>
  <c r="U70" i="11" s="1"/>
  <c r="G71" i="10"/>
  <c r="Q70" i="10"/>
  <c r="V70" i="10" s="1"/>
  <c r="P70" i="10"/>
  <c r="U70" i="10" s="1"/>
  <c r="G72" i="13" l="1"/>
  <c r="Q71" i="13"/>
  <c r="V71" i="13" s="1"/>
  <c r="P71" i="13"/>
  <c r="U71" i="13" s="1"/>
  <c r="G72" i="12"/>
  <c r="Q71" i="12"/>
  <c r="V71" i="12" s="1"/>
  <c r="P71" i="12"/>
  <c r="U71" i="12" s="1"/>
  <c r="G72" i="11"/>
  <c r="Q71" i="11"/>
  <c r="V71" i="11" s="1"/>
  <c r="P71" i="11"/>
  <c r="U71" i="11" s="1"/>
  <c r="P71" i="10"/>
  <c r="U71" i="10" s="1"/>
  <c r="G72" i="10"/>
  <c r="Q71" i="10"/>
  <c r="V71" i="10" s="1"/>
  <c r="P72" i="13" l="1"/>
  <c r="U72" i="13" s="1"/>
  <c r="G73" i="13"/>
  <c r="Q72" i="13"/>
  <c r="V72" i="13" s="1"/>
  <c r="P72" i="12"/>
  <c r="U72" i="12" s="1"/>
  <c r="G73" i="12"/>
  <c r="Q72" i="12"/>
  <c r="V72" i="12" s="1"/>
  <c r="P72" i="11"/>
  <c r="U72" i="11" s="1"/>
  <c r="G73" i="11"/>
  <c r="Q72" i="11"/>
  <c r="V72" i="11" s="1"/>
  <c r="P72" i="10"/>
  <c r="U72" i="10" s="1"/>
  <c r="Q72" i="10"/>
  <c r="V72" i="10" s="1"/>
  <c r="G73" i="10"/>
  <c r="Q73" i="13" l="1"/>
  <c r="V73" i="13" s="1"/>
  <c r="P73" i="13"/>
  <c r="U73" i="13" s="1"/>
  <c r="G74" i="13"/>
  <c r="Q73" i="12"/>
  <c r="V73" i="12" s="1"/>
  <c r="P73" i="12"/>
  <c r="U73" i="12" s="1"/>
  <c r="G74" i="12"/>
  <c r="Q73" i="11"/>
  <c r="V73" i="11" s="1"/>
  <c r="P73" i="11"/>
  <c r="U73" i="11" s="1"/>
  <c r="G74" i="11"/>
  <c r="Q73" i="10"/>
  <c r="V73" i="10" s="1"/>
  <c r="P73" i="10"/>
  <c r="U73" i="10" s="1"/>
  <c r="G74" i="10"/>
  <c r="Q74" i="13" l="1"/>
  <c r="V74" i="13" s="1"/>
  <c r="P74" i="13"/>
  <c r="U74" i="13" s="1"/>
  <c r="G75" i="13"/>
  <c r="Q74" i="12"/>
  <c r="V74" i="12" s="1"/>
  <c r="P74" i="12"/>
  <c r="U74" i="12" s="1"/>
  <c r="G75" i="12"/>
  <c r="Q74" i="11"/>
  <c r="V74" i="11" s="1"/>
  <c r="P74" i="11"/>
  <c r="U74" i="11" s="1"/>
  <c r="G75" i="11"/>
  <c r="Q74" i="10"/>
  <c r="V74" i="10" s="1"/>
  <c r="P74" i="10"/>
  <c r="U74" i="10" s="1"/>
  <c r="G75" i="10"/>
  <c r="G76" i="13" l="1"/>
  <c r="Q75" i="13"/>
  <c r="V75" i="13" s="1"/>
  <c r="P75" i="13"/>
  <c r="U75" i="13" s="1"/>
  <c r="G76" i="12"/>
  <c r="Q75" i="12"/>
  <c r="V75" i="12" s="1"/>
  <c r="P75" i="12"/>
  <c r="U75" i="12" s="1"/>
  <c r="G76" i="11"/>
  <c r="Q75" i="11"/>
  <c r="V75" i="11" s="1"/>
  <c r="P75" i="11"/>
  <c r="U75" i="11" s="1"/>
  <c r="G76" i="10"/>
  <c r="Q75" i="10"/>
  <c r="V75" i="10" s="1"/>
  <c r="P75" i="10"/>
  <c r="U75" i="10" s="1"/>
  <c r="G77" i="13" l="1"/>
  <c r="Q76" i="13"/>
  <c r="V76" i="13" s="1"/>
  <c r="P76" i="13"/>
  <c r="U76" i="13" s="1"/>
  <c r="Q76" i="12"/>
  <c r="V76" i="12" s="1"/>
  <c r="G77" i="12"/>
  <c r="P76" i="12"/>
  <c r="U76" i="12" s="1"/>
  <c r="Q76" i="11"/>
  <c r="V76" i="11" s="1"/>
  <c r="G77" i="11"/>
  <c r="P76" i="11"/>
  <c r="U76" i="11" s="1"/>
  <c r="G77" i="10"/>
  <c r="P76" i="10"/>
  <c r="U76" i="10" s="1"/>
  <c r="Q76" i="10"/>
  <c r="V76" i="10" s="1"/>
  <c r="P77" i="13" l="1"/>
  <c r="U77" i="13" s="1"/>
  <c r="G78" i="13"/>
  <c r="Q77" i="13"/>
  <c r="V77" i="13" s="1"/>
  <c r="P77" i="12"/>
  <c r="U77" i="12" s="1"/>
  <c r="G78" i="12"/>
  <c r="Q77" i="12"/>
  <c r="V77" i="12" s="1"/>
  <c r="P77" i="11"/>
  <c r="U77" i="11" s="1"/>
  <c r="G78" i="11"/>
  <c r="Q77" i="11"/>
  <c r="V77" i="11" s="1"/>
  <c r="P77" i="10"/>
  <c r="U77" i="10" s="1"/>
  <c r="Q77" i="10"/>
  <c r="V77" i="10" s="1"/>
  <c r="G78" i="10"/>
  <c r="Q78" i="13" l="1"/>
  <c r="V78" i="13" s="1"/>
  <c r="P78" i="13"/>
  <c r="U78" i="13" s="1"/>
  <c r="G79" i="13"/>
  <c r="G79" i="12"/>
  <c r="Q78" i="12"/>
  <c r="V78" i="12" s="1"/>
  <c r="P78" i="12"/>
  <c r="U78" i="12" s="1"/>
  <c r="Q78" i="11"/>
  <c r="V78" i="11" s="1"/>
  <c r="P78" i="11"/>
  <c r="U78" i="11" s="1"/>
  <c r="G79" i="11"/>
  <c r="Q78" i="10"/>
  <c r="V78" i="10" s="1"/>
  <c r="P78" i="10"/>
  <c r="U78" i="10" s="1"/>
  <c r="G79" i="10"/>
  <c r="Q79" i="13" l="1"/>
  <c r="V79" i="13" s="1"/>
  <c r="Y3" i="13" s="1" a="1"/>
  <c r="Y3" i="13" s="1"/>
  <c r="P79" i="13"/>
  <c r="U79" i="13" s="1"/>
  <c r="Q79" i="12"/>
  <c r="V79" i="12" s="1"/>
  <c r="Y3" i="12" s="1" a="1"/>
  <c r="Y3" i="12" s="1"/>
  <c r="P79" i="12"/>
  <c r="U79" i="12" s="1"/>
  <c r="Q79" i="11"/>
  <c r="V79" i="11" s="1"/>
  <c r="Y3" i="11" s="1" a="1"/>
  <c r="Y3" i="11" s="1"/>
  <c r="P79" i="11"/>
  <c r="U79" i="11" s="1"/>
  <c r="Q79" i="10"/>
  <c r="V79" i="10" s="1"/>
  <c r="Y3" i="10" s="1" a="1"/>
  <c r="Y3" i="10" s="1"/>
  <c r="P79" i="10"/>
  <c r="U79" i="10" s="1"/>
  <c r="I2" i="15" l="1" a="1"/>
  <c r="I2" i="15" s="1"/>
  <c r="F2" i="15" a="1"/>
  <c r="F2" i="15" s="1"/>
  <c r="K2" i="15" a="1"/>
  <c r="K2" i="15" s="1"/>
  <c r="E2" i="15" a="1"/>
  <c r="E2" i="15" s="1"/>
  <c r="J2" i="15" a="1"/>
  <c r="J2" i="15" s="1"/>
  <c r="G2" i="15" a="1"/>
  <c r="G2" i="15" s="1"/>
  <c r="L2" i="15" a="1"/>
  <c r="L2" i="15" s="1"/>
  <c r="Y2" i="10" a="1"/>
  <c r="Y2" i="10" s="1"/>
  <c r="D2" i="15" a="1"/>
  <c r="D2" i="15" s="1"/>
  <c r="C27" i="5" a="1"/>
  <c r="C27" i="5" s="1"/>
  <c r="C20" i="5" a="1"/>
  <c r="C20" i="5" s="1"/>
  <c r="Y2" i="12" a="1"/>
  <c r="Y2" i="12" s="1"/>
  <c r="C6" i="5" a="1"/>
  <c r="C6" i="5" s="1"/>
  <c r="D14" i="5" a="1"/>
  <c r="D14" i="5" s="1"/>
  <c r="D6" i="5" a="1"/>
  <c r="D6" i="5" s="1"/>
  <c r="D27" i="5" a="1"/>
  <c r="D27" i="5" s="1"/>
  <c r="C14" i="5" a="1"/>
  <c r="C14" i="5" s="1"/>
  <c r="D20" i="5" a="1"/>
  <c r="D20" i="5" s="1"/>
  <c r="D13" i="5" a="1"/>
  <c r="D13" i="5" s="1"/>
  <c r="C13" i="5" a="1"/>
  <c r="C13" i="5" s="1"/>
  <c r="C29" i="5" a="1"/>
  <c r="C29" i="5" s="1"/>
  <c r="D29" i="5" a="1"/>
  <c r="D29" i="5" s="1"/>
  <c r="C5" i="5" a="1"/>
  <c r="C5" i="5" s="1"/>
  <c r="D5" i="5" a="1"/>
  <c r="D5" i="5" s="1"/>
  <c r="C8" i="5" a="1"/>
  <c r="C8" i="5" s="1"/>
  <c r="D30" i="5" a="1"/>
  <c r="D30" i="5" s="1"/>
  <c r="D8" i="5" a="1"/>
  <c r="D8" i="5" s="1"/>
  <c r="C30" i="5" a="1"/>
  <c r="C30" i="5" s="1"/>
  <c r="Y2" i="13" a="1"/>
  <c r="Y2" i="13" s="1"/>
  <c r="Y2" i="11" a="1"/>
  <c r="Y2" i="11" s="1"/>
  <c r="D15" i="5" a="1"/>
  <c r="D15" i="5" s="1"/>
  <c r="C28" i="5" a="1"/>
  <c r="C28" i="5" s="1"/>
  <c r="C7" i="5" a="1"/>
  <c r="C7" i="5" s="1"/>
  <c r="D7" i="5" a="1"/>
  <c r="D7" i="5" s="1"/>
  <c r="D28" i="5" a="1"/>
  <c r="D28" i="5" s="1"/>
  <c r="C15" i="5" a="1"/>
  <c r="C15" i="5" s="1"/>
  <c r="D21" i="5" a="1"/>
  <c r="D21" i="5" s="1"/>
  <c r="C21" i="5" a="1"/>
  <c r="C21" i="5" s="1"/>
  <c r="E7" i="5" l="1"/>
  <c r="E28" i="5"/>
  <c r="F8" i="5"/>
  <c r="E21" i="5"/>
  <c r="E14" i="5"/>
  <c r="F6" i="5"/>
  <c r="E15" i="5"/>
  <c r="F14" i="5"/>
  <c r="F21" i="5"/>
  <c r="F28" i="5"/>
  <c r="F15" i="5"/>
  <c r="F7" i="5"/>
  <c r="E8" i="5"/>
  <c r="E6" i="5"/>
  <c r="G7" i="5" l="1"/>
  <c r="G21" i="5"/>
  <c r="G8" i="5"/>
  <c r="G28" i="5"/>
  <c r="G15" i="5"/>
  <c r="G14" i="5"/>
  <c r="G6" i="5"/>
  <c r="G5" i="3"/>
  <c r="G6" i="3" l="1"/>
  <c r="P5" i="3"/>
  <c r="U5" i="3" s="1"/>
  <c r="Q5" i="3"/>
  <c r="V5" i="3" s="1"/>
  <c r="G7" i="3" l="1"/>
  <c r="Q6" i="3"/>
  <c r="V6" i="3" s="1"/>
  <c r="P6" i="3"/>
  <c r="U6" i="3" s="1"/>
  <c r="G8" i="3" l="1"/>
  <c r="P7" i="3"/>
  <c r="U7" i="3" s="1"/>
  <c r="Q7" i="3"/>
  <c r="V7" i="3" s="1"/>
  <c r="P8" i="3" l="1"/>
  <c r="U8" i="3" s="1"/>
  <c r="Q8" i="3"/>
  <c r="V8" i="3" s="1"/>
  <c r="G9" i="3"/>
  <c r="Q9" i="3" l="1"/>
  <c r="V9" i="3" s="1"/>
  <c r="P9" i="3"/>
  <c r="U9" i="3" s="1"/>
  <c r="G10" i="3"/>
  <c r="Q10" i="3" l="1"/>
  <c r="V10" i="3" s="1"/>
  <c r="P10" i="3"/>
  <c r="U10" i="3" s="1"/>
  <c r="G11" i="3"/>
  <c r="Q11" i="3" l="1"/>
  <c r="V11" i="3" s="1"/>
  <c r="P11" i="3"/>
  <c r="U11" i="3" s="1"/>
  <c r="G12" i="3"/>
  <c r="Q12" i="3" l="1"/>
  <c r="V12" i="3" s="1"/>
  <c r="P12" i="3"/>
  <c r="U12" i="3" s="1"/>
  <c r="G13" i="3"/>
  <c r="P13" i="3" l="1"/>
  <c r="U13" i="3" s="1"/>
  <c r="Q13" i="3"/>
  <c r="V13" i="3" s="1"/>
  <c r="G14" i="3"/>
  <c r="Q14" i="3" l="1"/>
  <c r="V14" i="3" s="1"/>
  <c r="P14" i="3"/>
  <c r="U14" i="3" s="1"/>
  <c r="G15" i="3"/>
  <c r="Q15" i="3" l="1"/>
  <c r="V15" i="3" s="1"/>
  <c r="P15" i="3"/>
  <c r="U15" i="3" s="1"/>
  <c r="G16" i="3"/>
  <c r="P16" i="3" l="1"/>
  <c r="U16" i="3" s="1"/>
  <c r="Q16" i="3"/>
  <c r="V16" i="3" s="1"/>
  <c r="G17" i="3"/>
  <c r="P17" i="3" l="1"/>
  <c r="U17" i="3" s="1"/>
  <c r="Q17" i="3"/>
  <c r="V17" i="3" s="1"/>
  <c r="G18" i="3"/>
  <c r="P18" i="3" l="1"/>
  <c r="U18" i="3" s="1"/>
  <c r="Q18" i="3"/>
  <c r="V18" i="3" s="1"/>
  <c r="G19" i="3"/>
  <c r="Q19" i="3" l="1"/>
  <c r="V19" i="3" s="1"/>
  <c r="P19" i="3"/>
  <c r="U19" i="3" s="1"/>
  <c r="G20" i="3"/>
  <c r="Q20" i="3" l="1"/>
  <c r="V20" i="3" s="1"/>
  <c r="P20" i="3"/>
  <c r="U20" i="3" s="1"/>
  <c r="G21" i="3"/>
  <c r="Q21" i="3" l="1"/>
  <c r="V21" i="3" s="1"/>
  <c r="P21" i="3"/>
  <c r="U21" i="3" s="1"/>
  <c r="G22" i="3"/>
  <c r="Q22" i="3" l="1"/>
  <c r="V22" i="3" s="1"/>
  <c r="P22" i="3"/>
  <c r="U22" i="3" s="1"/>
  <c r="G23" i="3"/>
  <c r="Q23" i="3" l="1"/>
  <c r="V23" i="3" s="1"/>
  <c r="P23" i="3"/>
  <c r="U23" i="3" s="1"/>
  <c r="G24" i="3"/>
  <c r="Q24" i="3" l="1"/>
  <c r="V24" i="3" s="1"/>
  <c r="P24" i="3"/>
  <c r="U24" i="3" s="1"/>
  <c r="G25" i="3"/>
  <c r="Q25" i="3" l="1"/>
  <c r="V25" i="3" s="1"/>
  <c r="P25" i="3"/>
  <c r="U25" i="3" s="1"/>
  <c r="G26" i="3"/>
  <c r="Q26" i="3" l="1"/>
  <c r="V26" i="3" s="1"/>
  <c r="P26" i="3"/>
  <c r="U26" i="3" s="1"/>
  <c r="G27" i="3"/>
  <c r="P27" i="3" l="1"/>
  <c r="U27" i="3" s="1"/>
  <c r="Q27" i="3"/>
  <c r="V27" i="3" s="1"/>
  <c r="G28" i="3"/>
  <c r="Q28" i="3" l="1"/>
  <c r="V28" i="3" s="1"/>
  <c r="P28" i="3"/>
  <c r="U28" i="3" s="1"/>
  <c r="G29" i="3"/>
  <c r="Q29" i="3" l="1"/>
  <c r="V29" i="3" s="1"/>
  <c r="P29" i="3"/>
  <c r="U29" i="3" s="1"/>
  <c r="G30" i="3"/>
  <c r="Q30" i="3" l="1"/>
  <c r="V30" i="3" s="1"/>
  <c r="P30" i="3"/>
  <c r="U30" i="3" s="1"/>
  <c r="G31" i="3"/>
  <c r="Q31" i="3" l="1"/>
  <c r="V31" i="3" s="1"/>
  <c r="P31" i="3"/>
  <c r="U31" i="3" s="1"/>
  <c r="G32" i="3"/>
  <c r="Q32" i="3" l="1"/>
  <c r="V32" i="3" s="1"/>
  <c r="P32" i="3"/>
  <c r="U32" i="3" s="1"/>
  <c r="G33" i="3"/>
  <c r="P33" i="3" l="1"/>
  <c r="U33" i="3" s="1"/>
  <c r="Q33" i="3"/>
  <c r="V33" i="3" s="1"/>
  <c r="G34" i="3"/>
  <c r="Q34" i="3" l="1"/>
  <c r="V34" i="3" s="1"/>
  <c r="P34" i="3"/>
  <c r="U34" i="3" s="1"/>
  <c r="G35" i="3"/>
  <c r="P35" i="3" l="1"/>
  <c r="U35" i="3" s="1"/>
  <c r="Q35" i="3"/>
  <c r="V35" i="3" s="1"/>
  <c r="G36" i="3"/>
  <c r="P36" i="3" l="1"/>
  <c r="U36" i="3" s="1"/>
  <c r="Q36" i="3"/>
  <c r="V36" i="3" s="1"/>
  <c r="G37" i="3"/>
  <c r="P37" i="3" l="1"/>
  <c r="U37" i="3" s="1"/>
  <c r="Q37" i="3"/>
  <c r="V37" i="3" s="1"/>
  <c r="G38" i="3"/>
  <c r="P38" i="3" l="1"/>
  <c r="U38" i="3" s="1"/>
  <c r="Q38" i="3"/>
  <c r="V38" i="3" s="1"/>
  <c r="G39" i="3"/>
  <c r="Q39" i="3" l="1"/>
  <c r="V39" i="3" s="1"/>
  <c r="P39" i="3"/>
  <c r="U39" i="3" s="1"/>
  <c r="G40" i="3"/>
  <c r="Q40" i="3" l="1"/>
  <c r="V40" i="3" s="1"/>
  <c r="P40" i="3"/>
  <c r="U40" i="3" s="1"/>
  <c r="G41" i="3"/>
  <c r="Q41" i="3" l="1"/>
  <c r="V41" i="3" s="1"/>
  <c r="P41" i="3"/>
  <c r="U41" i="3" s="1"/>
  <c r="G42" i="3"/>
  <c r="P42" i="3" l="1"/>
  <c r="U42" i="3" s="1"/>
  <c r="Q42" i="3"/>
  <c r="V42" i="3" s="1"/>
  <c r="G43" i="3"/>
  <c r="Q43" i="3" l="1"/>
  <c r="V43" i="3" s="1"/>
  <c r="P43" i="3"/>
  <c r="U43" i="3" s="1"/>
  <c r="G44" i="3"/>
  <c r="Q44" i="3" l="1"/>
  <c r="V44" i="3" s="1"/>
  <c r="P44" i="3"/>
  <c r="U44" i="3" s="1"/>
  <c r="G45" i="3"/>
  <c r="Q45" i="3" l="1"/>
  <c r="V45" i="3" s="1"/>
  <c r="P45" i="3"/>
  <c r="U45" i="3" s="1"/>
  <c r="G46" i="3"/>
  <c r="Q46" i="3" l="1"/>
  <c r="V46" i="3" s="1"/>
  <c r="P46" i="3"/>
  <c r="U46" i="3" s="1"/>
  <c r="G47" i="3"/>
  <c r="P47" i="3" l="1"/>
  <c r="U47" i="3" s="1"/>
  <c r="Q47" i="3"/>
  <c r="V47" i="3" s="1"/>
  <c r="G48" i="3"/>
  <c r="P48" i="3" l="1"/>
  <c r="U48" i="3" s="1"/>
  <c r="Q48" i="3"/>
  <c r="V48" i="3" s="1"/>
  <c r="G49" i="3"/>
  <c r="Q49" i="3" l="1"/>
  <c r="V49" i="3" s="1"/>
  <c r="P49" i="3"/>
  <c r="U49" i="3" s="1"/>
  <c r="G50" i="3"/>
  <c r="P50" i="3" l="1"/>
  <c r="U50" i="3" s="1"/>
  <c r="Q50" i="3"/>
  <c r="V50" i="3" s="1"/>
  <c r="G51" i="3"/>
  <c r="Q51" i="3" l="1"/>
  <c r="V51" i="3" s="1"/>
  <c r="P51" i="3"/>
  <c r="U51" i="3" s="1"/>
  <c r="G52" i="3"/>
  <c r="Q52" i="3" l="1"/>
  <c r="V52" i="3" s="1"/>
  <c r="P52" i="3"/>
  <c r="U52" i="3" s="1"/>
  <c r="G53" i="3"/>
  <c r="Q53" i="3" l="1"/>
  <c r="V53" i="3" s="1"/>
  <c r="P53" i="3"/>
  <c r="U53" i="3" s="1"/>
  <c r="G54" i="3"/>
  <c r="Q54" i="3" l="1"/>
  <c r="V54" i="3" s="1"/>
  <c r="P54" i="3"/>
  <c r="U54" i="3" s="1"/>
  <c r="G55" i="3"/>
  <c r="Q55" i="3" l="1"/>
  <c r="V55" i="3" s="1"/>
  <c r="P55" i="3"/>
  <c r="U55" i="3" s="1"/>
  <c r="G56" i="3"/>
  <c r="Q56" i="3" l="1"/>
  <c r="V56" i="3" s="1"/>
  <c r="P56" i="3"/>
  <c r="U56" i="3" s="1"/>
  <c r="G57" i="3"/>
  <c r="P57" i="3" l="1"/>
  <c r="U57" i="3" s="1"/>
  <c r="Q57" i="3"/>
  <c r="V57" i="3" s="1"/>
  <c r="G58" i="3"/>
  <c r="Q58" i="3" l="1"/>
  <c r="V58" i="3" s="1"/>
  <c r="P58" i="3"/>
  <c r="U58" i="3" s="1"/>
  <c r="G59" i="3"/>
  <c r="Q59" i="3" l="1"/>
  <c r="V59" i="3" s="1"/>
  <c r="P59" i="3"/>
  <c r="U59" i="3" s="1"/>
  <c r="G60" i="3"/>
  <c r="Q60" i="3" l="1"/>
  <c r="V60" i="3" s="1"/>
  <c r="P60" i="3"/>
  <c r="U60" i="3" s="1"/>
  <c r="G61" i="3"/>
  <c r="Q61" i="3" l="1"/>
  <c r="V61" i="3" s="1"/>
  <c r="P61" i="3"/>
  <c r="U61" i="3" s="1"/>
  <c r="G62" i="3"/>
  <c r="P62" i="3" l="1"/>
  <c r="U62" i="3" s="1"/>
  <c r="Q62" i="3"/>
  <c r="V62" i="3" s="1"/>
  <c r="G63" i="3"/>
  <c r="P63" i="3" l="1"/>
  <c r="U63" i="3" s="1"/>
  <c r="Q63" i="3"/>
  <c r="V63" i="3" s="1"/>
  <c r="G64" i="3"/>
  <c r="Q64" i="3" l="1"/>
  <c r="V64" i="3" s="1"/>
  <c r="P64" i="3"/>
  <c r="U64" i="3" s="1"/>
  <c r="G65" i="3"/>
  <c r="Q65" i="3" l="1"/>
  <c r="V65" i="3" s="1"/>
  <c r="P65" i="3"/>
  <c r="U65" i="3" s="1"/>
  <c r="G66" i="3"/>
  <c r="Q66" i="3" l="1"/>
  <c r="V66" i="3" s="1"/>
  <c r="P66" i="3"/>
  <c r="U66" i="3" s="1"/>
  <c r="G67" i="3"/>
  <c r="P67" i="3" l="1"/>
  <c r="U67" i="3" s="1"/>
  <c r="Q67" i="3"/>
  <c r="V67" i="3" s="1"/>
  <c r="G68" i="3"/>
  <c r="P68" i="3" l="1"/>
  <c r="U68" i="3" s="1"/>
  <c r="Q68" i="3"/>
  <c r="V68" i="3" s="1"/>
  <c r="G69" i="3"/>
  <c r="Q69" i="3" l="1"/>
  <c r="V69" i="3" s="1"/>
  <c r="P69" i="3"/>
  <c r="U69" i="3" s="1"/>
  <c r="G70" i="3"/>
  <c r="Q70" i="3" l="1"/>
  <c r="V70" i="3" s="1"/>
  <c r="P70" i="3"/>
  <c r="U70" i="3" s="1"/>
  <c r="G71" i="3"/>
  <c r="Q71" i="3" l="1"/>
  <c r="V71" i="3" s="1"/>
  <c r="P71" i="3"/>
  <c r="U71" i="3" s="1"/>
  <c r="G72" i="3"/>
  <c r="Q72" i="3" l="1"/>
  <c r="V72" i="3" s="1"/>
  <c r="P72" i="3"/>
  <c r="U72" i="3" s="1"/>
  <c r="G73" i="3"/>
  <c r="Q73" i="3" l="1"/>
  <c r="V73" i="3" s="1"/>
  <c r="P73" i="3"/>
  <c r="U73" i="3" s="1"/>
  <c r="G74" i="3"/>
  <c r="Q74" i="3" l="1"/>
  <c r="V74" i="3" s="1"/>
  <c r="P74" i="3"/>
  <c r="U74" i="3" s="1"/>
  <c r="G75" i="3"/>
  <c r="P75" i="3" l="1"/>
  <c r="U75" i="3" s="1"/>
  <c r="Q75" i="3"/>
  <c r="V75" i="3" s="1"/>
  <c r="G76" i="3"/>
  <c r="Q76" i="3" l="1"/>
  <c r="V76" i="3" s="1"/>
  <c r="P76" i="3"/>
  <c r="U76" i="3" s="1"/>
  <c r="G77" i="3"/>
  <c r="Q77" i="3" l="1"/>
  <c r="V77" i="3" s="1"/>
  <c r="P77" i="3"/>
  <c r="U77" i="3" s="1"/>
  <c r="G78" i="3"/>
  <c r="P78" i="3" l="1"/>
  <c r="U78" i="3" s="1"/>
  <c r="Q78" i="3"/>
  <c r="V78" i="3" s="1"/>
  <c r="G79" i="3"/>
  <c r="Q79" i="3" l="1"/>
  <c r="V79" i="3" s="1"/>
  <c r="P79" i="3"/>
  <c r="U79" i="3" s="1"/>
  <c r="Y2" i="3" s="1" a="1"/>
  <c r="Y2" i="3" s="1"/>
  <c r="C2" i="15" l="1" a="1"/>
  <c r="C2" i="15" s="1"/>
  <c r="H2" i="15" a="1"/>
  <c r="H2" i="15" s="1"/>
  <c r="C26" i="5" a="1"/>
  <c r="C26" i="5" s="1"/>
  <c r="E27" i="5" s="1"/>
  <c r="C4" i="5" a="1"/>
  <c r="C4" i="5" s="1"/>
  <c r="E5" i="5" s="1"/>
  <c r="C19" i="5" a="1"/>
  <c r="C19" i="5" s="1"/>
  <c r="E20" i="5" s="1"/>
  <c r="C12" i="5" a="1"/>
  <c r="C12" i="5" s="1"/>
  <c r="E13" i="5" s="1"/>
  <c r="Y3" i="3" a="1"/>
  <c r="Y3" i="3" s="1"/>
  <c r="D26" i="5" a="1"/>
  <c r="D26" i="5" s="1"/>
  <c r="F27" i="5" s="1"/>
  <c r="D19" i="5" a="1"/>
  <c r="D19" i="5" s="1"/>
  <c r="F20" i="5" s="1"/>
  <c r="D4" i="5" a="1"/>
  <c r="D4" i="5" s="1"/>
  <c r="F5" i="5" s="1"/>
  <c r="D12" i="5" a="1"/>
  <c r="D12" i="5" s="1"/>
  <c r="F13" i="5" s="1"/>
  <c r="G27" i="5" l="1"/>
  <c r="G13" i="5"/>
  <c r="G20" i="5"/>
  <c r="G5" i="5"/>
  <c r="E7" i="14" l="1" a="1"/>
  <c r="E7" i="14" s="1"/>
  <c r="D7" i="14" a="1"/>
  <c r="D7" i="14" s="1"/>
  <c r="D6" i="14" a="1"/>
  <c r="D6" i="14" s="1"/>
  <c r="E6" i="14" a="1"/>
  <c r="E6" i="14" s="1"/>
  <c r="E5" i="14" a="1"/>
  <c r="E5" i="14" s="1"/>
  <c r="D5" i="14" a="1"/>
  <c r="D5" i="14" s="1"/>
  <c r="D4" i="14" l="1" a="1"/>
  <c r="D4" i="14" s="1"/>
  <c r="E4" i="14" a="1"/>
  <c r="E4" i="14" s="1"/>
  <c r="D3" i="14" l="1" a="1"/>
  <c r="D3" i="14" s="1"/>
  <c r="E3" i="14" l="1" a="1"/>
  <c r="E3" i="14" s="1"/>
  <c r="D21" i="14" l="1" a="1"/>
  <c r="D11" i="14" a="1"/>
  <c r="D31" i="14" a="1"/>
  <c r="D16" i="14" a="1"/>
  <c r="D26" i="14" a="1"/>
  <c r="D26" i="14" l="1"/>
  <c r="E26" i="14" s="1"/>
  <c r="F26" i="14" s="1"/>
  <c r="E28" i="14"/>
  <c r="F28" i="14" s="1"/>
  <c r="E30" i="14"/>
  <c r="F30" i="14" s="1"/>
  <c r="E27" i="14"/>
  <c r="F27" i="14" s="1"/>
  <c r="E29" i="14"/>
  <c r="F29" i="14" s="1"/>
  <c r="D31" i="14"/>
  <c r="E31" i="14" s="1"/>
  <c r="F31" i="14" s="1"/>
  <c r="E32" i="14"/>
  <c r="F32" i="14" s="1"/>
  <c r="E33" i="14"/>
  <c r="F33" i="14" s="1"/>
  <c r="E34" i="14"/>
  <c r="F34" i="14" s="1"/>
  <c r="E35" i="14"/>
  <c r="F35" i="14" s="1"/>
  <c r="D11" i="14"/>
  <c r="E11" i="14" s="1"/>
  <c r="F11" i="14" s="1"/>
  <c r="E15" i="14"/>
  <c r="F15" i="14" s="1"/>
  <c r="E13" i="14"/>
  <c r="F13" i="14" s="1"/>
  <c r="E14" i="14"/>
  <c r="F14" i="14" s="1"/>
  <c r="E12" i="14"/>
  <c r="F12" i="14" s="1"/>
  <c r="D16" i="14"/>
  <c r="E16" i="14" s="1"/>
  <c r="F16" i="14" s="1"/>
  <c r="E17" i="14"/>
  <c r="F17" i="14" s="1"/>
  <c r="E18" i="14"/>
  <c r="F18" i="14" s="1"/>
  <c r="E19" i="14"/>
  <c r="F19" i="14" s="1"/>
  <c r="E20" i="14"/>
  <c r="F20" i="14" s="1"/>
  <c r="D21" i="14"/>
  <c r="E21" i="14" s="1"/>
  <c r="F21" i="14" s="1"/>
  <c r="E22" i="14"/>
  <c r="F22" i="14" s="1"/>
  <c r="E23" i="14"/>
  <c r="F23" i="14" s="1"/>
  <c r="E24" i="14"/>
  <c r="F24" i="14" s="1"/>
  <c r="E25" i="14"/>
  <c r="F25" i="14" s="1"/>
  <c r="H10" i="14" l="1" a="1"/>
  <c r="I11" i="14" l="1" a="1"/>
  <c r="I11" i="14" s="1"/>
  <c r="I18" i="14" s="1"/>
  <c r="J11" i="14" a="1"/>
  <c r="J11" i="14" s="1"/>
  <c r="J18" i="14" s="1"/>
  <c r="Q11" i="14" a="1"/>
  <c r="Q11" i="14" s="1"/>
  <c r="Q18" i="14" s="1"/>
  <c r="K11" i="14" a="1"/>
  <c r="K11" i="14" s="1"/>
  <c r="K18" i="14" s="1"/>
  <c r="H10" i="14"/>
  <c r="H11" i="14" s="1" a="1"/>
  <c r="H11" i="14" s="1"/>
  <c r="H18" i="14" s="1"/>
  <c r="L11" i="14" a="1"/>
  <c r="L11" i="14" s="1"/>
  <c r="L18" i="14" s="1"/>
  <c r="M11" i="14" a="1"/>
  <c r="M11" i="14" s="1"/>
  <c r="M18" i="14" s="1"/>
  <c r="N11" i="14" a="1"/>
  <c r="N11" i="14" s="1"/>
  <c r="N18" i="14" s="1"/>
  <c r="O11" i="14" a="1"/>
  <c r="O11" i="14" s="1"/>
  <c r="O18" i="14" s="1"/>
  <c r="P11" i="14" a="1"/>
  <c r="P11" i="14" s="1"/>
  <c r="P18" i="14" s="1"/>
  <c r="H20" i="14" l="1" a="1"/>
  <c r="H20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<sst xmlns="http://schemas.openxmlformats.org/spreadsheetml/2006/main" count="749" uniqueCount="257">
  <si>
    <t>param</t>
  </si>
  <si>
    <t>base_case</t>
  </si>
  <si>
    <t>formula</t>
  </si>
  <si>
    <t>description</t>
  </si>
  <si>
    <t>source</t>
  </si>
  <si>
    <t>distribution</t>
  </si>
  <si>
    <t>p_HS_trtA</t>
  </si>
  <si>
    <t>Probability of Healthy-Sick Transition - Treatment A</t>
  </si>
  <si>
    <t>p_HS_trtB</t>
  </si>
  <si>
    <t>Probability of Healthy-Sick Transition - Treatment B</t>
  </si>
  <si>
    <t>p_SD</t>
  </si>
  <si>
    <t>n_age_init</t>
  </si>
  <si>
    <t>Age at baseline</t>
  </si>
  <si>
    <t xml:space="preserve">Modeling  Parameter </t>
  </si>
  <si>
    <t>n_age_max</t>
  </si>
  <si>
    <t>Maximum age of followup</t>
  </si>
  <si>
    <t>d_c</t>
  </si>
  <si>
    <t>Annual discount rate for costs</t>
  </si>
  <si>
    <t>d_e</t>
  </si>
  <si>
    <t>Annual discount rate for QALYs</t>
  </si>
  <si>
    <t>c_H</t>
  </si>
  <si>
    <t>Annual cost of healthy (H)</t>
  </si>
  <si>
    <t>c_S</t>
  </si>
  <si>
    <t>Annual cost of sick (S)</t>
  </si>
  <si>
    <t>Graves et al. (2022)</t>
  </si>
  <si>
    <t>c_D</t>
  </si>
  <si>
    <t>Annual cost of death (D)</t>
  </si>
  <si>
    <t>u_H</t>
  </si>
  <si>
    <t>Utility weight of healthy (H)</t>
  </si>
  <si>
    <t>Leech et al. (2022)</t>
  </si>
  <si>
    <t>u_S</t>
  </si>
  <si>
    <t>Utility weight of sick (S)</t>
  </si>
  <si>
    <t>u_D</t>
  </si>
  <si>
    <t>Utility weight of death (D)</t>
  </si>
  <si>
    <t>c_trtA</t>
  </si>
  <si>
    <t>Cost of treatment A</t>
  </si>
  <si>
    <t>Martin et al. (2022)</t>
  </si>
  <si>
    <t>c_trtB</t>
  </si>
  <si>
    <t>Cost of treatment B</t>
  </si>
  <si>
    <t>Assumption</t>
  </si>
  <si>
    <t>n_cycles</t>
  </si>
  <si>
    <t>(n_age_max - n_age_init)</t>
  </si>
  <si>
    <t>Time horizon</t>
  </si>
  <si>
    <t>state</t>
  </si>
  <si>
    <t>strategy</t>
  </si>
  <si>
    <t>costs_fmla</t>
  </si>
  <si>
    <t>costs_var</t>
  </si>
  <si>
    <t>costs_val</t>
  </si>
  <si>
    <t>qalys_fmla</t>
  </si>
  <si>
    <t>qalys_var</t>
  </si>
  <si>
    <t>qalys_val</t>
  </si>
  <si>
    <t>Healthy</t>
  </si>
  <si>
    <t>A</t>
  </si>
  <si>
    <t>c_H + c_trtA</t>
  </si>
  <si>
    <t>c_H_trtA</t>
  </si>
  <si>
    <t>u_H_trtA</t>
  </si>
  <si>
    <t>Sick</t>
  </si>
  <si>
    <t xml:space="preserve">c_S </t>
  </si>
  <si>
    <t>c_S_trtA</t>
  </si>
  <si>
    <t>u_S_trtA</t>
  </si>
  <si>
    <t>Dead</t>
  </si>
  <si>
    <t>c_D_trtA</t>
  </si>
  <si>
    <t>u_D_trtA</t>
  </si>
  <si>
    <t>B</t>
  </si>
  <si>
    <t>c_H + c_trtB</t>
  </si>
  <si>
    <t>c_H_trtB</t>
  </si>
  <si>
    <t>u_H_trtB</t>
  </si>
  <si>
    <t>c_S_trtB</t>
  </si>
  <si>
    <t>u_S_trtB</t>
  </si>
  <si>
    <t>c_D_trtB</t>
  </si>
  <si>
    <t>u_D_trtB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</si>
  <si>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</si>
  <si>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</si>
  <si>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</si>
  <si>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</si>
  <si>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</si>
  <si>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</si>
  <si>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</si>
  <si>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Discounted Costs</t>
  </si>
  <si>
    <t>Strategy</t>
  </si>
  <si>
    <t>from</t>
  </si>
  <si>
    <t>Cycle</t>
  </si>
  <si>
    <t>w_c_trtA</t>
  </si>
  <si>
    <t>w_e_trtA</t>
  </si>
  <si>
    <t>Discounted QALYs</t>
  </si>
  <si>
    <t>Payoffs</t>
  </si>
  <si>
    <t>costs</t>
  </si>
  <si>
    <t>qalys</t>
  </si>
  <si>
    <t>w_c_trtB</t>
  </si>
  <si>
    <t>w_e_trtB</t>
  </si>
  <si>
    <t>Cost</t>
  </si>
  <si>
    <t>Effect</t>
  </si>
  <si>
    <t>Incremental Cost</t>
  </si>
  <si>
    <t>Incremental Effect</t>
  </si>
  <si>
    <t>ICER</t>
  </si>
  <si>
    <t>Status</t>
  </si>
  <si>
    <t>1 - p_SD</t>
  </si>
  <si>
    <t>-(r_HS + r_HD)</t>
  </si>
  <si>
    <t>r_HS</t>
  </si>
  <si>
    <t>r_HD</t>
  </si>
  <si>
    <t>-(hr_S * r_HD)</t>
  </si>
  <si>
    <t>hr_S * r_HD</t>
  </si>
  <si>
    <t>0</t>
  </si>
  <si>
    <t>hr_S</t>
  </si>
  <si>
    <t>gamma(shape = 60, rate = 10000)</t>
  </si>
  <si>
    <t>lognormal(meanlog = log(3), sdlog = 0.01)</t>
  </si>
  <si>
    <t>gamma(shape = 30,rate = 200)</t>
  </si>
  <si>
    <t>gamma(shape = 12, scale = 83.3)</t>
  </si>
  <si>
    <t>gamma(shape = 12.5, scale = 2)</t>
  </si>
  <si>
    <t>gamma(shape = 44.4, scale = 22.5)</t>
  </si>
  <si>
    <t>beta(shape1 = 200, shape2 = 3)</t>
  </si>
  <si>
    <t>beta(shape1 = 130, shape2 = 45)</t>
  </si>
  <si>
    <t>r_SD</t>
  </si>
  <si>
    <t>r_HS_trtB</t>
  </si>
  <si>
    <t>Annual mortality rate (S to D)</t>
  </si>
  <si>
    <t>Annual disease progresstion transition rate under treatment B</t>
  </si>
  <si>
    <t>Annual disease onset transition rate</t>
  </si>
  <si>
    <t>Hazard ratio of death in S vs. H</t>
  </si>
  <si>
    <t>Reduction in rate of disease progression (HS) as hazard ratio (HR)</t>
  </si>
  <si>
    <t>n_sim</t>
  </si>
  <si>
    <t>Number of PSA samples</t>
  </si>
  <si>
    <t>p_HS_trtC</t>
  </si>
  <si>
    <t>Probability of Healthy-Sick Transition - Treatment C</t>
  </si>
  <si>
    <t>Reduction in rate of disease progression (HS) as hazard ratio (HR) Treatment C</t>
  </si>
  <si>
    <t>c_trtC</t>
  </si>
  <si>
    <t>Cost of treatment C</t>
  </si>
  <si>
    <t>r_HS_trtC</t>
  </si>
  <si>
    <t>Annual disease progresstion transition rate under treatment C</t>
  </si>
  <si>
    <t>hr_HS_trtB</t>
  </si>
  <si>
    <t>hr_HS_trtC</t>
  </si>
  <si>
    <t>hr_HS_trtB * r_HS</t>
  </si>
  <si>
    <t>hr_HS_trtC * r_HS</t>
  </si>
  <si>
    <t>C</t>
  </si>
  <si>
    <t>-(r_HS * hr_HS_trtC + r_HD)</t>
  </si>
  <si>
    <t>c_H + c_trtC</t>
  </si>
  <si>
    <t>c_H_trtC</t>
  </si>
  <si>
    <t>c_S_trtC</t>
  </si>
  <si>
    <t>c_D_trtC</t>
  </si>
  <si>
    <t>u_H_trtC</t>
  </si>
  <si>
    <t>u_S_trtC</t>
  </si>
  <si>
    <t>u_D_trtC</t>
  </si>
  <si>
    <t>gamma(shape = 36.144, scale = 83)</t>
  </si>
  <si>
    <t>-(r_HS * hr_HS_trtB + r_HD)</t>
  </si>
  <si>
    <t>p_HS_trtD</t>
  </si>
  <si>
    <t>Probability of Healthy-Sick Transition - Treatment D</t>
  </si>
  <si>
    <t>Reduction in rate of disease progression (HS) as hazard ratio (HR) Treatment D</t>
  </si>
  <si>
    <t>c_trtD</t>
  </si>
  <si>
    <t>Cost of treatment D</t>
  </si>
  <si>
    <t>r_HS_trtD</t>
  </si>
  <si>
    <t>hr_HS_trtD * r_HS</t>
  </si>
  <si>
    <t>Annual disease progresstion transition rate under treatment D</t>
  </si>
  <si>
    <t>D</t>
  </si>
  <si>
    <t>-(r_HS * hr_HS_trtD + r_HD)</t>
  </si>
  <si>
    <t>p_HD_trtC</t>
  </si>
  <si>
    <t>p_HD_trtA</t>
  </si>
  <si>
    <t>p_HD_trtB</t>
  </si>
  <si>
    <t>p_HD_trtD</t>
  </si>
  <si>
    <t>Probability of Healthy-Dead Transition  - Treatment A</t>
  </si>
  <si>
    <t>Probability of Healthy-Dead Transition  - Treatment B</t>
  </si>
  <si>
    <t>Probability of Healthy-Dead Transition  - Treatment C</t>
  </si>
  <si>
    <t>Probability of Healthy-Dead Transition  - Treatment D</t>
  </si>
  <si>
    <t xml:space="preserve"> Probability of Sick-Dead Transition</t>
  </si>
  <si>
    <t>c_H + c_trtD</t>
  </si>
  <si>
    <t>c_H_trtD</t>
  </si>
  <si>
    <t>c_S_trtD</t>
  </si>
  <si>
    <t>c_D_trtD</t>
  </si>
  <si>
    <t>u_H_trtD</t>
  </si>
  <si>
    <t>u_S_trtD</t>
  </si>
  <si>
    <t>u_D_trtD</t>
  </si>
  <si>
    <t>hr_HS_trtD</t>
  </si>
  <si>
    <t>lognormal(meanlog = log(0.92), sdlog = 0.02)</t>
  </si>
  <si>
    <t>p_HS_trtE</t>
  </si>
  <si>
    <t>p_HD_trtE</t>
  </si>
  <si>
    <t>Probability of Healthy-Dead Transition  - Treatment E</t>
  </si>
  <si>
    <t>Probability of Healthy-Sick Transition - Treatment E</t>
  </si>
  <si>
    <t>hr_HS_trtE</t>
  </si>
  <si>
    <t>Reduction in rate of disease progression (HS) as hazard ratio (HR) Treatment E</t>
  </si>
  <si>
    <t>c_trtE</t>
  </si>
  <si>
    <t>Cost of treatment E</t>
  </si>
  <si>
    <t>r_HS_trtE</t>
  </si>
  <si>
    <t>hr_HS_trtE * r_HS</t>
  </si>
  <si>
    <t>Annual disease progresstion transition rate under treatment E</t>
  </si>
  <si>
    <t>-(r_HS * hr_HS_trtE + r_HD)</t>
  </si>
  <si>
    <t>E</t>
  </si>
  <si>
    <t>c_H + c_trtE</t>
  </si>
  <si>
    <t>c_H_trtE</t>
  </si>
  <si>
    <t>c_S_trtE</t>
  </si>
  <si>
    <t>c_D_trtE</t>
  </si>
  <si>
    <t>u_H_trtE</t>
  </si>
  <si>
    <t>u_S_trtE</t>
  </si>
  <si>
    <t>u_D_trtE</t>
  </si>
  <si>
    <t>gamma(shape = 60.24, scale = 83)</t>
  </si>
  <si>
    <t>notes</t>
  </si>
  <si>
    <t>Derived from embedded transition matrix</t>
  </si>
  <si>
    <r>
      <t>Transition Probability Matrix (exponential of rate matrix, obtained via a Taylor series expansion</t>
    </r>
    <r>
      <rPr>
        <sz val="12"/>
        <color theme="1"/>
        <rFont val="Calibri"/>
        <family val="2"/>
        <scheme val="minor"/>
      </rPr>
      <t>)</t>
    </r>
  </si>
  <si>
    <t>Binary Matrix</t>
  </si>
  <si>
    <t>Rate Matrix ^ 1</t>
  </si>
  <si>
    <t>Rate Matrix ^2</t>
  </si>
  <si>
    <t>Rate Matrix ^3</t>
  </si>
  <si>
    <t>Rate Matrix ^4</t>
  </si>
  <si>
    <t>Sicker</t>
  </si>
  <si>
    <t>Transition Rate Matrix</t>
  </si>
  <si>
    <t>m_trtA</t>
  </si>
  <si>
    <t>m_trtD</t>
  </si>
  <si>
    <t>m_trtE</t>
  </si>
  <si>
    <t>m_trtC</t>
  </si>
  <si>
    <t>m_trtB</t>
  </si>
  <si>
    <t>w_c_trtC</t>
  </si>
  <si>
    <t>w_e_trtC</t>
  </si>
  <si>
    <t>tot_cost_trtD</t>
  </si>
  <si>
    <t>tot_qaly_trtD</t>
  </si>
  <si>
    <t>w_c_disc_trtD</t>
  </si>
  <si>
    <t>w_e_disc_trtD</t>
  </si>
  <si>
    <t>w_simp_trtD</t>
  </si>
  <si>
    <t>w_c_trtD</t>
  </si>
  <si>
    <t>w_e_trtD</t>
  </si>
  <si>
    <t>tot_cost_trtE</t>
  </si>
  <si>
    <t>tot_qaly_trtE</t>
  </si>
  <si>
    <t>w_c_disc_trtE</t>
  </si>
  <si>
    <t>w_e_disc_trtE</t>
  </si>
  <si>
    <t>w_simp_trtE</t>
  </si>
  <si>
    <t>w_c_trtE</t>
  </si>
  <si>
    <t>w_e_trtE</t>
  </si>
  <si>
    <t>Initial ICERS: Sort strategies by cost (least costly first, most costly last)</t>
  </si>
  <si>
    <t>Dominated</t>
  </si>
  <si>
    <t>Remaining strategies when strictly dominated strategies are removed</t>
  </si>
  <si>
    <t>Weakly dominated</t>
  </si>
  <si>
    <t>Final ICERs after all weakly dominated strategies are removed</t>
  </si>
  <si>
    <t>Final Table</t>
  </si>
  <si>
    <t>https://ebrary.net/192839/health/calculation_icers</t>
  </si>
  <si>
    <t>max_WTP</t>
  </si>
  <si>
    <t>Nozero</t>
  </si>
  <si>
    <t>Finite</t>
  </si>
  <si>
    <t>Pairwise ICER</t>
  </si>
  <si>
    <t>v_effects</t>
  </si>
  <si>
    <t>v_costs</t>
  </si>
  <si>
    <t>tot_qaly</t>
  </si>
  <si>
    <t>w_c_disc</t>
  </si>
  <si>
    <t>w_e_disc</t>
  </si>
  <si>
    <t>w_simp</t>
  </si>
  <si>
    <t># http://www.cpearson.com/excel/TableToColumn.aspx</t>
  </si>
  <si>
    <t>lognormal(meanlog = log(0.96), sdlog = 0.02)</t>
  </si>
  <si>
    <t>https://www.contextures.com/exceldatatables.html#:~:text=Because%20the%20data%20table%20values,values%2C%20follow%20the%20steps%20below.</t>
  </si>
  <si>
    <t>Costs</t>
  </si>
  <si>
    <t>QALYs</t>
  </si>
  <si>
    <t>n_cycle_length</t>
  </si>
  <si>
    <t>Cycle length</t>
  </si>
  <si>
    <t>1-p_HS_trtA-p_HD_trtA</t>
  </si>
  <si>
    <t>1-p_HS_trtB-p_HD_trtB</t>
  </si>
  <si>
    <t>1-p_HS_trtC-p_HD_trtC</t>
  </si>
  <si>
    <t>1-p_HS_trtD-p_HD_trtD</t>
  </si>
  <si>
    <t>1-p_HS_trtE-p_HD_trtE</t>
  </si>
  <si>
    <t>tot_cost_trtA</t>
  </si>
  <si>
    <t>tot_cost_trtB</t>
  </si>
  <si>
    <t>tot_cost_trtC</t>
  </si>
  <si>
    <t>gamma(shape = 18.67, scale = 83)</t>
  </si>
  <si>
    <t>lognormal(meanlog = log(0.88), sdlog = 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</si>
</sst>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0.000"/>
    <numFmt numFmtId="166" formatCode="_(* #,##0_);_(* \(#,##0\);_(* &quot;-&quot;??_);_(@_)"/>
    <numFmt numFmtId="167" formatCode="0.0000"/>
    <numFmt numFmtId="168" formatCode="0.000000000000000"/>
    <numFmt numFmtId="169" formatCode="0.00000"/>
    <numFmt numFmtId="170" formatCode="_(* #,##0.000_);_(* \(#,##0.000\);_(* &quot;-&quot;?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3" fillId="2" borderId="1" xfId="0" applyFont="1" applyFill="1" applyBorder="1" applyAlignment="1">
      <alignment horizontal="right"/>
    </xf>
    <xf numFmtId="0" fontId="0" fillId="2" borderId="0" xfId="0" applyFill="1"/>
    <xf numFmtId="0" fontId="0" fillId="3" borderId="3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0" xfId="0" applyFill="1" applyAlignment="1">
      <alignment horizontal="center"/>
    </xf>
    <xf numFmtId="164" fontId="0" fillId="2" borderId="0" xfId="2" applyNumberFormat="1" applyFont="1" applyFill="1"/>
    <xf numFmtId="165" fontId="0" fillId="6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3" fillId="2" borderId="4" xfId="0" applyFont="1" applyFill="1" applyBorder="1"/>
    <xf numFmtId="166" fontId="4" fillId="7" borderId="0" xfId="1" applyNumberFormat="1" applyFont="1" applyFill="1"/>
    <xf numFmtId="165" fontId="4" fillId="7" borderId="0" xfId="0" applyNumberFormat="1" applyFont="1" applyFill="1"/>
    <xf numFmtId="165" fontId="0" fillId="2" borderId="0" xfId="0" applyNumberFormat="1" applyFill="1"/>
    <xf numFmtId="166" fontId="0" fillId="2" borderId="0" xfId="1" applyNumberFormat="1" applyFont="1" applyFill="1"/>
    <xf numFmtId="167" fontId="0" fillId="2" borderId="0" xfId="0" applyNumberFormat="1" applyFill="1"/>
    <xf numFmtId="49" fontId="0" fillId="4" borderId="3" xfId="0" applyNumberFormat="1" applyFill="1" applyBorder="1"/>
    <xf numFmtId="49" fontId="0" fillId="2" borderId="3" xfId="0" applyNumberFormat="1" applyFill="1" applyBorder="1"/>
    <xf numFmtId="0" fontId="0" fillId="2" borderId="4" xfId="0" applyFill="1" applyBorder="1"/>
    <xf numFmtId="0" fontId="0" fillId="2" borderId="0" xfId="0" applyFill="1" applyAlignment="1">
      <alignment wrapText="1"/>
    </xf>
    <xf numFmtId="49" fontId="3" fillId="2" borderId="4" xfId="0" applyNumberFormat="1" applyFont="1" applyFill="1" applyBorder="1"/>
    <xf numFmtId="49" fontId="3" fillId="2" borderId="4" xfId="0" applyNumberFormat="1" applyFont="1" applyFill="1" applyBorder="1" applyAlignment="1">
      <alignment wrapText="1"/>
    </xf>
    <xf numFmtId="49" fontId="3" fillId="2" borderId="0" xfId="0" applyNumberFormat="1" applyFont="1" applyFill="1" applyAlignment="1">
      <alignment wrapText="1"/>
    </xf>
    <xf numFmtId="168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wrapText="1"/>
    </xf>
    <xf numFmtId="1" fontId="0" fillId="2" borderId="3" xfId="0" applyNumberFormat="1" applyFill="1" applyBorder="1"/>
    <xf numFmtId="49" fontId="3" fillId="2" borderId="0" xfId="0" applyNumberFormat="1" applyFont="1" applyFill="1"/>
    <xf numFmtId="0" fontId="3" fillId="2" borderId="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/>
    <xf numFmtId="0" fontId="4" fillId="7" borderId="0" xfId="0" applyFont="1" applyFill="1"/>
    <xf numFmtId="43" fontId="0" fillId="2" borderId="0" xfId="0" applyNumberFormat="1" applyFill="1"/>
    <xf numFmtId="43" fontId="0" fillId="2" borderId="0" xfId="0" applyNumberFormat="1" applyFill="1" applyAlignment="1">
      <alignment horizontal="right"/>
    </xf>
    <xf numFmtId="0" fontId="0" fillId="2" borderId="0" xfId="1" applyNumberFormat="1" applyFont="1" applyFill="1"/>
    <xf numFmtId="0" fontId="3" fillId="2" borderId="4" xfId="1" applyNumberFormat="1" applyFont="1" applyFill="1" applyBorder="1"/>
    <xf numFmtId="167" fontId="0" fillId="2" borderId="0" xfId="0" applyNumberFormat="1" applyFill="1" applyAlignment="1">
      <alignment horizontal="right"/>
    </xf>
    <xf numFmtId="0" fontId="4" fillId="8" borderId="3" xfId="0" applyFont="1" applyFill="1" applyBorder="1" applyAlignment="1">
      <alignment horizontal="right"/>
    </xf>
    <xf numFmtId="0" fontId="0" fillId="6" borderId="0" xfId="0" applyFill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9" fontId="0" fillId="2" borderId="0" xfId="0" applyNumberFormat="1" applyFill="1"/>
    <xf numFmtId="169" fontId="0" fillId="2" borderId="3" xfId="0" applyNumberFormat="1" applyFill="1" applyBorder="1"/>
    <xf numFmtId="11" fontId="0" fillId="2" borderId="3" xfId="0" applyNumberFormat="1" applyFill="1" applyBorder="1"/>
    <xf numFmtId="11" fontId="0" fillId="2" borderId="0" xfId="0" applyNumberFormat="1" applyFill="1"/>
    <xf numFmtId="49" fontId="0" fillId="6" borderId="0" xfId="0" applyNumberFormat="1" applyFill="1" applyAlignment="1">
      <alignment wrapText="1"/>
    </xf>
    <xf numFmtId="167" fontId="0" fillId="6" borderId="3" xfId="0" applyNumberFormat="1" applyFill="1" applyBorder="1"/>
    <xf numFmtId="49" fontId="3" fillId="6" borderId="0" xfId="0" applyNumberFormat="1" applyFont="1" applyFill="1" applyAlignment="1">
      <alignment wrapText="1"/>
    </xf>
    <xf numFmtId="167" fontId="0" fillId="6" borderId="0" xfId="0" applyNumberFormat="1" applyFill="1"/>
    <xf numFmtId="0" fontId="0" fillId="6" borderId="0" xfId="0" applyFill="1" applyAlignment="1">
      <alignment wrapText="1"/>
    </xf>
    <xf numFmtId="0" fontId="3" fillId="6" borderId="1" xfId="0" applyFont="1" applyFill="1" applyBorder="1"/>
    <xf numFmtId="166" fontId="0" fillId="9" borderId="0" xfId="1" applyNumberFormat="1" applyFont="1" applyFill="1"/>
    <xf numFmtId="165" fontId="0" fillId="9" borderId="0" xfId="0" applyNumberFormat="1" applyFill="1"/>
    <xf numFmtId="0" fontId="6" fillId="2" borderId="0" xfId="3" applyFill="1"/>
    <xf numFmtId="170" fontId="0" fillId="2" borderId="0" xfId="1" applyNumberFormat="1" applyFont="1" applyFill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graves/Dropbox/teaching/cea-workshop-vital/case-studies/cs2_healthy-sick-dead_v1_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s2_parameters"/>
      <sheetName val="&lt;&lt;&lt;&lt;&lt; MODEL SETUP "/>
      <sheetName val="MODEL EXECUTION &gt;&gt;&gt;&gt;&gt;"/>
      <sheetName val="cs2_trtA"/>
      <sheetName val="cs2_trtB"/>
      <sheetName val="cs2_trtC"/>
      <sheetName val="cs2_trtD"/>
      <sheetName val="cs2_trtE"/>
    </sheetNames>
    <sheetDataSet>
      <sheetData sheetId="0">
        <row r="2">
          <cell r="B2">
            <v>0.13761000000000001</v>
          </cell>
        </row>
        <row r="3">
          <cell r="B3">
            <v>0.13249</v>
          </cell>
        </row>
        <row r="4">
          <cell r="B4">
            <v>0.12217</v>
          </cell>
        </row>
        <row r="5">
          <cell r="B5">
            <v>0.12734999999999999</v>
          </cell>
        </row>
        <row r="6">
          <cell r="B6">
            <v>0.12734999999999999</v>
          </cell>
        </row>
        <row r="7">
          <cell r="B7">
            <v>6.7977999999999997E-3</v>
          </cell>
        </row>
        <row r="8">
          <cell r="B8">
            <v>6.7897000000000001E-3</v>
          </cell>
        </row>
        <row r="9">
          <cell r="B9">
            <v>6.7327000000000003E-3</v>
          </cell>
        </row>
        <row r="10">
          <cell r="B10">
            <v>6.7653000000000001E-3</v>
          </cell>
        </row>
        <row r="11">
          <cell r="B11">
            <v>6.7653000000000001E-3</v>
          </cell>
        </row>
        <row r="12">
          <cell r="B12">
            <v>1.7839000000000001E-2</v>
          </cell>
        </row>
        <row r="13">
          <cell r="B13">
            <v>25</v>
          </cell>
        </row>
        <row r="14">
          <cell r="B14">
            <v>100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textures.com/exceldatatab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CA9D-55FE-1643-AFEB-17CD5D00CDFE}">
  <dimension ref="A1:G42"/>
  <sheetViews>
    <sheetView tabSelected="1" topLeftCell="A28" zoomScale="209" zoomScaleNormal="209" workbookViewId="0">
      <selection activeCell="A8" sqref="A8"/>
    </sheetView>
  </sheetViews>
  <sheetFormatPr baseColWidth="10" defaultRowHeight="16" x14ac:dyDescent="0.2"/>
  <cols>
    <col min="1" max="1" width="13" style="2" customWidth="1"/>
    <col min="2" max="2" width="21.83203125" style="2" customWidth="1"/>
    <col min="3" max="3" width="21.33203125" style="2" customWidth="1"/>
    <col min="4" max="4" width="67.33203125" style="2" customWidth="1"/>
    <col min="5" max="5" width="36.6640625" style="2" customWidth="1"/>
    <col min="6" max="6" width="37.33203125" style="2" customWidth="1"/>
    <col min="7" max="7" width="19.83203125" style="2" customWidth="1"/>
    <col min="8" max="16384" width="10.83203125" style="2"/>
  </cols>
  <sheetData>
    <row r="1" spans="1: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5</v>
      </c>
      <c r="G1" s="11" t="s">
        <v>4</v>
      </c>
    </row>
    <row r="2" spans="1:7" x14ac:dyDescent="0.2">
      <c r="A2" s="10" t="s">
        <v>11</v>
      </c>
      <c r="B2" s="10">
        <v>25</v>
      </c>
      <c r="C2" s="10"/>
      <c r="D2" s="10" t="s">
        <v>12</v>
      </c>
      <c r="E2" s="10"/>
      <c r="F2" s="10"/>
      <c r="G2" s="10" t="s">
        <v>13</v>
      </c>
    </row>
    <row r="3" spans="1:7" x14ac:dyDescent="0.2">
      <c r="A3" s="10" t="s">
        <v>14</v>
      </c>
      <c r="B3" s="10">
        <v>100</v>
      </c>
      <c r="C3" s="10"/>
      <c r="D3" s="10" t="s">
        <v>15</v>
      </c>
      <c r="E3" s="10"/>
      <c r="F3" s="10"/>
      <c r="G3" s="10" t="s">
        <v>13</v>
      </c>
    </row>
    <row r="4" spans="1:7" x14ac:dyDescent="0.2">
      <c r="A4" s="10" t="s">
        <v>16</v>
      </c>
      <c r="B4" s="10">
        <v>0.03</v>
      </c>
      <c r="C4" s="10"/>
      <c r="D4" s="10" t="s">
        <v>17</v>
      </c>
      <c r="E4" s="10"/>
      <c r="F4" s="10"/>
      <c r="G4" s="10" t="s">
        <v>13</v>
      </c>
    </row>
    <row r="5" spans="1:7" x14ac:dyDescent="0.2">
      <c r="A5" s="10" t="s">
        <v>18</v>
      </c>
      <c r="B5" s="10">
        <v>0.03</v>
      </c>
      <c r="C5" s="10"/>
      <c r="D5" s="10" t="s">
        <v>19</v>
      </c>
      <c r="E5" s="10"/>
      <c r="F5" s="10"/>
      <c r="G5" s="10" t="s">
        <v>13</v>
      </c>
    </row>
    <row r="6" spans="1:7" x14ac:dyDescent="0.2">
      <c r="A6" s="10" t="s">
        <v>119</v>
      </c>
      <c r="B6" s="10">
        <v>1000</v>
      </c>
      <c r="C6" s="10"/>
      <c r="D6" s="10" t="s">
        <v>120</v>
      </c>
      <c r="E6" s="10"/>
      <c r="F6" s="10"/>
      <c r="G6" s="10" t="s">
        <v>13</v>
      </c>
    </row>
    <row r="7" spans="1:7" x14ac:dyDescent="0.2">
      <c r="A7" s="10" t="s">
        <v>98</v>
      </c>
      <c r="B7" s="10">
        <v>0.15</v>
      </c>
      <c r="C7" s="10"/>
      <c r="D7" s="10" t="s">
        <v>116</v>
      </c>
      <c r="E7" s="10"/>
      <c r="F7" s="10" t="s">
        <v>106</v>
      </c>
      <c r="G7" s="10"/>
    </row>
    <row r="8" spans="1:7" x14ac:dyDescent="0.2">
      <c r="A8" s="10" t="s">
        <v>99</v>
      </c>
      <c r="B8" s="10">
        <v>6.0000000000000001E-3</v>
      </c>
      <c r="C8" s="10"/>
      <c r="D8" s="58" t="s">
        <v>116</v>
      </c>
      <c r="E8" s="58"/>
      <c r="F8" s="10" t="s">
        <v>104</v>
      </c>
      <c r="G8" s="10"/>
    </row>
    <row r="9" spans="1:7" x14ac:dyDescent="0.2">
      <c r="A9" s="10" t="s">
        <v>103</v>
      </c>
      <c r="B9" s="10">
        <v>3</v>
      </c>
      <c r="C9" s="10"/>
      <c r="D9" s="10" t="s">
        <v>117</v>
      </c>
      <c r="E9" s="10"/>
      <c r="F9" s="10" t="s">
        <v>105</v>
      </c>
      <c r="G9" s="10"/>
    </row>
    <row r="10" spans="1:7" x14ac:dyDescent="0.2">
      <c r="A10" s="10" t="s">
        <v>128</v>
      </c>
      <c r="B10" s="10">
        <v>0.96</v>
      </c>
      <c r="C10" s="10"/>
      <c r="D10" s="10" t="s">
        <v>118</v>
      </c>
      <c r="E10" s="10"/>
      <c r="F10" s="10" t="s">
        <v>241</v>
      </c>
      <c r="G10" s="10"/>
    </row>
    <row r="11" spans="1:7" x14ac:dyDescent="0.2">
      <c r="A11" s="10" t="s">
        <v>129</v>
      </c>
      <c r="B11" s="10">
        <v>0.88</v>
      </c>
      <c r="C11" s="10"/>
      <c r="D11" s="10" t="s">
        <v>123</v>
      </c>
      <c r="E11" s="10"/>
      <c r="F11" s="10" t="s">
        <v>256</v>
      </c>
      <c r="G11" s="10"/>
    </row>
    <row r="12" spans="1:7" x14ac:dyDescent="0.2">
      <c r="A12" s="10" t="s">
        <v>169</v>
      </c>
      <c r="B12" s="10">
        <v>0.92</v>
      </c>
      <c r="C12" s="10"/>
      <c r="D12" s="10" t="s">
        <v>145</v>
      </c>
      <c r="E12" s="10"/>
      <c r="F12" s="10" t="s">
        <v>170</v>
      </c>
      <c r="G12" s="10"/>
    </row>
    <row r="13" spans="1:7" x14ac:dyDescent="0.2">
      <c r="A13" s="10" t="s">
        <v>175</v>
      </c>
      <c r="B13" s="10">
        <v>0.92</v>
      </c>
      <c r="C13" s="10"/>
      <c r="D13" s="10" t="s">
        <v>176</v>
      </c>
      <c r="E13" s="10"/>
      <c r="F13" s="10" t="s">
        <v>170</v>
      </c>
      <c r="G13" s="10"/>
    </row>
    <row r="14" spans="1:7" x14ac:dyDescent="0.2">
      <c r="A14" s="10" t="s">
        <v>27</v>
      </c>
      <c r="B14" s="10">
        <v>1</v>
      </c>
      <c r="C14" s="10"/>
      <c r="D14" s="10" t="s">
        <v>28</v>
      </c>
      <c r="E14" s="10"/>
      <c r="F14" s="59" t="s">
        <v>110</v>
      </c>
      <c r="G14" s="10" t="s">
        <v>29</v>
      </c>
    </row>
    <row r="15" spans="1:7" x14ac:dyDescent="0.2">
      <c r="A15" s="10" t="s">
        <v>30</v>
      </c>
      <c r="B15" s="10">
        <v>0.75</v>
      </c>
      <c r="C15" s="10"/>
      <c r="D15" s="10" t="s">
        <v>31</v>
      </c>
      <c r="E15" s="10"/>
      <c r="F15" s="59" t="s">
        <v>111</v>
      </c>
      <c r="G15" s="10" t="s">
        <v>29</v>
      </c>
    </row>
    <row r="16" spans="1:7" x14ac:dyDescent="0.2">
      <c r="A16" s="10" t="s">
        <v>32</v>
      </c>
      <c r="B16" s="10">
        <v>0</v>
      </c>
      <c r="C16" s="10"/>
      <c r="D16" s="10" t="s">
        <v>33</v>
      </c>
      <c r="E16" s="10"/>
      <c r="F16" s="10"/>
      <c r="G16" s="10" t="s">
        <v>39</v>
      </c>
    </row>
    <row r="17" spans="1:7" x14ac:dyDescent="0.2">
      <c r="A17" s="10" t="s">
        <v>20</v>
      </c>
      <c r="B17" s="10">
        <v>0</v>
      </c>
      <c r="C17" s="10"/>
      <c r="D17" s="10" t="s">
        <v>21</v>
      </c>
      <c r="E17" s="10"/>
      <c r="F17" s="10"/>
      <c r="G17" s="10" t="s">
        <v>39</v>
      </c>
    </row>
    <row r="18" spans="1:7" x14ac:dyDescent="0.2">
      <c r="A18" s="10" t="s">
        <v>22</v>
      </c>
      <c r="B18" s="10">
        <v>1000</v>
      </c>
      <c r="C18" s="10"/>
      <c r="D18" s="10" t="s">
        <v>23</v>
      </c>
      <c r="E18" s="10"/>
      <c r="F18" s="59" t="s">
        <v>109</v>
      </c>
      <c r="G18" s="10" t="s">
        <v>24</v>
      </c>
    </row>
    <row r="19" spans="1:7" x14ac:dyDescent="0.2">
      <c r="A19" s="10" t="s">
        <v>25</v>
      </c>
      <c r="B19" s="10">
        <v>0</v>
      </c>
      <c r="C19" s="10"/>
      <c r="D19" s="10" t="s">
        <v>26</v>
      </c>
      <c r="E19" s="10"/>
      <c r="F19" s="10"/>
      <c r="G19" s="10" t="s">
        <v>39</v>
      </c>
    </row>
    <row r="20" spans="1:7" x14ac:dyDescent="0.2">
      <c r="A20" s="10" t="s">
        <v>34</v>
      </c>
      <c r="B20" s="10">
        <v>25</v>
      </c>
      <c r="C20" s="10"/>
      <c r="D20" s="10" t="s">
        <v>35</v>
      </c>
      <c r="E20" s="10"/>
      <c r="F20" s="10" t="s">
        <v>108</v>
      </c>
      <c r="G20" s="10" t="s">
        <v>36</v>
      </c>
    </row>
    <row r="21" spans="1:7" x14ac:dyDescent="0.2">
      <c r="A21" s="10" t="s">
        <v>37</v>
      </c>
      <c r="B21" s="10">
        <v>1000</v>
      </c>
      <c r="C21" s="10"/>
      <c r="D21" s="10" t="s">
        <v>38</v>
      </c>
      <c r="E21" s="10"/>
      <c r="F21" s="10" t="s">
        <v>107</v>
      </c>
      <c r="G21" s="10" t="s">
        <v>39</v>
      </c>
    </row>
    <row r="22" spans="1:7" x14ac:dyDescent="0.2">
      <c r="A22" s="10" t="s">
        <v>124</v>
      </c>
      <c r="B22" s="10">
        <v>3100</v>
      </c>
      <c r="C22" s="10"/>
      <c r="D22" s="10" t="s">
        <v>125</v>
      </c>
      <c r="E22" s="10"/>
      <c r="F22" s="10" t="s">
        <v>141</v>
      </c>
      <c r="G22" s="10" t="s">
        <v>39</v>
      </c>
    </row>
    <row r="23" spans="1:7" x14ac:dyDescent="0.2">
      <c r="A23" s="10" t="s">
        <v>146</v>
      </c>
      <c r="B23" s="10">
        <v>1550</v>
      </c>
      <c r="C23" s="10"/>
      <c r="D23" s="10" t="s">
        <v>147</v>
      </c>
      <c r="E23" s="10"/>
      <c r="F23" s="10" t="s">
        <v>255</v>
      </c>
      <c r="G23" s="10" t="s">
        <v>39</v>
      </c>
    </row>
    <row r="24" spans="1:7" x14ac:dyDescent="0.2">
      <c r="A24" s="10" t="s">
        <v>177</v>
      </c>
      <c r="B24" s="10">
        <v>5000</v>
      </c>
      <c r="C24" s="10"/>
      <c r="D24" s="10" t="s">
        <v>178</v>
      </c>
      <c r="E24" s="10"/>
      <c r="F24" s="10" t="s">
        <v>191</v>
      </c>
      <c r="G24" s="10" t="s">
        <v>39</v>
      </c>
    </row>
    <row r="25" spans="1:7" x14ac:dyDescent="0.2">
      <c r="A25" s="10" t="s">
        <v>245</v>
      </c>
      <c r="B25" s="10">
        <v>1</v>
      </c>
      <c r="C25" s="10"/>
      <c r="D25" s="10" t="s">
        <v>246</v>
      </c>
      <c r="E25" s="10"/>
      <c r="F25" s="10"/>
      <c r="G25" s="10" t="s">
        <v>13</v>
      </c>
    </row>
    <row r="26" spans="1:7" x14ac:dyDescent="0.2">
      <c r="A26" s="3" t="s">
        <v>6</v>
      </c>
      <c r="B26" s="3"/>
      <c r="C26" s="3"/>
      <c r="D26" s="3" t="s">
        <v>7</v>
      </c>
      <c r="E26" s="3" t="s">
        <v>193</v>
      </c>
      <c r="F26" s="3"/>
      <c r="G26" s="3"/>
    </row>
    <row r="27" spans="1:7" x14ac:dyDescent="0.2">
      <c r="A27" s="3" t="s">
        <v>8</v>
      </c>
      <c r="B27" s="3"/>
      <c r="C27" s="3"/>
      <c r="D27" s="3" t="s">
        <v>9</v>
      </c>
      <c r="E27" s="3" t="s">
        <v>193</v>
      </c>
      <c r="F27" s="3"/>
      <c r="G27" s="3"/>
    </row>
    <row r="28" spans="1:7" x14ac:dyDescent="0.2">
      <c r="A28" s="3" t="s">
        <v>121</v>
      </c>
      <c r="B28" s="3"/>
      <c r="C28" s="3"/>
      <c r="D28" s="3" t="s">
        <v>122</v>
      </c>
      <c r="E28" s="3" t="s">
        <v>193</v>
      </c>
      <c r="F28" s="3"/>
      <c r="G28" s="3"/>
    </row>
    <row r="29" spans="1:7" x14ac:dyDescent="0.2">
      <c r="A29" s="3" t="s">
        <v>143</v>
      </c>
      <c r="B29" s="3"/>
      <c r="C29" s="3"/>
      <c r="D29" s="3" t="s">
        <v>144</v>
      </c>
      <c r="E29" s="3" t="s">
        <v>193</v>
      </c>
      <c r="F29" s="3"/>
      <c r="G29" s="3"/>
    </row>
    <row r="30" spans="1:7" x14ac:dyDescent="0.2">
      <c r="A30" s="3" t="s">
        <v>171</v>
      </c>
      <c r="B30" s="3"/>
      <c r="C30" s="3"/>
      <c r="D30" s="3" t="s">
        <v>174</v>
      </c>
      <c r="E30" s="3" t="s">
        <v>193</v>
      </c>
      <c r="F30" s="3"/>
      <c r="G30" s="3"/>
    </row>
    <row r="31" spans="1:7" x14ac:dyDescent="0.2">
      <c r="A31" s="3" t="s">
        <v>154</v>
      </c>
      <c r="B31" s="3"/>
      <c r="C31" s="3"/>
      <c r="D31" s="3" t="s">
        <v>157</v>
      </c>
      <c r="E31" s="3" t="s">
        <v>193</v>
      </c>
      <c r="F31" s="3"/>
      <c r="G31" s="3"/>
    </row>
    <row r="32" spans="1:7" x14ac:dyDescent="0.2">
      <c r="A32" s="3" t="s">
        <v>155</v>
      </c>
      <c r="B32" s="3"/>
      <c r="C32" s="3"/>
      <c r="D32" s="3" t="s">
        <v>158</v>
      </c>
      <c r="E32" s="3" t="s">
        <v>193</v>
      </c>
      <c r="F32" s="3"/>
      <c r="G32" s="3"/>
    </row>
    <row r="33" spans="1:7" x14ac:dyDescent="0.2">
      <c r="A33" s="3" t="s">
        <v>153</v>
      </c>
      <c r="B33" s="3"/>
      <c r="C33" s="3"/>
      <c r="D33" s="3" t="s">
        <v>159</v>
      </c>
      <c r="E33" s="3" t="s">
        <v>193</v>
      </c>
      <c r="F33" s="3"/>
      <c r="G33" s="3"/>
    </row>
    <row r="34" spans="1:7" x14ac:dyDescent="0.2">
      <c r="A34" s="3" t="s">
        <v>156</v>
      </c>
      <c r="B34" s="3"/>
      <c r="C34" s="3"/>
      <c r="D34" s="3" t="s">
        <v>160</v>
      </c>
      <c r="E34" s="3" t="s">
        <v>193</v>
      </c>
      <c r="F34" s="3"/>
      <c r="G34" s="3"/>
    </row>
    <row r="35" spans="1:7" x14ac:dyDescent="0.2">
      <c r="A35" s="3" t="s">
        <v>172</v>
      </c>
      <c r="B35" s="3"/>
      <c r="C35" s="3"/>
      <c r="D35" s="3" t="s">
        <v>173</v>
      </c>
      <c r="E35" s="3" t="s">
        <v>193</v>
      </c>
      <c r="F35" s="3"/>
      <c r="G35" s="3"/>
    </row>
    <row r="36" spans="1:7" x14ac:dyDescent="0.2">
      <c r="A36" s="3" t="s">
        <v>10</v>
      </c>
      <c r="B36" s="3"/>
      <c r="C36" s="3"/>
      <c r="D36" s="3" t="s">
        <v>161</v>
      </c>
      <c r="E36" s="3" t="s">
        <v>193</v>
      </c>
      <c r="F36" s="3"/>
      <c r="G36" s="3"/>
    </row>
    <row r="37" spans="1:7" x14ac:dyDescent="0.2">
      <c r="A37" s="4" t="s">
        <v>112</v>
      </c>
      <c r="B37" s="5">
        <f>hr_S * r_HD</f>
        <v>1.8000000000000002E-2</v>
      </c>
      <c r="C37" s="4" t="s">
        <v>101</v>
      </c>
      <c r="D37" s="4" t="s">
        <v>114</v>
      </c>
      <c r="E37" s="4"/>
      <c r="F37" s="4"/>
      <c r="G37" s="4"/>
    </row>
    <row r="38" spans="1:7" x14ac:dyDescent="0.2">
      <c r="A38" s="4" t="s">
        <v>113</v>
      </c>
      <c r="B38" s="5">
        <f>hr_HS_trtB * r_HS</f>
        <v>0.14399999999999999</v>
      </c>
      <c r="C38" s="4" t="s">
        <v>130</v>
      </c>
      <c r="D38" s="4" t="s">
        <v>115</v>
      </c>
      <c r="E38" s="4"/>
      <c r="F38" s="4"/>
      <c r="G38" s="4"/>
    </row>
    <row r="39" spans="1:7" x14ac:dyDescent="0.2">
      <c r="A39" s="4" t="s">
        <v>126</v>
      </c>
      <c r="B39" s="5">
        <f>hr_HS_trtC * r_HS</f>
        <v>0.13200000000000001</v>
      </c>
      <c r="C39" s="4" t="s">
        <v>131</v>
      </c>
      <c r="D39" s="4" t="s">
        <v>127</v>
      </c>
      <c r="E39" s="4"/>
      <c r="F39" s="4"/>
      <c r="G39" s="4"/>
    </row>
    <row r="40" spans="1:7" x14ac:dyDescent="0.2">
      <c r="A40" s="4" t="s">
        <v>148</v>
      </c>
      <c r="B40" s="5">
        <f>hr_HS_trtD * r_HS</f>
        <v>0.13800000000000001</v>
      </c>
      <c r="C40" s="4" t="s">
        <v>149</v>
      </c>
      <c r="D40" s="4" t="s">
        <v>150</v>
      </c>
      <c r="E40" s="4"/>
      <c r="F40" s="4"/>
      <c r="G40" s="4"/>
    </row>
    <row r="41" spans="1:7" x14ac:dyDescent="0.2">
      <c r="A41" s="4" t="s">
        <v>179</v>
      </c>
      <c r="B41" s="5">
        <f>hr_HS_trtE * r_HS</f>
        <v>0.13800000000000001</v>
      </c>
      <c r="C41" s="4" t="s">
        <v>180</v>
      </c>
      <c r="D41" s="4" t="s">
        <v>181</v>
      </c>
      <c r="E41" s="4"/>
      <c r="F41" s="4"/>
      <c r="G41" s="4"/>
    </row>
    <row r="42" spans="1:7" x14ac:dyDescent="0.2">
      <c r="A42" s="4" t="s">
        <v>40</v>
      </c>
      <c r="B42" s="5">
        <f>(n_age_max - n_age_init)</f>
        <v>75</v>
      </c>
      <c r="C42" s="4" t="s">
        <v>41</v>
      </c>
      <c r="D42" s="4" t="s">
        <v>42</v>
      </c>
      <c r="E42" s="4"/>
      <c r="F42" s="4"/>
      <c r="G4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B60C-BF2C-A74E-9CFC-12388875EADA}">
  <dimension ref="A1:E16"/>
  <sheetViews>
    <sheetView zoomScale="247" zoomScaleNormal="247" workbookViewId="0">
      <selection activeCell="D5" sqref="D5"/>
    </sheetView>
  </sheetViews>
  <sheetFormatPr baseColWidth="10" defaultRowHeight="16" x14ac:dyDescent="0.2"/>
  <cols>
    <col min="1" max="2" width="10.83203125" style="2"/>
    <col min="3" max="3" width="24.83203125" style="2" customWidth="1"/>
    <col min="4" max="5" width="16" style="2" customWidth="1"/>
    <col min="6" max="16384" width="10.83203125" style="2"/>
  </cols>
  <sheetData>
    <row r="1" spans="1:5" x14ac:dyDescent="0.2">
      <c r="A1" s="27" t="s">
        <v>44</v>
      </c>
      <c r="B1" s="27" t="s">
        <v>80</v>
      </c>
      <c r="C1" s="27" t="s">
        <v>51</v>
      </c>
      <c r="D1" s="27" t="s">
        <v>56</v>
      </c>
      <c r="E1" s="27" t="s">
        <v>60</v>
      </c>
    </row>
    <row r="2" spans="1:5" x14ac:dyDescent="0.2">
      <c r="A2" s="27" t="s">
        <v>52</v>
      </c>
      <c r="B2" s="27" t="s">
        <v>51</v>
      </c>
      <c r="C2" s="36" t="s">
        <v>97</v>
      </c>
      <c r="D2" s="37" t="s">
        <v>98</v>
      </c>
      <c r="E2" s="37" t="s">
        <v>99</v>
      </c>
    </row>
    <row r="3" spans="1:5" x14ac:dyDescent="0.2">
      <c r="A3" s="27" t="s">
        <v>52</v>
      </c>
      <c r="B3" s="27" t="s">
        <v>56</v>
      </c>
      <c r="C3" s="37">
        <v>0</v>
      </c>
      <c r="D3" s="36" t="s">
        <v>100</v>
      </c>
      <c r="E3" s="37" t="s">
        <v>101</v>
      </c>
    </row>
    <row r="4" spans="1:5" x14ac:dyDescent="0.2">
      <c r="A4" s="27" t="s">
        <v>52</v>
      </c>
      <c r="B4" s="27" t="s">
        <v>60</v>
      </c>
      <c r="C4" s="37" t="s">
        <v>102</v>
      </c>
      <c r="D4" s="37" t="s">
        <v>102</v>
      </c>
      <c r="E4" s="36" t="s">
        <v>102</v>
      </c>
    </row>
    <row r="5" spans="1:5" x14ac:dyDescent="0.2">
      <c r="A5" s="27" t="s">
        <v>63</v>
      </c>
      <c r="B5" s="27" t="s">
        <v>51</v>
      </c>
      <c r="C5" s="36" t="s">
        <v>142</v>
      </c>
      <c r="D5" s="37" t="s">
        <v>130</v>
      </c>
      <c r="E5" s="37" t="s">
        <v>99</v>
      </c>
    </row>
    <row r="6" spans="1:5" x14ac:dyDescent="0.2">
      <c r="A6" s="27" t="s">
        <v>63</v>
      </c>
      <c r="B6" s="27" t="s">
        <v>56</v>
      </c>
      <c r="C6" s="37">
        <v>0</v>
      </c>
      <c r="D6" s="36" t="s">
        <v>100</v>
      </c>
      <c r="E6" s="37" t="s">
        <v>101</v>
      </c>
    </row>
    <row r="7" spans="1:5" x14ac:dyDescent="0.2">
      <c r="A7" s="27" t="s">
        <v>63</v>
      </c>
      <c r="B7" s="27" t="s">
        <v>60</v>
      </c>
      <c r="C7" s="37" t="s">
        <v>102</v>
      </c>
      <c r="D7" s="37" t="s">
        <v>102</v>
      </c>
      <c r="E7" s="36" t="s">
        <v>102</v>
      </c>
    </row>
    <row r="8" spans="1:5" x14ac:dyDescent="0.2">
      <c r="A8" s="27" t="s">
        <v>132</v>
      </c>
      <c r="B8" s="27" t="s">
        <v>51</v>
      </c>
      <c r="C8" s="36" t="s">
        <v>133</v>
      </c>
      <c r="D8" s="37" t="s">
        <v>131</v>
      </c>
      <c r="E8" s="37" t="s">
        <v>99</v>
      </c>
    </row>
    <row r="9" spans="1:5" x14ac:dyDescent="0.2">
      <c r="A9" s="27" t="s">
        <v>132</v>
      </c>
      <c r="B9" s="27" t="s">
        <v>56</v>
      </c>
      <c r="C9" s="37">
        <v>0</v>
      </c>
      <c r="D9" s="36" t="s">
        <v>100</v>
      </c>
      <c r="E9" s="37" t="s">
        <v>101</v>
      </c>
    </row>
    <row r="10" spans="1:5" x14ac:dyDescent="0.2">
      <c r="A10" s="27" t="s">
        <v>132</v>
      </c>
      <c r="B10" s="27" t="s">
        <v>60</v>
      </c>
      <c r="C10" s="37" t="s">
        <v>102</v>
      </c>
      <c r="D10" s="37" t="s">
        <v>102</v>
      </c>
      <c r="E10" s="36" t="s">
        <v>102</v>
      </c>
    </row>
    <row r="11" spans="1:5" x14ac:dyDescent="0.2">
      <c r="A11" s="27" t="s">
        <v>151</v>
      </c>
      <c r="B11" s="27" t="s">
        <v>51</v>
      </c>
      <c r="C11" s="36" t="s">
        <v>152</v>
      </c>
      <c r="D11" s="37" t="s">
        <v>149</v>
      </c>
      <c r="E11" s="37" t="s">
        <v>99</v>
      </c>
    </row>
    <row r="12" spans="1:5" x14ac:dyDescent="0.2">
      <c r="A12" s="27" t="s">
        <v>151</v>
      </c>
      <c r="B12" s="27" t="s">
        <v>56</v>
      </c>
      <c r="C12" s="37">
        <v>0</v>
      </c>
      <c r="D12" s="36" t="s">
        <v>100</v>
      </c>
      <c r="E12" s="37" t="s">
        <v>101</v>
      </c>
    </row>
    <row r="13" spans="1:5" x14ac:dyDescent="0.2">
      <c r="A13" s="27" t="s">
        <v>151</v>
      </c>
      <c r="B13" s="27" t="s">
        <v>60</v>
      </c>
      <c r="C13" s="37" t="s">
        <v>102</v>
      </c>
      <c r="D13" s="37" t="s">
        <v>102</v>
      </c>
      <c r="E13" s="36" t="s">
        <v>102</v>
      </c>
    </row>
    <row r="14" spans="1:5" x14ac:dyDescent="0.2">
      <c r="A14" s="27" t="s">
        <v>183</v>
      </c>
      <c r="B14" s="27" t="s">
        <v>51</v>
      </c>
      <c r="C14" s="36" t="s">
        <v>182</v>
      </c>
      <c r="D14" s="37" t="s">
        <v>180</v>
      </c>
      <c r="E14" s="37" t="s">
        <v>99</v>
      </c>
    </row>
    <row r="15" spans="1:5" x14ac:dyDescent="0.2">
      <c r="A15" s="27" t="s">
        <v>183</v>
      </c>
      <c r="B15" s="27" t="s">
        <v>56</v>
      </c>
      <c r="C15" s="37">
        <v>0</v>
      </c>
      <c r="D15" s="36" t="s">
        <v>100</v>
      </c>
      <c r="E15" s="37" t="s">
        <v>101</v>
      </c>
    </row>
    <row r="16" spans="1:5" x14ac:dyDescent="0.2">
      <c r="A16" s="27" t="s">
        <v>183</v>
      </c>
      <c r="B16" s="27" t="s">
        <v>60</v>
      </c>
      <c r="C16" s="37" t="s">
        <v>102</v>
      </c>
      <c r="D16" s="37" t="s">
        <v>102</v>
      </c>
      <c r="E16" s="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F133-83C8-9742-8F80-EFE1E4C391AB}">
  <dimension ref="A1:E16"/>
  <sheetViews>
    <sheetView zoomScale="216" zoomScaleNormal="216" workbookViewId="0">
      <selection activeCell="C22" sqref="C22"/>
    </sheetView>
  </sheetViews>
  <sheetFormatPr baseColWidth="10" defaultRowHeight="16" x14ac:dyDescent="0.2"/>
  <cols>
    <col min="1" max="2" width="10.83203125" style="2"/>
    <col min="3" max="3" width="20.1640625" style="2" customWidth="1"/>
    <col min="4" max="5" width="16.6640625" style="2" customWidth="1"/>
    <col min="6" max="16384" width="10.83203125" style="2"/>
  </cols>
  <sheetData>
    <row r="1" spans="1:5" ht="17" thickBot="1" x14ac:dyDescent="0.25">
      <c r="A1" s="17" t="s">
        <v>44</v>
      </c>
      <c r="B1" s="17" t="s">
        <v>80</v>
      </c>
      <c r="C1" s="17" t="s">
        <v>51</v>
      </c>
      <c r="D1" s="17" t="s">
        <v>56</v>
      </c>
      <c r="E1" s="17" t="s">
        <v>60</v>
      </c>
    </row>
    <row r="2" spans="1:5" x14ac:dyDescent="0.2">
      <c r="A2" s="19" t="s">
        <v>52</v>
      </c>
      <c r="B2" s="19" t="s">
        <v>51</v>
      </c>
      <c r="C2" s="20" t="s">
        <v>247</v>
      </c>
      <c r="D2" s="21" t="s">
        <v>6</v>
      </c>
      <c r="E2" s="21" t="s">
        <v>154</v>
      </c>
    </row>
    <row r="3" spans="1:5" x14ac:dyDescent="0.2">
      <c r="A3" s="27" t="s">
        <v>52</v>
      </c>
      <c r="B3" s="27" t="s">
        <v>56</v>
      </c>
      <c r="C3" s="28">
        <v>0</v>
      </c>
      <c r="D3" s="29" t="s">
        <v>96</v>
      </c>
      <c r="E3" s="28" t="s">
        <v>10</v>
      </c>
    </row>
    <row r="4" spans="1:5" x14ac:dyDescent="0.2">
      <c r="A4" s="27" t="s">
        <v>52</v>
      </c>
      <c r="B4" s="27" t="s">
        <v>60</v>
      </c>
      <c r="C4" s="28">
        <v>0</v>
      </c>
      <c r="D4" s="28">
        <v>0</v>
      </c>
      <c r="E4" s="29">
        <v>1</v>
      </c>
    </row>
    <row r="5" spans="1:5" x14ac:dyDescent="0.2">
      <c r="A5" s="19" t="s">
        <v>63</v>
      </c>
      <c r="B5" s="19" t="s">
        <v>51</v>
      </c>
      <c r="C5" s="20" t="s">
        <v>248</v>
      </c>
      <c r="D5" s="21" t="s">
        <v>8</v>
      </c>
      <c r="E5" s="21" t="s">
        <v>155</v>
      </c>
    </row>
    <row r="6" spans="1:5" x14ac:dyDescent="0.2">
      <c r="A6" s="27" t="s">
        <v>63</v>
      </c>
      <c r="B6" s="27" t="s">
        <v>56</v>
      </c>
      <c r="C6" s="28">
        <v>0</v>
      </c>
      <c r="D6" s="29" t="s">
        <v>96</v>
      </c>
      <c r="E6" s="28" t="s">
        <v>10</v>
      </c>
    </row>
    <row r="7" spans="1:5" x14ac:dyDescent="0.2">
      <c r="A7" s="27" t="s">
        <v>63</v>
      </c>
      <c r="B7" s="27" t="s">
        <v>60</v>
      </c>
      <c r="C7" s="28">
        <v>0</v>
      </c>
      <c r="D7" s="28">
        <v>0</v>
      </c>
      <c r="E7" s="29">
        <v>1</v>
      </c>
    </row>
    <row r="8" spans="1:5" x14ac:dyDescent="0.2">
      <c r="A8" s="19" t="s">
        <v>132</v>
      </c>
      <c r="B8" s="19" t="s">
        <v>51</v>
      </c>
      <c r="C8" s="20" t="s">
        <v>249</v>
      </c>
      <c r="D8" s="21" t="s">
        <v>121</v>
      </c>
      <c r="E8" s="21" t="s">
        <v>153</v>
      </c>
    </row>
    <row r="9" spans="1:5" x14ac:dyDescent="0.2">
      <c r="A9" s="27" t="s">
        <v>132</v>
      </c>
      <c r="B9" s="27" t="s">
        <v>56</v>
      </c>
      <c r="C9" s="28">
        <v>0</v>
      </c>
      <c r="D9" s="29" t="s">
        <v>96</v>
      </c>
      <c r="E9" s="28" t="s">
        <v>10</v>
      </c>
    </row>
    <row r="10" spans="1:5" x14ac:dyDescent="0.2">
      <c r="A10" s="27" t="s">
        <v>132</v>
      </c>
      <c r="B10" s="27" t="s">
        <v>60</v>
      </c>
      <c r="C10" s="28">
        <v>0</v>
      </c>
      <c r="D10" s="28">
        <v>0</v>
      </c>
      <c r="E10" s="29">
        <v>1</v>
      </c>
    </row>
    <row r="11" spans="1:5" x14ac:dyDescent="0.2">
      <c r="A11" s="19" t="s">
        <v>151</v>
      </c>
      <c r="B11" s="19" t="s">
        <v>51</v>
      </c>
      <c r="C11" s="20" t="s">
        <v>250</v>
      </c>
      <c r="D11" s="21" t="s">
        <v>143</v>
      </c>
      <c r="E11" s="21" t="s">
        <v>156</v>
      </c>
    </row>
    <row r="12" spans="1:5" x14ac:dyDescent="0.2">
      <c r="A12" s="27" t="s">
        <v>151</v>
      </c>
      <c r="B12" s="27" t="s">
        <v>56</v>
      </c>
      <c r="C12" s="28">
        <v>0</v>
      </c>
      <c r="D12" s="29" t="s">
        <v>96</v>
      </c>
      <c r="E12" s="28" t="s">
        <v>10</v>
      </c>
    </row>
    <row r="13" spans="1:5" x14ac:dyDescent="0.2">
      <c r="A13" s="27" t="s">
        <v>151</v>
      </c>
      <c r="B13" s="27" t="s">
        <v>60</v>
      </c>
      <c r="C13" s="28">
        <v>0</v>
      </c>
      <c r="D13" s="28">
        <v>0</v>
      </c>
      <c r="E13" s="29">
        <v>1</v>
      </c>
    </row>
    <row r="14" spans="1:5" x14ac:dyDescent="0.2">
      <c r="A14" s="19" t="s">
        <v>183</v>
      </c>
      <c r="B14" s="19" t="s">
        <v>51</v>
      </c>
      <c r="C14" s="20" t="s">
        <v>251</v>
      </c>
      <c r="D14" s="21" t="s">
        <v>171</v>
      </c>
      <c r="E14" s="21" t="s">
        <v>172</v>
      </c>
    </row>
    <row r="15" spans="1:5" x14ac:dyDescent="0.2">
      <c r="A15" s="27" t="s">
        <v>183</v>
      </c>
      <c r="B15" s="27" t="s">
        <v>56</v>
      </c>
      <c r="C15" s="28">
        <v>0</v>
      </c>
      <c r="D15" s="29" t="s">
        <v>96</v>
      </c>
      <c r="E15" s="28" t="s">
        <v>10</v>
      </c>
    </row>
    <row r="16" spans="1:5" x14ac:dyDescent="0.2">
      <c r="A16" s="27" t="s">
        <v>183</v>
      </c>
      <c r="B16" s="27" t="s">
        <v>60</v>
      </c>
      <c r="C16" s="28">
        <v>0</v>
      </c>
      <c r="D16" s="28">
        <v>0</v>
      </c>
      <c r="E16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27F6-0068-0E49-B1F6-A6FC329B5CE2}">
  <dimension ref="A1:H16"/>
  <sheetViews>
    <sheetView zoomScale="179" zoomScaleNormal="179" workbookViewId="0">
      <selection activeCell="D8" sqref="D8"/>
    </sheetView>
  </sheetViews>
  <sheetFormatPr baseColWidth="10" defaultRowHeight="16" x14ac:dyDescent="0.2"/>
  <cols>
    <col min="1" max="2" width="10.83203125" style="6"/>
    <col min="3" max="5" width="15.33203125" style="6" customWidth="1"/>
    <col min="6" max="7" width="10.83203125" style="6"/>
    <col min="8" max="8" width="16.1640625" style="6" customWidth="1"/>
    <col min="9" max="16384" width="10.83203125" style="6"/>
  </cols>
  <sheetData>
    <row r="1" spans="1:8" ht="17" thickBot="1" x14ac:dyDescent="0.25">
      <c r="A1" s="1" t="s">
        <v>43</v>
      </c>
      <c r="B1" s="1" t="s">
        <v>44</v>
      </c>
      <c r="C1" s="61" t="s">
        <v>45</v>
      </c>
      <c r="D1" s="60" t="s">
        <v>46</v>
      </c>
      <c r="E1" s="60" t="s">
        <v>47</v>
      </c>
      <c r="F1" s="61" t="s">
        <v>48</v>
      </c>
      <c r="G1" s="60" t="s">
        <v>49</v>
      </c>
      <c r="H1" s="60" t="s">
        <v>50</v>
      </c>
    </row>
    <row r="2" spans="1:8" x14ac:dyDescent="0.2">
      <c r="A2" s="7" t="s">
        <v>51</v>
      </c>
      <c r="B2" s="7" t="s">
        <v>52</v>
      </c>
      <c r="C2" s="62" t="s">
        <v>53</v>
      </c>
      <c r="D2" s="8" t="s">
        <v>54</v>
      </c>
      <c r="E2" s="8">
        <f>c_H + c_trtA</f>
        <v>25</v>
      </c>
      <c r="F2" s="62" t="s">
        <v>27</v>
      </c>
      <c r="G2" s="8" t="s">
        <v>55</v>
      </c>
      <c r="H2" s="8">
        <f>u_H</f>
        <v>1</v>
      </c>
    </row>
    <row r="3" spans="1:8" x14ac:dyDescent="0.2">
      <c r="A3" s="9" t="s">
        <v>56</v>
      </c>
      <c r="B3" s="9" t="s">
        <v>52</v>
      </c>
      <c r="C3" s="4" t="s">
        <v>57</v>
      </c>
      <c r="D3" s="10" t="s">
        <v>58</v>
      </c>
      <c r="E3" s="10">
        <f>c_S</f>
        <v>1000</v>
      </c>
      <c r="F3" s="4" t="s">
        <v>30</v>
      </c>
      <c r="G3" s="10" t="s">
        <v>59</v>
      </c>
      <c r="H3" s="10">
        <f>u_S</f>
        <v>0.75</v>
      </c>
    </row>
    <row r="4" spans="1:8" x14ac:dyDescent="0.2">
      <c r="A4" s="9" t="s">
        <v>60</v>
      </c>
      <c r="B4" s="9" t="s">
        <v>52</v>
      </c>
      <c r="C4" s="4" t="s">
        <v>25</v>
      </c>
      <c r="D4" s="10" t="s">
        <v>61</v>
      </c>
      <c r="E4" s="10">
        <f>c_D</f>
        <v>0</v>
      </c>
      <c r="F4" s="4" t="s">
        <v>32</v>
      </c>
      <c r="G4" s="10" t="s">
        <v>62</v>
      </c>
      <c r="H4" s="10">
        <f>u_D</f>
        <v>0</v>
      </c>
    </row>
    <row r="5" spans="1:8" x14ac:dyDescent="0.2">
      <c r="A5" s="9" t="s">
        <v>51</v>
      </c>
      <c r="B5" s="9" t="s">
        <v>63</v>
      </c>
      <c r="C5" s="4" t="s">
        <v>64</v>
      </c>
      <c r="D5" s="10" t="s">
        <v>65</v>
      </c>
      <c r="E5" s="10">
        <f>c_H + c_trtB</f>
        <v>1000</v>
      </c>
      <c r="F5" s="4" t="s">
        <v>27</v>
      </c>
      <c r="G5" s="10" t="s">
        <v>66</v>
      </c>
      <c r="H5" s="10">
        <f>u_H</f>
        <v>1</v>
      </c>
    </row>
    <row r="6" spans="1:8" x14ac:dyDescent="0.2">
      <c r="A6" s="9" t="s">
        <v>56</v>
      </c>
      <c r="B6" s="9" t="s">
        <v>63</v>
      </c>
      <c r="C6" s="4" t="s">
        <v>22</v>
      </c>
      <c r="D6" s="10" t="s">
        <v>67</v>
      </c>
      <c r="E6" s="10">
        <f>c_S</f>
        <v>1000</v>
      </c>
      <c r="F6" s="4" t="s">
        <v>30</v>
      </c>
      <c r="G6" s="10" t="s">
        <v>68</v>
      </c>
      <c r="H6" s="10">
        <f>u_S</f>
        <v>0.75</v>
      </c>
    </row>
    <row r="7" spans="1:8" x14ac:dyDescent="0.2">
      <c r="A7" s="9" t="s">
        <v>60</v>
      </c>
      <c r="B7" s="9" t="s">
        <v>63</v>
      </c>
      <c r="C7" s="4" t="s">
        <v>25</v>
      </c>
      <c r="D7" s="10" t="s">
        <v>69</v>
      </c>
      <c r="E7" s="10">
        <f>c_D</f>
        <v>0</v>
      </c>
      <c r="F7" s="4" t="s">
        <v>32</v>
      </c>
      <c r="G7" s="10" t="s">
        <v>70</v>
      </c>
      <c r="H7" s="10">
        <f>u_D</f>
        <v>0</v>
      </c>
    </row>
    <row r="8" spans="1:8" x14ac:dyDescent="0.2">
      <c r="A8" s="9" t="s">
        <v>51</v>
      </c>
      <c r="B8" s="9" t="s">
        <v>132</v>
      </c>
      <c r="C8" s="4" t="s">
        <v>134</v>
      </c>
      <c r="D8" s="10" t="s">
        <v>135</v>
      </c>
      <c r="E8" s="10">
        <f>c_H + c_trtC</f>
        <v>3100</v>
      </c>
      <c r="F8" s="4" t="s">
        <v>27</v>
      </c>
      <c r="G8" s="10" t="s">
        <v>138</v>
      </c>
      <c r="H8" s="10">
        <f>u_H</f>
        <v>1</v>
      </c>
    </row>
    <row r="9" spans="1:8" x14ac:dyDescent="0.2">
      <c r="A9" s="9" t="s">
        <v>56</v>
      </c>
      <c r="B9" s="9" t="s">
        <v>132</v>
      </c>
      <c r="C9" s="4" t="s">
        <v>22</v>
      </c>
      <c r="D9" s="10" t="s">
        <v>136</v>
      </c>
      <c r="E9" s="10">
        <f>c_S</f>
        <v>1000</v>
      </c>
      <c r="F9" s="4" t="s">
        <v>30</v>
      </c>
      <c r="G9" s="10" t="s">
        <v>139</v>
      </c>
      <c r="H9" s="10">
        <f>u_S</f>
        <v>0.75</v>
      </c>
    </row>
    <row r="10" spans="1:8" x14ac:dyDescent="0.2">
      <c r="A10" s="9" t="s">
        <v>60</v>
      </c>
      <c r="B10" s="9" t="s">
        <v>132</v>
      </c>
      <c r="C10" s="4" t="s">
        <v>25</v>
      </c>
      <c r="D10" s="10" t="s">
        <v>137</v>
      </c>
      <c r="E10" s="10">
        <f>c_D</f>
        <v>0</v>
      </c>
      <c r="F10" s="4" t="s">
        <v>32</v>
      </c>
      <c r="G10" s="10" t="s">
        <v>140</v>
      </c>
      <c r="H10" s="10">
        <f>u_D</f>
        <v>0</v>
      </c>
    </row>
    <row r="11" spans="1:8" x14ac:dyDescent="0.2">
      <c r="A11" s="9" t="s">
        <v>51</v>
      </c>
      <c r="B11" s="9" t="s">
        <v>151</v>
      </c>
      <c r="C11" s="4" t="s">
        <v>162</v>
      </c>
      <c r="D11" s="10" t="s">
        <v>163</v>
      </c>
      <c r="E11" s="10">
        <f>c_H + c_trtD</f>
        <v>1550</v>
      </c>
      <c r="F11" s="4" t="s">
        <v>27</v>
      </c>
      <c r="G11" s="10" t="s">
        <v>166</v>
      </c>
      <c r="H11" s="10">
        <f>u_H</f>
        <v>1</v>
      </c>
    </row>
    <row r="12" spans="1:8" x14ac:dyDescent="0.2">
      <c r="A12" s="9" t="s">
        <v>56</v>
      </c>
      <c r="B12" s="9" t="s">
        <v>151</v>
      </c>
      <c r="C12" s="4" t="s">
        <v>22</v>
      </c>
      <c r="D12" s="10" t="s">
        <v>164</v>
      </c>
      <c r="E12" s="10">
        <f>c_S</f>
        <v>1000</v>
      </c>
      <c r="F12" s="4" t="s">
        <v>30</v>
      </c>
      <c r="G12" s="10" t="s">
        <v>167</v>
      </c>
      <c r="H12" s="10">
        <f>u_S</f>
        <v>0.75</v>
      </c>
    </row>
    <row r="13" spans="1:8" x14ac:dyDescent="0.2">
      <c r="A13" s="9" t="s">
        <v>60</v>
      </c>
      <c r="B13" s="9" t="s">
        <v>151</v>
      </c>
      <c r="C13" s="4" t="s">
        <v>25</v>
      </c>
      <c r="D13" s="10" t="s">
        <v>165</v>
      </c>
      <c r="E13" s="10">
        <f>c_D</f>
        <v>0</v>
      </c>
      <c r="F13" s="4" t="s">
        <v>32</v>
      </c>
      <c r="G13" s="10" t="s">
        <v>168</v>
      </c>
      <c r="H13" s="10">
        <f>u_D</f>
        <v>0</v>
      </c>
    </row>
    <row r="14" spans="1:8" x14ac:dyDescent="0.2">
      <c r="A14" s="9" t="s">
        <v>51</v>
      </c>
      <c r="B14" s="9" t="s">
        <v>183</v>
      </c>
      <c r="C14" s="4" t="s">
        <v>184</v>
      </c>
      <c r="D14" s="10" t="s">
        <v>185</v>
      </c>
      <c r="E14" s="10">
        <f>c_H + c_trtE</f>
        <v>5000</v>
      </c>
      <c r="F14" s="4" t="s">
        <v>27</v>
      </c>
      <c r="G14" s="10" t="s">
        <v>188</v>
      </c>
      <c r="H14" s="10">
        <f>u_H</f>
        <v>1</v>
      </c>
    </row>
    <row r="15" spans="1:8" x14ac:dyDescent="0.2">
      <c r="A15" s="9" t="s">
        <v>56</v>
      </c>
      <c r="B15" s="9" t="s">
        <v>183</v>
      </c>
      <c r="C15" s="4" t="s">
        <v>22</v>
      </c>
      <c r="D15" s="10" t="s">
        <v>186</v>
      </c>
      <c r="E15" s="10">
        <f>c_S</f>
        <v>1000</v>
      </c>
      <c r="F15" s="4" t="s">
        <v>30</v>
      </c>
      <c r="G15" s="10" t="s">
        <v>189</v>
      </c>
      <c r="H15" s="10">
        <f>u_S</f>
        <v>0.75</v>
      </c>
    </row>
    <row r="16" spans="1:8" x14ac:dyDescent="0.2">
      <c r="A16" s="9" t="s">
        <v>60</v>
      </c>
      <c r="B16" s="9" t="s">
        <v>183</v>
      </c>
      <c r="C16" s="4" t="s">
        <v>25</v>
      </c>
      <c r="D16" s="10" t="s">
        <v>187</v>
      </c>
      <c r="E16" s="10">
        <f>c_D</f>
        <v>0</v>
      </c>
      <c r="F16" s="4" t="s">
        <v>32</v>
      </c>
      <c r="G16" s="10" t="s">
        <v>190</v>
      </c>
      <c r="H16" s="10">
        <f>u_D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3411-EBB3-9B45-A4DC-FC5EE36004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1E6A-310F-EF49-953C-FAAB350017BC}">
  <dimension ref="B1:AE21"/>
  <sheetViews>
    <sheetView topLeftCell="B1" zoomScale="166" zoomScaleNormal="166" workbookViewId="0">
      <selection activeCell="D3" sqref="D3"/>
    </sheetView>
  </sheetViews>
  <sheetFormatPr baseColWidth="10" defaultRowHeight="16" x14ac:dyDescent="0.2"/>
  <cols>
    <col min="1" max="2" width="10.83203125" style="2"/>
    <col min="3" max="3" width="15.83203125" style="2" customWidth="1"/>
    <col min="4" max="6" width="12" style="39" customWidth="1"/>
    <col min="7" max="7" width="3.83203125" style="39" customWidth="1"/>
    <col min="8" max="8" width="12.1640625" style="39" customWidth="1"/>
    <col min="9" max="11" width="14.5" style="2" customWidth="1"/>
    <col min="12" max="12" width="3.83203125" style="39" customWidth="1"/>
    <col min="13" max="13" width="10.6640625" style="2" customWidth="1"/>
    <col min="14" max="16384" width="10.83203125" style="2"/>
  </cols>
  <sheetData>
    <row r="1" spans="2:31" ht="37" customHeight="1" x14ac:dyDescent="0.2">
      <c r="C1" s="77" t="s">
        <v>201</v>
      </c>
      <c r="D1" s="77"/>
      <c r="E1" s="77"/>
      <c r="F1" s="77"/>
      <c r="I1" s="78" t="s">
        <v>194</v>
      </c>
      <c r="J1" s="78"/>
      <c r="K1" s="78"/>
      <c r="M1" s="30" t="s">
        <v>195</v>
      </c>
      <c r="N1" s="38"/>
      <c r="O1" s="38"/>
      <c r="Q1" s="30" t="s">
        <v>196</v>
      </c>
      <c r="R1" s="38"/>
      <c r="S1" s="38"/>
      <c r="U1" s="30" t="s">
        <v>197</v>
      </c>
      <c r="V1" s="38"/>
      <c r="W1" s="38"/>
      <c r="Y1" s="30" t="s">
        <v>198</v>
      </c>
      <c r="Z1" s="38"/>
      <c r="AA1" s="38"/>
      <c r="AC1" s="30" t="s">
        <v>199</v>
      </c>
      <c r="AD1" s="38"/>
      <c r="AE1" s="38"/>
    </row>
    <row r="2" spans="2:31" ht="17" x14ac:dyDescent="0.2">
      <c r="B2" s="40" t="s">
        <v>44</v>
      </c>
      <c r="C2" s="40" t="s">
        <v>80</v>
      </c>
      <c r="D2" s="49" t="s">
        <v>51</v>
      </c>
      <c r="E2" s="50" t="s">
        <v>56</v>
      </c>
      <c r="F2" s="50" t="s">
        <v>60</v>
      </c>
      <c r="G2" s="42"/>
      <c r="H2" s="42"/>
      <c r="I2" s="41" t="s">
        <v>51</v>
      </c>
      <c r="J2" s="42" t="s">
        <v>56</v>
      </c>
      <c r="K2" s="42" t="s">
        <v>60</v>
      </c>
      <c r="L2" s="42"/>
      <c r="M2" s="43"/>
    </row>
    <row r="3" spans="2:31" ht="17" x14ac:dyDescent="0.2">
      <c r="B3" s="44" t="s">
        <v>52</v>
      </c>
      <c r="C3" s="45" t="s">
        <v>51</v>
      </c>
      <c r="D3" s="29">
        <f>-(r_HS + r_HD)*n_cycle_length</f>
        <v>-0.156</v>
      </c>
      <c r="E3" s="27">
        <f>r_HS*n_cycle_length</f>
        <v>0.15</v>
      </c>
      <c r="F3" s="27">
        <f>r_HD*n_cycle_length</f>
        <v>6.0000000000000001E-3</v>
      </c>
      <c r="G3" s="46"/>
      <c r="H3" s="67" t="s">
        <v>202</v>
      </c>
      <c r="I3" s="68">
        <f>M3+Q3+(1/FACT(2))*U3 + (1/FACT(3))*Y3+(1/FACT(4))*AC3</f>
        <v>0.85555994070399988</v>
      </c>
      <c r="J3" s="68">
        <f t="shared" ref="I3:K5" si="0">N3+R3+(1/FACT(2))*V3 + (1/FACT(3))*Z3+(1/FACT(4))*AD3</f>
        <v>0.13760988225000001</v>
      </c>
      <c r="K3" s="68">
        <f t="shared" si="0"/>
        <v>6.8301770459999996E-3</v>
      </c>
      <c r="L3" s="46"/>
      <c r="M3" s="47">
        <v>1</v>
      </c>
      <c r="N3" s="47">
        <v>0</v>
      </c>
      <c r="O3" s="47">
        <v>0</v>
      </c>
      <c r="Q3" s="64">
        <f>D3</f>
        <v>-0.156</v>
      </c>
      <c r="R3" s="64">
        <f t="shared" ref="R3:R5" si="1">E3</f>
        <v>0.15</v>
      </c>
      <c r="S3" s="64">
        <f t="shared" ref="S3:S5" si="2">F3</f>
        <v>6.0000000000000001E-3</v>
      </c>
      <c r="T3" s="63"/>
      <c r="U3" s="64" cm="1">
        <f t="array" ref="U3:W5">MMULT(Q3:S5,Q3:S5)</f>
        <v>2.4336E-2</v>
      </c>
      <c r="V3" s="64">
        <v>-2.6100000000000002E-2</v>
      </c>
      <c r="W3" s="64">
        <v>1.7640000000000002E-3</v>
      </c>
      <c r="X3" s="63"/>
      <c r="Y3" s="64" cm="1">
        <f t="array" ref="Y3:AA5">MMULT(_xlfn.ANCHORARRAY(U3),D3:F5)</f>
        <v>-3.7964159999999999E-3</v>
      </c>
      <c r="Z3" s="64">
        <v>4.1202000000000001E-3</v>
      </c>
      <c r="AA3" s="64">
        <v>-3.2378400000000008E-4</v>
      </c>
      <c r="AB3" s="63"/>
      <c r="AC3" s="64" cm="1">
        <f t="array" ref="AC3:AE5">MMULT(_xlfn.ANCHORARRAY(Y3),D3:F5)</f>
        <v>5.9224089599999995E-4</v>
      </c>
      <c r="AD3" s="64">
        <v>-6.4362600000000001E-4</v>
      </c>
      <c r="AE3" s="65">
        <v>5.1385104000000015E-5</v>
      </c>
    </row>
    <row r="4" spans="2:31" x14ac:dyDescent="0.2">
      <c r="B4" s="44" t="s">
        <v>52</v>
      </c>
      <c r="C4" s="45" t="s">
        <v>56</v>
      </c>
      <c r="D4" s="27">
        <v>0</v>
      </c>
      <c r="E4" s="29">
        <f>-(hr_S * r_HD)*n_cycle_length</f>
        <v>-1.8000000000000002E-2</v>
      </c>
      <c r="F4" s="27">
        <f>hr_S * r_HD*n_cycle_length</f>
        <v>1.8000000000000002E-2</v>
      </c>
      <c r="G4" s="46"/>
      <c r="H4" s="67"/>
      <c r="I4" s="68">
        <f t="shared" si="0"/>
        <v>0</v>
      </c>
      <c r="J4" s="68">
        <f t="shared" si="0"/>
        <v>0.98216103237399999</v>
      </c>
      <c r="K4" s="68">
        <f t="shared" si="0"/>
        <v>1.7838967626000003E-2</v>
      </c>
      <c r="L4" s="46"/>
      <c r="M4" s="47">
        <v>0</v>
      </c>
      <c r="N4" s="47">
        <v>1</v>
      </c>
      <c r="O4" s="47">
        <v>0</v>
      </c>
      <c r="Q4" s="64">
        <f t="shared" ref="Q4:Q5" si="3">D4</f>
        <v>0</v>
      </c>
      <c r="R4" s="64">
        <f t="shared" si="1"/>
        <v>-1.8000000000000002E-2</v>
      </c>
      <c r="S4" s="64">
        <f t="shared" si="2"/>
        <v>1.8000000000000002E-2</v>
      </c>
      <c r="T4" s="63"/>
      <c r="U4" s="64">
        <v>0</v>
      </c>
      <c r="V4" s="64">
        <v>3.2400000000000007E-4</v>
      </c>
      <c r="W4" s="64">
        <v>-3.2400000000000007E-4</v>
      </c>
      <c r="X4" s="63"/>
      <c r="Y4" s="64">
        <v>0</v>
      </c>
      <c r="Z4" s="64">
        <v>-5.8320000000000019E-6</v>
      </c>
      <c r="AA4" s="64">
        <v>5.8320000000000019E-6</v>
      </c>
      <c r="AB4" s="63"/>
      <c r="AC4" s="64">
        <v>0</v>
      </c>
      <c r="AD4" s="64">
        <v>1.0497600000000005E-7</v>
      </c>
      <c r="AE4" s="65">
        <v>-1.0497600000000005E-7</v>
      </c>
    </row>
    <row r="5" spans="2:31" x14ac:dyDescent="0.2">
      <c r="B5" s="44" t="s">
        <v>52</v>
      </c>
      <c r="C5" s="45" t="s">
        <v>60</v>
      </c>
      <c r="D5" s="27">
        <v>0</v>
      </c>
      <c r="E5" s="27">
        <v>0</v>
      </c>
      <c r="F5" s="29">
        <v>0</v>
      </c>
      <c r="G5" s="46"/>
      <c r="H5" s="67"/>
      <c r="I5" s="68">
        <f t="shared" si="0"/>
        <v>0</v>
      </c>
      <c r="J5" s="68">
        <f t="shared" si="0"/>
        <v>0</v>
      </c>
      <c r="K5" s="68">
        <f t="shared" si="0"/>
        <v>1</v>
      </c>
      <c r="L5" s="46"/>
      <c r="M5" s="47">
        <v>0</v>
      </c>
      <c r="N5" s="47">
        <v>0</v>
      </c>
      <c r="O5" s="47">
        <v>1</v>
      </c>
      <c r="Q5" s="64">
        <f t="shared" si="3"/>
        <v>0</v>
      </c>
      <c r="R5" s="64">
        <f t="shared" si="1"/>
        <v>0</v>
      </c>
      <c r="S5" s="64">
        <f t="shared" si="2"/>
        <v>0</v>
      </c>
      <c r="T5" s="63"/>
      <c r="U5" s="64">
        <v>0</v>
      </c>
      <c r="V5" s="64">
        <v>0</v>
      </c>
      <c r="W5" s="64">
        <v>0</v>
      </c>
      <c r="X5" s="63"/>
      <c r="Y5" s="64">
        <v>0</v>
      </c>
      <c r="Z5" s="64">
        <v>0</v>
      </c>
      <c r="AA5" s="64">
        <v>0</v>
      </c>
      <c r="AB5" s="63"/>
      <c r="AC5" s="64">
        <v>0</v>
      </c>
      <c r="AD5" s="64">
        <v>0</v>
      </c>
      <c r="AE5" s="65">
        <v>0</v>
      </c>
    </row>
    <row r="6" spans="2:31" x14ac:dyDescent="0.2">
      <c r="B6" s="48"/>
      <c r="C6" s="48"/>
      <c r="D6" s="50"/>
      <c r="E6" s="50"/>
      <c r="F6" s="50"/>
      <c r="G6" s="42"/>
      <c r="H6" s="69"/>
      <c r="I6" s="70"/>
      <c r="J6" s="70"/>
      <c r="K6" s="70"/>
      <c r="L6" s="42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6"/>
    </row>
    <row r="7" spans="2:31" ht="17" x14ac:dyDescent="0.2">
      <c r="B7" s="44" t="s">
        <v>63</v>
      </c>
      <c r="C7" s="45" t="s">
        <v>51</v>
      </c>
      <c r="D7" s="29">
        <f>-(r_HS * hr_HS_trtB + r_HD)*n_cycle_length</f>
        <v>-0.15</v>
      </c>
      <c r="E7" s="27">
        <f>hr_HS_trtB * r_HS*n_cycle_length</f>
        <v>0.14399999999999999</v>
      </c>
      <c r="F7" s="27">
        <f>r_HD*n_cycle_length</f>
        <v>6.0000000000000001E-3</v>
      </c>
      <c r="G7" s="46"/>
      <c r="H7" s="67" t="s">
        <v>206</v>
      </c>
      <c r="I7" s="68">
        <f t="shared" ref="I7:K9" si="4">M7+Q7+(1/FACT(2))*U7 + (1/FACT(3))*Y7+(1/FACT(4))*AC7</f>
        <v>0.86070859374999997</v>
      </c>
      <c r="J7" s="68">
        <f t="shared" si="4"/>
        <v>0.132493569408</v>
      </c>
      <c r="K7" s="68">
        <f t="shared" si="4"/>
        <v>6.7978368420000008E-3</v>
      </c>
      <c r="L7" s="46"/>
      <c r="M7" s="47">
        <v>1</v>
      </c>
      <c r="N7" s="47">
        <v>0</v>
      </c>
      <c r="O7" s="47">
        <v>0</v>
      </c>
      <c r="Q7" s="64">
        <f>D7</f>
        <v>-0.15</v>
      </c>
      <c r="R7" s="64">
        <f t="shared" ref="R7:R9" si="5">E7</f>
        <v>0.14399999999999999</v>
      </c>
      <c r="S7" s="64">
        <f t="shared" ref="S7:S9" si="6">F7</f>
        <v>6.0000000000000001E-3</v>
      </c>
      <c r="T7" s="63"/>
      <c r="U7" s="64" cm="1">
        <f t="array" ref="U7:W9">MMULT(Q7:S9,Q7:S9)</f>
        <v>2.2499999999999999E-2</v>
      </c>
      <c r="V7" s="64">
        <v>-2.4191999999999998E-2</v>
      </c>
      <c r="W7" s="64">
        <v>1.6920000000000001E-3</v>
      </c>
      <c r="X7" s="63"/>
      <c r="Y7" s="64" cm="1">
        <f t="array" ref="Y7:AA9">MMULT(_xlfn.ANCHORARRAY(U7),Q7:S9)</f>
        <v>-3.375E-3</v>
      </c>
      <c r="Z7" s="64">
        <v>3.6754559999999997E-3</v>
      </c>
      <c r="AA7" s="64">
        <v>-3.0045600000000005E-4</v>
      </c>
      <c r="AB7" s="63"/>
      <c r="AC7" s="64" cm="1">
        <f t="array" ref="AC7:AE9">MMULT(_xlfn.ANCHORARRAY(Y7),Q7:S9)</f>
        <v>5.0624999999999997E-4</v>
      </c>
      <c r="AD7" s="64">
        <v>-5.521582079999999E-4</v>
      </c>
      <c r="AE7" s="65">
        <v>4.5908208000000004E-5</v>
      </c>
    </row>
    <row r="8" spans="2:31" x14ac:dyDescent="0.2">
      <c r="B8" s="44" t="s">
        <v>63</v>
      </c>
      <c r="C8" s="45" t="s">
        <v>200</v>
      </c>
      <c r="D8" s="27">
        <v>0</v>
      </c>
      <c r="E8" s="29">
        <f>-(hr_S * r_HD)*n_cycle_length</f>
        <v>-1.8000000000000002E-2</v>
      </c>
      <c r="F8" s="27">
        <f>hr_S * r_HD*n_cycle_length</f>
        <v>1.8000000000000002E-2</v>
      </c>
      <c r="G8" s="46"/>
      <c r="H8" s="67"/>
      <c r="I8" s="68">
        <f t="shared" si="4"/>
        <v>0</v>
      </c>
      <c r="J8" s="68">
        <f t="shared" si="4"/>
        <v>0.98216103237399999</v>
      </c>
      <c r="K8" s="68">
        <f t="shared" si="4"/>
        <v>1.7838967626000003E-2</v>
      </c>
      <c r="L8" s="46"/>
      <c r="M8" s="47">
        <v>0</v>
      </c>
      <c r="N8" s="47">
        <v>1</v>
      </c>
      <c r="O8" s="47">
        <v>0</v>
      </c>
      <c r="Q8" s="64">
        <f t="shared" ref="Q8:Q9" si="7">D8</f>
        <v>0</v>
      </c>
      <c r="R8" s="64">
        <f t="shared" si="5"/>
        <v>-1.8000000000000002E-2</v>
      </c>
      <c r="S8" s="64">
        <f t="shared" si="6"/>
        <v>1.8000000000000002E-2</v>
      </c>
      <c r="T8" s="63"/>
      <c r="U8" s="64">
        <v>0</v>
      </c>
      <c r="V8" s="64">
        <v>3.2400000000000007E-4</v>
      </c>
      <c r="W8" s="64">
        <v>-3.2400000000000007E-4</v>
      </c>
      <c r="X8" s="63"/>
      <c r="Y8" s="64">
        <v>0</v>
      </c>
      <c r="Z8" s="64">
        <v>-5.8320000000000019E-6</v>
      </c>
      <c r="AA8" s="64">
        <v>5.8320000000000019E-6</v>
      </c>
      <c r="AB8" s="63"/>
      <c r="AC8" s="64">
        <v>0</v>
      </c>
      <c r="AD8" s="64">
        <v>1.0497600000000005E-7</v>
      </c>
      <c r="AE8" s="65">
        <v>-1.0497600000000005E-7</v>
      </c>
    </row>
    <row r="9" spans="2:31" x14ac:dyDescent="0.2">
      <c r="B9" s="44" t="s">
        <v>63</v>
      </c>
      <c r="C9" s="45" t="s">
        <v>60</v>
      </c>
      <c r="D9" s="27">
        <v>0</v>
      </c>
      <c r="E9" s="27">
        <v>0</v>
      </c>
      <c r="F9" s="29">
        <v>0</v>
      </c>
      <c r="G9" s="46"/>
      <c r="H9" s="67"/>
      <c r="I9" s="68">
        <f t="shared" si="4"/>
        <v>0</v>
      </c>
      <c r="J9" s="68">
        <f t="shared" si="4"/>
        <v>0</v>
      </c>
      <c r="K9" s="68">
        <f t="shared" si="4"/>
        <v>1</v>
      </c>
      <c r="L9" s="46"/>
      <c r="M9" s="47">
        <v>0</v>
      </c>
      <c r="N9" s="47">
        <v>0</v>
      </c>
      <c r="O9" s="47">
        <v>1</v>
      </c>
      <c r="Q9" s="64">
        <f t="shared" si="7"/>
        <v>0</v>
      </c>
      <c r="R9" s="64">
        <f t="shared" si="5"/>
        <v>0</v>
      </c>
      <c r="S9" s="64">
        <f t="shared" si="6"/>
        <v>0</v>
      </c>
      <c r="T9" s="63"/>
      <c r="U9" s="64">
        <v>0</v>
      </c>
      <c r="V9" s="64">
        <v>0</v>
      </c>
      <c r="W9" s="64">
        <v>0</v>
      </c>
      <c r="X9" s="63"/>
      <c r="Y9" s="64">
        <v>0</v>
      </c>
      <c r="Z9" s="64">
        <v>0</v>
      </c>
      <c r="AA9" s="64">
        <v>0</v>
      </c>
      <c r="AB9" s="63"/>
      <c r="AC9" s="64">
        <v>0</v>
      </c>
      <c r="AD9" s="64">
        <v>0</v>
      </c>
      <c r="AE9" s="65">
        <v>0</v>
      </c>
    </row>
    <row r="10" spans="2:31" x14ac:dyDescent="0.2">
      <c r="C10" s="45"/>
      <c r="G10" s="46"/>
      <c r="H10" s="67"/>
      <c r="I10" s="70"/>
      <c r="J10" s="70"/>
      <c r="K10" s="70"/>
      <c r="L10" s="46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6"/>
    </row>
    <row r="11" spans="2:31" ht="17" x14ac:dyDescent="0.2">
      <c r="B11" s="44" t="s">
        <v>132</v>
      </c>
      <c r="C11" s="45" t="s">
        <v>51</v>
      </c>
      <c r="D11" s="29">
        <f>-(r_HS * hr_HS_trtC + r_HD)*n_cycle_length</f>
        <v>-0.13800000000000001</v>
      </c>
      <c r="E11" s="27">
        <f>hr_HS_trtC * r_HS*n_cycle_length</f>
        <v>0.13200000000000001</v>
      </c>
      <c r="F11" s="27">
        <f>r_HD*n_cycle_length</f>
        <v>6.0000000000000001E-3</v>
      </c>
      <c r="G11" s="46"/>
      <c r="H11" s="67" t="s">
        <v>205</v>
      </c>
      <c r="I11" s="68">
        <f t="shared" ref="I11:K13" si="8">M11+Q11+(1/FACT(2))*U11 + (1/FACT(3))*Y11+(1/FACT(4))*AC11</f>
        <v>0.87109909941399999</v>
      </c>
      <c r="J11" s="68">
        <f t="shared" si="8"/>
        <v>0.12216812625600001</v>
      </c>
      <c r="K11" s="68">
        <f t="shared" si="8"/>
        <v>6.7327743299999999E-3</v>
      </c>
      <c r="L11" s="46"/>
      <c r="M11" s="47">
        <v>1</v>
      </c>
      <c r="N11" s="47">
        <v>0</v>
      </c>
      <c r="O11" s="47">
        <v>0</v>
      </c>
      <c r="Q11" s="64">
        <f>D11</f>
        <v>-0.13800000000000001</v>
      </c>
      <c r="R11" s="64">
        <f t="shared" ref="R11:R13" si="9">E11</f>
        <v>0.13200000000000001</v>
      </c>
      <c r="S11" s="64">
        <f t="shared" ref="S11:S13" si="10">F11</f>
        <v>6.0000000000000001E-3</v>
      </c>
      <c r="T11" s="63"/>
      <c r="U11" s="64" cm="1">
        <f t="array" ref="U11:W13">MMULT(Q11:S13,Q11:S13)</f>
        <v>1.9044000000000002E-2</v>
      </c>
      <c r="V11" s="64">
        <v>-2.0592000000000003E-2</v>
      </c>
      <c r="W11" s="64">
        <v>1.5480000000000003E-3</v>
      </c>
      <c r="X11" s="63"/>
      <c r="Y11" s="64" cm="1">
        <f t="array" ref="Y11:AA13">MMULT(_xlfn.ANCHORARRAY(U11),Q11:S13)</f>
        <v>-2.6280720000000004E-3</v>
      </c>
      <c r="Z11" s="64">
        <v>2.8844640000000002E-3</v>
      </c>
      <c r="AA11" s="64">
        <v>-2.5639200000000003E-4</v>
      </c>
      <c r="AB11" s="63"/>
      <c r="AC11" s="64" cm="1">
        <f t="array" ref="AC11:AE13">MMULT(_xlfn.ANCHORARRAY(Y11),Q11:S13)</f>
        <v>3.626739360000001E-4</v>
      </c>
      <c r="AD11" s="64">
        <v>-3.9882585600000005E-4</v>
      </c>
      <c r="AE11" s="65">
        <v>3.6151920000000003E-5</v>
      </c>
    </row>
    <row r="12" spans="2:31" x14ac:dyDescent="0.2">
      <c r="B12" s="44" t="s">
        <v>132</v>
      </c>
      <c r="C12" s="45" t="s">
        <v>200</v>
      </c>
      <c r="D12" s="27">
        <v>0</v>
      </c>
      <c r="E12" s="29">
        <f>-(hr_S * r_HD)*n_cycle_length</f>
        <v>-1.8000000000000002E-2</v>
      </c>
      <c r="F12" s="27">
        <f>hr_S * r_HD*n_cycle_length</f>
        <v>1.8000000000000002E-2</v>
      </c>
      <c r="G12" s="46"/>
      <c r="H12" s="67"/>
      <c r="I12" s="68">
        <f t="shared" si="8"/>
        <v>0</v>
      </c>
      <c r="J12" s="68">
        <f t="shared" si="8"/>
        <v>0.98216103237399999</v>
      </c>
      <c r="K12" s="68">
        <f t="shared" si="8"/>
        <v>1.7838967626000003E-2</v>
      </c>
      <c r="L12" s="46"/>
      <c r="M12" s="47">
        <v>0</v>
      </c>
      <c r="N12" s="47">
        <v>1</v>
      </c>
      <c r="O12" s="47">
        <v>0</v>
      </c>
      <c r="Q12" s="64">
        <f t="shared" ref="Q12:Q13" si="11">D12</f>
        <v>0</v>
      </c>
      <c r="R12" s="64">
        <f t="shared" si="9"/>
        <v>-1.8000000000000002E-2</v>
      </c>
      <c r="S12" s="64">
        <f t="shared" si="10"/>
        <v>1.8000000000000002E-2</v>
      </c>
      <c r="T12" s="63"/>
      <c r="U12" s="64">
        <v>0</v>
      </c>
      <c r="V12" s="64">
        <v>3.2400000000000007E-4</v>
      </c>
      <c r="W12" s="64">
        <v>-3.2400000000000007E-4</v>
      </c>
      <c r="X12" s="63"/>
      <c r="Y12" s="64">
        <v>0</v>
      </c>
      <c r="Z12" s="64">
        <v>-5.8320000000000019E-6</v>
      </c>
      <c r="AA12" s="64">
        <v>5.8320000000000019E-6</v>
      </c>
      <c r="AB12" s="63"/>
      <c r="AC12" s="64">
        <v>0</v>
      </c>
      <c r="AD12" s="64">
        <v>1.0497600000000005E-7</v>
      </c>
      <c r="AE12" s="65">
        <v>-1.0497600000000005E-7</v>
      </c>
    </row>
    <row r="13" spans="2:31" x14ac:dyDescent="0.2">
      <c r="B13" s="44" t="s">
        <v>132</v>
      </c>
      <c r="C13" s="45" t="s">
        <v>60</v>
      </c>
      <c r="D13" s="27">
        <v>0</v>
      </c>
      <c r="E13" s="27">
        <v>0</v>
      </c>
      <c r="F13" s="29">
        <v>0</v>
      </c>
      <c r="G13" s="46"/>
      <c r="H13" s="67"/>
      <c r="I13" s="68">
        <f t="shared" si="8"/>
        <v>0</v>
      </c>
      <c r="J13" s="68">
        <f t="shared" si="8"/>
        <v>0</v>
      </c>
      <c r="K13" s="68">
        <f t="shared" si="8"/>
        <v>1</v>
      </c>
      <c r="L13" s="46"/>
      <c r="M13" s="47">
        <v>0</v>
      </c>
      <c r="N13" s="47">
        <v>0</v>
      </c>
      <c r="O13" s="47">
        <v>1</v>
      </c>
      <c r="Q13" s="64">
        <f t="shared" si="11"/>
        <v>0</v>
      </c>
      <c r="R13" s="64">
        <f t="shared" si="9"/>
        <v>0</v>
      </c>
      <c r="S13" s="64">
        <f t="shared" si="10"/>
        <v>0</v>
      </c>
      <c r="T13" s="63"/>
      <c r="U13" s="64">
        <v>0</v>
      </c>
      <c r="V13" s="64">
        <v>0</v>
      </c>
      <c r="W13" s="64">
        <v>0</v>
      </c>
      <c r="X13" s="63"/>
      <c r="Y13" s="64">
        <v>0</v>
      </c>
      <c r="Z13" s="64">
        <v>0</v>
      </c>
      <c r="AA13" s="64">
        <v>0</v>
      </c>
      <c r="AB13" s="63"/>
      <c r="AC13" s="64">
        <v>0</v>
      </c>
      <c r="AD13" s="64">
        <v>0</v>
      </c>
      <c r="AE13" s="65">
        <v>0</v>
      </c>
    </row>
    <row r="14" spans="2:31" x14ac:dyDescent="0.2">
      <c r="C14" s="44"/>
      <c r="G14" s="46"/>
      <c r="H14" s="67"/>
      <c r="I14" s="70"/>
      <c r="J14" s="70"/>
      <c r="K14" s="70"/>
      <c r="L14" s="46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6"/>
    </row>
    <row r="15" spans="2:31" ht="17" x14ac:dyDescent="0.2">
      <c r="B15" s="44" t="s">
        <v>151</v>
      </c>
      <c r="C15" s="45" t="s">
        <v>51</v>
      </c>
      <c r="D15" s="29">
        <f>-(r_HS * hr_HS_trtD + r_HD)*n_cycle_length</f>
        <v>-0.14400000000000002</v>
      </c>
      <c r="E15" s="27">
        <f>hr_HS_trtD * r_HS*n_cycle_length</f>
        <v>0.13800000000000001</v>
      </c>
      <c r="F15" s="27">
        <f>r_HD*n_cycle_length</f>
        <v>6.0000000000000001E-3</v>
      </c>
      <c r="G15" s="46"/>
      <c r="H15" s="67" t="s">
        <v>203</v>
      </c>
      <c r="I15" s="68">
        <f t="shared" ref="I15:K17" si="12">M15+Q15+(1/FACT(2))*U15 + (1/FACT(3))*Y15+(1/FACT(4))*AC15</f>
        <v>0.86588825190400009</v>
      </c>
      <c r="J15" s="68">
        <f t="shared" si="12"/>
        <v>0.12734637861000001</v>
      </c>
      <c r="K15" s="68">
        <f t="shared" si="12"/>
        <v>6.765369486E-3</v>
      </c>
      <c r="L15" s="46"/>
      <c r="M15" s="47">
        <v>1</v>
      </c>
      <c r="N15" s="47">
        <v>0</v>
      </c>
      <c r="O15" s="47">
        <v>0</v>
      </c>
      <c r="Q15" s="64">
        <f>D15</f>
        <v>-0.14400000000000002</v>
      </c>
      <c r="R15" s="64">
        <f t="shared" ref="R15:R17" si="13">E15</f>
        <v>0.13800000000000001</v>
      </c>
      <c r="S15" s="64">
        <f t="shared" ref="S15:S17" si="14">F15</f>
        <v>6.0000000000000001E-3</v>
      </c>
      <c r="T15" s="63"/>
      <c r="U15" s="64" cm="1">
        <f t="array" ref="U15:W17">MMULT(Q15:S17,Q15:S17)</f>
        <v>2.0736000000000004E-2</v>
      </c>
      <c r="V15" s="64">
        <v>-2.2356000000000004E-2</v>
      </c>
      <c r="W15" s="64">
        <v>1.6200000000000003E-3</v>
      </c>
      <c r="X15" s="63"/>
      <c r="Y15" s="64" cm="1">
        <f t="array" ref="Y15:AA17">MMULT(_xlfn.ANCHORARRAY(U15),Q15:S17)</f>
        <v>-2.985984000000001E-3</v>
      </c>
      <c r="Z15" s="64">
        <v>3.2639760000000009E-3</v>
      </c>
      <c r="AA15" s="64">
        <v>-2.7799200000000013E-4</v>
      </c>
      <c r="AB15" s="63"/>
      <c r="AC15" s="64" cm="1">
        <f t="array" ref="AC15:AE17">MMULT(_xlfn.ANCHORARRAY(Y15),Q15:S17)</f>
        <v>4.2998169600000022E-4</v>
      </c>
      <c r="AD15" s="64">
        <v>-4.7081736000000019E-4</v>
      </c>
      <c r="AE15" s="65">
        <v>4.0835664000000014E-5</v>
      </c>
    </row>
    <row r="16" spans="2:31" x14ac:dyDescent="0.2">
      <c r="B16" s="44" t="s">
        <v>151</v>
      </c>
      <c r="C16" s="45" t="s">
        <v>200</v>
      </c>
      <c r="D16" s="27">
        <v>0</v>
      </c>
      <c r="E16" s="29">
        <f>-(hr_S * r_HD)*n_cycle_length</f>
        <v>-1.8000000000000002E-2</v>
      </c>
      <c r="F16" s="27">
        <f>hr_S * r_HD*n_cycle_length</f>
        <v>1.8000000000000002E-2</v>
      </c>
      <c r="G16" s="46"/>
      <c r="H16" s="67"/>
      <c r="I16" s="68">
        <f t="shared" si="12"/>
        <v>0</v>
      </c>
      <c r="J16" s="68">
        <f t="shared" si="12"/>
        <v>0.98216103237399999</v>
      </c>
      <c r="K16" s="68">
        <f t="shared" si="12"/>
        <v>1.7838967626000003E-2</v>
      </c>
      <c r="L16" s="46"/>
      <c r="M16" s="47">
        <v>0</v>
      </c>
      <c r="N16" s="47">
        <v>1</v>
      </c>
      <c r="O16" s="47">
        <v>0</v>
      </c>
      <c r="Q16" s="64">
        <f t="shared" ref="Q16:Q17" si="15">D16</f>
        <v>0</v>
      </c>
      <c r="R16" s="64">
        <f t="shared" si="13"/>
        <v>-1.8000000000000002E-2</v>
      </c>
      <c r="S16" s="64">
        <f t="shared" si="14"/>
        <v>1.8000000000000002E-2</v>
      </c>
      <c r="T16" s="63"/>
      <c r="U16" s="64">
        <v>0</v>
      </c>
      <c r="V16" s="64">
        <v>3.2400000000000007E-4</v>
      </c>
      <c r="W16" s="64">
        <v>-3.2400000000000007E-4</v>
      </c>
      <c r="X16" s="63"/>
      <c r="Y16" s="64">
        <v>0</v>
      </c>
      <c r="Z16" s="64">
        <v>-5.8320000000000019E-6</v>
      </c>
      <c r="AA16" s="64">
        <v>5.8320000000000019E-6</v>
      </c>
      <c r="AB16" s="63"/>
      <c r="AC16" s="64">
        <v>0</v>
      </c>
      <c r="AD16" s="64">
        <v>1.0497600000000005E-7</v>
      </c>
      <c r="AE16" s="65">
        <v>-1.0497600000000005E-7</v>
      </c>
    </row>
    <row r="17" spans="2:31" x14ac:dyDescent="0.2">
      <c r="B17" s="44" t="s">
        <v>151</v>
      </c>
      <c r="C17" s="45" t="s">
        <v>60</v>
      </c>
      <c r="D17" s="27">
        <v>0</v>
      </c>
      <c r="E17" s="27">
        <v>0</v>
      </c>
      <c r="F17" s="29">
        <v>0</v>
      </c>
      <c r="G17" s="46"/>
      <c r="H17" s="67"/>
      <c r="I17" s="68">
        <f t="shared" si="12"/>
        <v>0</v>
      </c>
      <c r="J17" s="68">
        <f t="shared" si="12"/>
        <v>0</v>
      </c>
      <c r="K17" s="68">
        <f t="shared" si="12"/>
        <v>1</v>
      </c>
      <c r="L17" s="46"/>
      <c r="M17" s="47">
        <v>0</v>
      </c>
      <c r="N17" s="47">
        <v>0</v>
      </c>
      <c r="O17" s="47">
        <v>1</v>
      </c>
      <c r="Q17" s="64">
        <f t="shared" si="15"/>
        <v>0</v>
      </c>
      <c r="R17" s="64">
        <f t="shared" si="13"/>
        <v>0</v>
      </c>
      <c r="S17" s="64">
        <f t="shared" si="14"/>
        <v>0</v>
      </c>
      <c r="T17" s="63"/>
      <c r="U17" s="64">
        <v>0</v>
      </c>
      <c r="V17" s="64">
        <v>0</v>
      </c>
      <c r="W17" s="64">
        <v>0</v>
      </c>
      <c r="X17" s="63"/>
      <c r="Y17" s="64">
        <v>0</v>
      </c>
      <c r="Z17" s="64">
        <v>0</v>
      </c>
      <c r="AA17" s="64">
        <v>0</v>
      </c>
      <c r="AB17" s="63"/>
      <c r="AC17" s="64">
        <v>0</v>
      </c>
      <c r="AD17" s="64">
        <v>0</v>
      </c>
      <c r="AE17" s="65">
        <v>0</v>
      </c>
    </row>
    <row r="18" spans="2:31" x14ac:dyDescent="0.2">
      <c r="H18" s="71"/>
      <c r="I18" s="70"/>
      <c r="J18" s="70"/>
      <c r="K18" s="70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6"/>
    </row>
    <row r="19" spans="2:31" ht="17" x14ac:dyDescent="0.2">
      <c r="B19" s="44" t="s">
        <v>183</v>
      </c>
      <c r="C19" s="45" t="s">
        <v>51</v>
      </c>
      <c r="D19" s="29">
        <f>-(r_HS * hr_HS_trtE + r_HD)*n_cycle_length</f>
        <v>-0.14400000000000002</v>
      </c>
      <c r="E19" s="27">
        <f>hr_HS_trtE * r_HS*n_cycle_length</f>
        <v>0.13800000000000001</v>
      </c>
      <c r="F19" s="27">
        <f>r_HD*n_cycle_length</f>
        <v>6.0000000000000001E-3</v>
      </c>
      <c r="G19" s="46"/>
      <c r="H19" s="67" t="s">
        <v>204</v>
      </c>
      <c r="I19" s="68">
        <f t="shared" ref="I19:K21" si="16">M19+Q19+(1/FACT(2))*U19 + (1/FACT(3))*Y19+(1/FACT(4))*AC19</f>
        <v>0.86588825190400009</v>
      </c>
      <c r="J19" s="68">
        <f t="shared" si="16"/>
        <v>0.12734637861000001</v>
      </c>
      <c r="K19" s="68">
        <f t="shared" si="16"/>
        <v>6.765369486E-3</v>
      </c>
      <c r="L19" s="46"/>
      <c r="M19" s="47">
        <v>1</v>
      </c>
      <c r="N19" s="47">
        <v>0</v>
      </c>
      <c r="O19" s="47">
        <v>0</v>
      </c>
      <c r="Q19" s="64">
        <f>D19</f>
        <v>-0.14400000000000002</v>
      </c>
      <c r="R19" s="64">
        <f t="shared" ref="R19:R21" si="17">E19</f>
        <v>0.13800000000000001</v>
      </c>
      <c r="S19" s="64">
        <f t="shared" ref="S19:S21" si="18">F19</f>
        <v>6.0000000000000001E-3</v>
      </c>
      <c r="T19" s="63"/>
      <c r="U19" s="64" cm="1">
        <f t="array" ref="U19:W21">MMULT(Q19:S21,Q19:S21)</f>
        <v>2.0736000000000004E-2</v>
      </c>
      <c r="V19" s="64">
        <v>-2.2356000000000004E-2</v>
      </c>
      <c r="W19" s="64">
        <v>1.6200000000000003E-3</v>
      </c>
      <c r="X19" s="63"/>
      <c r="Y19" s="64" cm="1">
        <f t="array" ref="Y19:AA21">MMULT(_xlfn.ANCHORARRAY(U19),Q19:S21)</f>
        <v>-2.985984000000001E-3</v>
      </c>
      <c r="Z19" s="64">
        <v>3.2639760000000009E-3</v>
      </c>
      <c r="AA19" s="64">
        <v>-2.7799200000000013E-4</v>
      </c>
      <c r="AB19" s="63"/>
      <c r="AC19" s="64" cm="1">
        <f t="array" ref="AC19:AE21">MMULT(_xlfn.ANCHORARRAY(Y19),Q19:S21)</f>
        <v>4.2998169600000022E-4</v>
      </c>
      <c r="AD19" s="64">
        <v>-4.7081736000000019E-4</v>
      </c>
      <c r="AE19" s="65">
        <v>4.0835664000000014E-5</v>
      </c>
    </row>
    <row r="20" spans="2:31" x14ac:dyDescent="0.2">
      <c r="B20" s="44" t="s">
        <v>183</v>
      </c>
      <c r="C20" s="45" t="s">
        <v>200</v>
      </c>
      <c r="D20" s="27">
        <v>0</v>
      </c>
      <c r="E20" s="29">
        <f>-(hr_S * r_HD)*n_cycle_length</f>
        <v>-1.8000000000000002E-2</v>
      </c>
      <c r="F20" s="27">
        <f>hr_S * r_HD*n_cycle_length</f>
        <v>1.8000000000000002E-2</v>
      </c>
      <c r="G20" s="46"/>
      <c r="H20" s="67"/>
      <c r="I20" s="68">
        <f t="shared" si="16"/>
        <v>0</v>
      </c>
      <c r="J20" s="68">
        <f t="shared" si="16"/>
        <v>0.98216103237399999</v>
      </c>
      <c r="K20" s="68">
        <f t="shared" si="16"/>
        <v>1.7838967626000003E-2</v>
      </c>
      <c r="L20" s="46"/>
      <c r="M20" s="47">
        <v>0</v>
      </c>
      <c r="N20" s="47">
        <v>1</v>
      </c>
      <c r="O20" s="47">
        <v>0</v>
      </c>
      <c r="Q20" s="64">
        <f t="shared" ref="Q20:Q21" si="19">D20</f>
        <v>0</v>
      </c>
      <c r="R20" s="64">
        <f t="shared" si="17"/>
        <v>-1.8000000000000002E-2</v>
      </c>
      <c r="S20" s="64">
        <f t="shared" si="18"/>
        <v>1.8000000000000002E-2</v>
      </c>
      <c r="T20" s="63"/>
      <c r="U20" s="64">
        <v>0</v>
      </c>
      <c r="V20" s="64">
        <v>3.2400000000000007E-4</v>
      </c>
      <c r="W20" s="64">
        <v>-3.2400000000000007E-4</v>
      </c>
      <c r="X20" s="63"/>
      <c r="Y20" s="64">
        <v>0</v>
      </c>
      <c r="Z20" s="64">
        <v>-5.8320000000000019E-6</v>
      </c>
      <c r="AA20" s="64">
        <v>5.8320000000000019E-6</v>
      </c>
      <c r="AB20" s="63"/>
      <c r="AC20" s="64">
        <v>0</v>
      </c>
      <c r="AD20" s="64">
        <v>1.0497600000000005E-7</v>
      </c>
      <c r="AE20" s="65">
        <v>-1.0497600000000005E-7</v>
      </c>
    </row>
    <row r="21" spans="2:31" x14ac:dyDescent="0.2">
      <c r="B21" s="44" t="s">
        <v>183</v>
      </c>
      <c r="C21" s="45" t="s">
        <v>60</v>
      </c>
      <c r="D21" s="27">
        <v>0</v>
      </c>
      <c r="E21" s="27">
        <v>0</v>
      </c>
      <c r="F21" s="29">
        <f>0</f>
        <v>0</v>
      </c>
      <c r="G21" s="46"/>
      <c r="H21" s="67"/>
      <c r="I21" s="68">
        <f t="shared" si="16"/>
        <v>0</v>
      </c>
      <c r="J21" s="68">
        <f t="shared" si="16"/>
        <v>0</v>
      </c>
      <c r="K21" s="68">
        <f t="shared" si="16"/>
        <v>1</v>
      </c>
      <c r="L21" s="46"/>
      <c r="M21" s="47">
        <v>0</v>
      </c>
      <c r="N21" s="47">
        <v>0</v>
      </c>
      <c r="O21" s="47">
        <v>1</v>
      </c>
      <c r="Q21" s="64">
        <f t="shared" si="19"/>
        <v>0</v>
      </c>
      <c r="R21" s="64">
        <f t="shared" si="17"/>
        <v>0</v>
      </c>
      <c r="S21" s="64">
        <f t="shared" si="18"/>
        <v>0</v>
      </c>
      <c r="T21" s="63"/>
      <c r="U21" s="64">
        <v>0</v>
      </c>
      <c r="V21" s="64">
        <v>0</v>
      </c>
      <c r="W21" s="64">
        <v>0</v>
      </c>
      <c r="X21" s="63"/>
      <c r="Y21" s="64">
        <v>0</v>
      </c>
      <c r="Z21" s="64">
        <v>0</v>
      </c>
      <c r="AA21" s="64">
        <v>0</v>
      </c>
      <c r="AB21" s="63"/>
      <c r="AC21" s="64">
        <v>0</v>
      </c>
      <c r="AD21" s="64">
        <v>0</v>
      </c>
      <c r="AE21" s="65">
        <v>0</v>
      </c>
    </row>
  </sheetData>
  <mergeCells count="2">
    <mergeCell ref="C1:F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5F6C-E0BF-F647-B116-9772CB6F7E24}">
  <dimension ref="B1:L21"/>
  <sheetViews>
    <sheetView zoomScale="166" zoomScaleNormal="166" workbookViewId="0">
      <selection activeCell="J4" sqref="J4"/>
    </sheetView>
  </sheetViews>
  <sheetFormatPr baseColWidth="10" defaultRowHeight="16" x14ac:dyDescent="0.2"/>
  <cols>
    <col min="1" max="2" width="10.83203125" style="2"/>
    <col min="3" max="3" width="15.83203125" style="2" customWidth="1"/>
    <col min="4" max="6" width="12" style="39" customWidth="1"/>
    <col min="7" max="7" width="3.83203125" style="39" customWidth="1"/>
    <col min="8" max="8" width="12.1640625" style="39" customWidth="1"/>
    <col min="9" max="11" width="14.5" style="2" customWidth="1"/>
    <col min="12" max="12" width="3.83203125" style="39" customWidth="1"/>
    <col min="13" max="16384" width="10.83203125" style="2"/>
  </cols>
  <sheetData>
    <row r="1" spans="2:12" ht="37" customHeight="1" x14ac:dyDescent="0.2">
      <c r="C1" s="77" t="s">
        <v>201</v>
      </c>
      <c r="D1" s="77"/>
      <c r="E1" s="77"/>
      <c r="F1" s="77"/>
      <c r="I1" s="78" t="s">
        <v>194</v>
      </c>
      <c r="J1" s="78"/>
      <c r="K1" s="78"/>
    </row>
    <row r="2" spans="2:12" ht="17" x14ac:dyDescent="0.2">
      <c r="B2" s="40" t="s">
        <v>44</v>
      </c>
      <c r="C2" s="40" t="s">
        <v>80</v>
      </c>
      <c r="D2" s="49" t="s">
        <v>51</v>
      </c>
      <c r="E2" s="50" t="s">
        <v>56</v>
      </c>
      <c r="F2" s="50" t="s">
        <v>60</v>
      </c>
      <c r="G2" s="42"/>
      <c r="H2" s="42"/>
      <c r="I2" s="41" t="s">
        <v>51</v>
      </c>
      <c r="J2" s="42" t="s">
        <v>56</v>
      </c>
      <c r="K2" s="42" t="s">
        <v>60</v>
      </c>
      <c r="L2" s="42"/>
    </row>
    <row r="3" spans="2:12" ht="17" x14ac:dyDescent="0.2">
      <c r="B3" s="44" t="s">
        <v>52</v>
      </c>
      <c r="C3" s="45" t="s">
        <v>51</v>
      </c>
      <c r="D3" s="29">
        <f>-(r_HS + r_HD)</f>
        <v>-0.156</v>
      </c>
      <c r="E3" s="27">
        <f>r_HS</f>
        <v>0.15</v>
      </c>
      <c r="F3" s="27">
        <f>r_HD</f>
        <v>6.0000000000000001E-3</v>
      </c>
      <c r="G3" s="46"/>
      <c r="H3" s="67" t="s">
        <v>202</v>
      </c>
      <c r="I3" s="68">
        <f>EXP(-(E3+F3)*n_cycle_length)</f>
        <v>0.85555919037101846</v>
      </c>
      <c r="J3" s="68">
        <f>(E3/(E3+F3))*(1-EXP(-(E3+F3)*n_cycle_length))</f>
        <v>0.13888539387402069</v>
      </c>
      <c r="K3" s="68">
        <f>(F3/(E3+F3))*(1-EXP(-(E3+F3)*n_cycle_length))</f>
        <v>5.5554157549608284E-3</v>
      </c>
      <c r="L3" s="46"/>
    </row>
    <row r="4" spans="2:12" x14ac:dyDescent="0.2">
      <c r="B4" s="44" t="s">
        <v>52</v>
      </c>
      <c r="C4" s="45" t="s">
        <v>56</v>
      </c>
      <c r="D4" s="27">
        <v>0</v>
      </c>
      <c r="E4" s="29">
        <f>-(hr_S * r_HD)</f>
        <v>-1.8000000000000002E-2</v>
      </c>
      <c r="F4" s="27">
        <f>hr_S * r_HD</f>
        <v>1.8000000000000002E-2</v>
      </c>
      <c r="G4" s="46"/>
      <c r="H4" s="67"/>
      <c r="I4" s="68">
        <v>0</v>
      </c>
      <c r="J4" s="68">
        <f>EXP(-F4*n_cycle_length)</f>
        <v>0.98216103235830077</v>
      </c>
      <c r="K4" s="68">
        <f>1-EXP(-F4*n_cycle_length)</f>
        <v>1.7838967641699233E-2</v>
      </c>
      <c r="L4" s="46"/>
    </row>
    <row r="5" spans="2:12" x14ac:dyDescent="0.2">
      <c r="B5" s="44" t="s">
        <v>52</v>
      </c>
      <c r="C5" s="45" t="s">
        <v>60</v>
      </c>
      <c r="D5" s="27">
        <v>0</v>
      </c>
      <c r="E5" s="27">
        <v>0</v>
      </c>
      <c r="F5" s="29">
        <v>0</v>
      </c>
      <c r="G5" s="46"/>
      <c r="H5" s="67"/>
      <c r="I5" s="68">
        <v>0</v>
      </c>
      <c r="J5" s="68">
        <v>0</v>
      </c>
      <c r="K5" s="68">
        <v>1</v>
      </c>
      <c r="L5" s="46"/>
    </row>
    <row r="6" spans="2:12" x14ac:dyDescent="0.2">
      <c r="B6" s="48"/>
      <c r="C6" s="48"/>
      <c r="D6" s="50"/>
      <c r="E6" s="50"/>
      <c r="F6" s="50"/>
      <c r="G6" s="42"/>
      <c r="H6" s="69"/>
      <c r="I6" s="70"/>
      <c r="J6" s="70"/>
      <c r="K6" s="70"/>
      <c r="L6" s="42"/>
    </row>
    <row r="7" spans="2:12" ht="17" x14ac:dyDescent="0.2">
      <c r="B7" s="44" t="s">
        <v>63</v>
      </c>
      <c r="C7" s="45" t="s">
        <v>51</v>
      </c>
      <c r="D7" s="29">
        <f>-(r_HS * hr_HS_trtB + r_HD)</f>
        <v>-0.15</v>
      </c>
      <c r="E7" s="27">
        <f>hr_HS_trtB * r_HS</f>
        <v>0.14399999999999999</v>
      </c>
      <c r="F7" s="27">
        <f>r_HD</f>
        <v>6.0000000000000001E-3</v>
      </c>
      <c r="G7" s="46"/>
      <c r="H7" s="67" t="s">
        <v>206</v>
      </c>
      <c r="I7" s="68">
        <f>EXP(-(E7+F7)*n_cycle_length)</f>
        <v>0.86070797642505781</v>
      </c>
      <c r="J7" s="68">
        <f>(E7/(E7+F7))*(1-EXP(-(E7+F7)*n_cycle_length))</f>
        <v>0.13372034263194449</v>
      </c>
      <c r="K7" s="68">
        <f>(F7/(E7+F7))*(1-EXP(-(E7+F7)*n_cycle_length))</f>
        <v>5.5716809429976876E-3</v>
      </c>
      <c r="L7" s="46"/>
    </row>
    <row r="8" spans="2:12" x14ac:dyDescent="0.2">
      <c r="B8" s="44" t="s">
        <v>63</v>
      </c>
      <c r="C8" s="45" t="s">
        <v>200</v>
      </c>
      <c r="D8" s="27">
        <v>0</v>
      </c>
      <c r="E8" s="29">
        <f>-(hr_S * r_HD)</f>
        <v>-1.8000000000000002E-2</v>
      </c>
      <c r="F8" s="27">
        <f>hr_S * r_HD</f>
        <v>1.8000000000000002E-2</v>
      </c>
      <c r="G8" s="46"/>
      <c r="H8" s="67"/>
      <c r="I8" s="68">
        <v>0</v>
      </c>
      <c r="J8" s="68">
        <f>EXP(-F8*n_cycle_length)</f>
        <v>0.98216103235830077</v>
      </c>
      <c r="K8" s="68">
        <f>1-EXP(-F8*n_cycle_length)</f>
        <v>1.7838967641699233E-2</v>
      </c>
      <c r="L8" s="46"/>
    </row>
    <row r="9" spans="2:12" x14ac:dyDescent="0.2">
      <c r="B9" s="44" t="s">
        <v>63</v>
      </c>
      <c r="C9" s="45" t="s">
        <v>60</v>
      </c>
      <c r="D9" s="27">
        <v>0</v>
      </c>
      <c r="E9" s="27">
        <v>0</v>
      </c>
      <c r="F9" s="29">
        <v>0</v>
      </c>
      <c r="G9" s="46"/>
      <c r="H9" s="67"/>
      <c r="I9" s="68">
        <v>0</v>
      </c>
      <c r="J9" s="68">
        <v>0</v>
      </c>
      <c r="K9" s="68">
        <v>1</v>
      </c>
      <c r="L9" s="46"/>
    </row>
    <row r="10" spans="2:12" x14ac:dyDescent="0.2">
      <c r="C10" s="45"/>
      <c r="G10" s="46"/>
      <c r="H10" s="67"/>
      <c r="I10" s="70"/>
      <c r="J10" s="70"/>
      <c r="K10" s="70"/>
      <c r="L10" s="46"/>
    </row>
    <row r="11" spans="2:12" ht="17" x14ac:dyDescent="0.2">
      <c r="B11" s="44" t="s">
        <v>132</v>
      </c>
      <c r="C11" s="45" t="s">
        <v>51</v>
      </c>
      <c r="D11" s="29">
        <f>-(r_HS * hr_HS_trtC + r_HD)</f>
        <v>-0.13800000000000001</v>
      </c>
      <c r="E11" s="27">
        <f>hr_HS_trtC * r_HS</f>
        <v>0.13200000000000001</v>
      </c>
      <c r="F11" s="27">
        <f>r_HD</f>
        <v>6.0000000000000001E-3</v>
      </c>
      <c r="G11" s="46"/>
      <c r="H11" s="67" t="s">
        <v>205</v>
      </c>
      <c r="I11" s="68">
        <f>EXP(-(E11+F11)*n_cycle_length)</f>
        <v>0.87109869174579835</v>
      </c>
      <c r="J11" s="68">
        <f>(E11/(E11+F11))*(1-EXP(-(E11+F11)*n_cycle_length))</f>
        <v>0.12329690354749723</v>
      </c>
      <c r="K11" s="68">
        <f>(F11/(E11+F11))*(1-EXP(-(E11+F11)*n_cycle_length))</f>
        <v>5.6044047067044193E-3</v>
      </c>
      <c r="L11" s="46"/>
    </row>
    <row r="12" spans="2:12" x14ac:dyDescent="0.2">
      <c r="B12" s="44" t="s">
        <v>132</v>
      </c>
      <c r="C12" s="45" t="s">
        <v>200</v>
      </c>
      <c r="D12" s="27">
        <v>0</v>
      </c>
      <c r="E12" s="29">
        <f>-(hr_S * r_HD)</f>
        <v>-1.8000000000000002E-2</v>
      </c>
      <c r="F12" s="27">
        <f>hr_S * r_HD</f>
        <v>1.8000000000000002E-2</v>
      </c>
      <c r="G12" s="46"/>
      <c r="H12" s="67"/>
      <c r="I12" s="68">
        <v>0</v>
      </c>
      <c r="J12" s="68">
        <f>EXP(-F12*n_cycle_length)</f>
        <v>0.98216103235830077</v>
      </c>
      <c r="K12" s="68">
        <f>1-EXP(-F12*n_cycle_length)</f>
        <v>1.7838967641699233E-2</v>
      </c>
      <c r="L12" s="46"/>
    </row>
    <row r="13" spans="2:12" x14ac:dyDescent="0.2">
      <c r="B13" s="44" t="s">
        <v>132</v>
      </c>
      <c r="C13" s="45" t="s">
        <v>60</v>
      </c>
      <c r="D13" s="27">
        <v>0</v>
      </c>
      <c r="E13" s="27">
        <v>0</v>
      </c>
      <c r="F13" s="29">
        <v>0</v>
      </c>
      <c r="G13" s="46"/>
      <c r="H13" s="67"/>
      <c r="I13" s="68">
        <v>0</v>
      </c>
      <c r="J13" s="68">
        <v>0</v>
      </c>
      <c r="K13" s="68">
        <v>1</v>
      </c>
      <c r="L13" s="46"/>
    </row>
    <row r="14" spans="2:12" x14ac:dyDescent="0.2">
      <c r="C14" s="44"/>
      <c r="G14" s="46"/>
      <c r="H14" s="67"/>
      <c r="I14" s="70"/>
      <c r="J14" s="70"/>
      <c r="K14" s="70"/>
      <c r="L14" s="46"/>
    </row>
    <row r="15" spans="2:12" ht="17" x14ac:dyDescent="0.2">
      <c r="B15" s="44" t="s">
        <v>151</v>
      </c>
      <c r="C15" s="45" t="s">
        <v>51</v>
      </c>
      <c r="D15" s="29">
        <f>-(r_HS * hr_HS_trtD + r_HD)</f>
        <v>-0.14400000000000002</v>
      </c>
      <c r="E15" s="27">
        <f>hr_HS_trtD * r_HS</f>
        <v>0.13800000000000001</v>
      </c>
      <c r="F15" s="27">
        <f>r_HD</f>
        <v>6.0000000000000001E-3</v>
      </c>
      <c r="G15" s="46"/>
      <c r="H15" s="67" t="s">
        <v>203</v>
      </c>
      <c r="I15" s="68">
        <f>EXP(-(E15+F15)*n_cycle_length)</f>
        <v>0.86588774805920499</v>
      </c>
      <c r="J15" s="68">
        <f>(E15/(E15+F15))*(1-EXP(-(E15+F15)*n_cycle_length))</f>
        <v>0.12852424144326188</v>
      </c>
      <c r="K15" s="68">
        <f>(F15/(E15+F15))*(1-EXP(-(E15+F15)*n_cycle_length))</f>
        <v>5.588010497533125E-3</v>
      </c>
      <c r="L15" s="46"/>
    </row>
    <row r="16" spans="2:12" x14ac:dyDescent="0.2">
      <c r="B16" s="44" t="s">
        <v>151</v>
      </c>
      <c r="C16" s="45" t="s">
        <v>200</v>
      </c>
      <c r="D16" s="27">
        <v>0</v>
      </c>
      <c r="E16" s="29">
        <f>-(hr_S * r_HD)</f>
        <v>-1.8000000000000002E-2</v>
      </c>
      <c r="F16" s="27">
        <f>hr_S * r_HD</f>
        <v>1.8000000000000002E-2</v>
      </c>
      <c r="G16" s="46"/>
      <c r="H16" s="67"/>
      <c r="I16" s="68">
        <v>0</v>
      </c>
      <c r="J16" s="68">
        <f>EXP(-F16*n_cycle_length)</f>
        <v>0.98216103235830077</v>
      </c>
      <c r="K16" s="68">
        <f>1-EXP(-F16*n_cycle_length)</f>
        <v>1.7838967641699233E-2</v>
      </c>
      <c r="L16" s="46"/>
    </row>
    <row r="17" spans="2:12" x14ac:dyDescent="0.2">
      <c r="B17" s="44" t="s">
        <v>151</v>
      </c>
      <c r="C17" s="45" t="s">
        <v>60</v>
      </c>
      <c r="D17" s="27">
        <v>0</v>
      </c>
      <c r="E17" s="27">
        <v>0</v>
      </c>
      <c r="F17" s="29">
        <v>0</v>
      </c>
      <c r="G17" s="46"/>
      <c r="H17" s="67"/>
      <c r="I17" s="68">
        <v>0</v>
      </c>
      <c r="J17" s="68">
        <v>0</v>
      </c>
      <c r="K17" s="68">
        <v>1</v>
      </c>
      <c r="L17" s="46"/>
    </row>
    <row r="18" spans="2:12" x14ac:dyDescent="0.2">
      <c r="H18" s="71"/>
      <c r="I18" s="70"/>
      <c r="J18" s="70"/>
      <c r="K18" s="70"/>
    </row>
    <row r="19" spans="2:12" ht="17" x14ac:dyDescent="0.2">
      <c r="B19" s="44" t="s">
        <v>183</v>
      </c>
      <c r="C19" s="45" t="s">
        <v>51</v>
      </c>
      <c r="D19" s="29">
        <f>-(r_HS * hr_HS_trtE + r_HD)</f>
        <v>-0.14400000000000002</v>
      </c>
      <c r="E19" s="27">
        <f>hr_HS_trtE * r_HS</f>
        <v>0.13800000000000001</v>
      </c>
      <c r="F19" s="27">
        <f>r_HD</f>
        <v>6.0000000000000001E-3</v>
      </c>
      <c r="G19" s="46"/>
      <c r="H19" s="67" t="s">
        <v>204</v>
      </c>
      <c r="I19" s="68">
        <f>EXP(-(E19+F19)*n_cycle_length)</f>
        <v>0.86588774805920499</v>
      </c>
      <c r="J19" s="68">
        <f>(E19/(E19+F19))*(1-EXP(-(E19+F19)*n_cycle_length))</f>
        <v>0.12852424144326188</v>
      </c>
      <c r="K19" s="68">
        <f>(F19/(E19+F19))*(1-EXP(-(E19+F19)*n_cycle_length))</f>
        <v>5.588010497533125E-3</v>
      </c>
      <c r="L19" s="46"/>
    </row>
    <row r="20" spans="2:12" x14ac:dyDescent="0.2">
      <c r="B20" s="44" t="s">
        <v>183</v>
      </c>
      <c r="C20" s="45" t="s">
        <v>200</v>
      </c>
      <c r="D20" s="27">
        <v>0</v>
      </c>
      <c r="E20" s="29">
        <f>-(hr_S * r_HD)</f>
        <v>-1.8000000000000002E-2</v>
      </c>
      <c r="F20" s="27">
        <f>hr_S * r_HD</f>
        <v>1.8000000000000002E-2</v>
      </c>
      <c r="G20" s="46"/>
      <c r="H20" s="67"/>
      <c r="I20" s="68">
        <v>0</v>
      </c>
      <c r="J20" s="68">
        <f>EXP(-F20*n_cycle_length)</f>
        <v>0.98216103235830077</v>
      </c>
      <c r="K20" s="68">
        <f>1-EXP(-F20*n_cycle_length)</f>
        <v>1.7838967641699233E-2</v>
      </c>
      <c r="L20" s="46"/>
    </row>
    <row r="21" spans="2:12" x14ac:dyDescent="0.2">
      <c r="B21" s="44" t="s">
        <v>183</v>
      </c>
      <c r="C21" s="45" t="s">
        <v>60</v>
      </c>
      <c r="D21" s="27">
        <v>0</v>
      </c>
      <c r="E21" s="27">
        <v>0</v>
      </c>
      <c r="F21" s="29">
        <f>0</f>
        <v>0</v>
      </c>
      <c r="G21" s="46"/>
      <c r="H21" s="67"/>
      <c r="I21" s="68">
        <v>0</v>
      </c>
      <c r="J21" s="68">
        <v>0</v>
      </c>
      <c r="K21" s="68">
        <v>1</v>
      </c>
      <c r="L21" s="46"/>
    </row>
  </sheetData>
  <mergeCells count="2">
    <mergeCell ref="C1:F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0640-7836-2047-863B-193E72D29C49}">
  <dimension ref="A1:M23"/>
  <sheetViews>
    <sheetView zoomScale="136" zoomScaleNormal="136" workbookViewId="0">
      <selection activeCell="C3" sqref="C3"/>
    </sheetView>
  </sheetViews>
  <sheetFormatPr baseColWidth="10" defaultRowHeight="16" x14ac:dyDescent="0.2"/>
  <cols>
    <col min="1" max="1" width="10.83203125" style="2"/>
    <col min="2" max="2" width="37.33203125" style="2" customWidth="1"/>
    <col min="3" max="16384" width="10.83203125" style="2"/>
  </cols>
  <sheetData>
    <row r="1" spans="1:13" x14ac:dyDescent="0.2">
      <c r="A1" s="2" t="s">
        <v>1</v>
      </c>
      <c r="B1" s="9" t="s">
        <v>241</v>
      </c>
      <c r="C1" s="79" t="s">
        <v>243</v>
      </c>
      <c r="D1" s="80"/>
      <c r="E1" s="80"/>
      <c r="F1" s="80"/>
      <c r="G1" s="80"/>
      <c r="H1" s="80" t="s">
        <v>244</v>
      </c>
      <c r="I1" s="80"/>
      <c r="J1" s="80"/>
      <c r="K1" s="80"/>
      <c r="L1" s="80"/>
    </row>
    <row r="2" spans="1:13" x14ac:dyDescent="0.2">
      <c r="A2" s="2">
        <v>0.96</v>
      </c>
      <c r="B2" s="2" t="s">
        <v>128</v>
      </c>
      <c r="C2" s="73" cm="1">
        <f t="array" ref="C2">MMULT(TRANSPOSE(w_c_trtA),tot_cost_trtA)</f>
        <v>16453.963196963938</v>
      </c>
      <c r="D2" s="34" cm="1">
        <f t="array" ref="D2">MMULT(TRANSPOSE(w_c_trtB),tot_cost_trtB)</f>
        <v>21456.574145621049</v>
      </c>
      <c r="E2" s="34" cm="1">
        <f t="array" ref="E2">MMULT(TRANSPOSE(w_c_trtD),tot_cost_trtD)</f>
        <v>24504.093412430298</v>
      </c>
      <c r="F2" s="34" cm="1">
        <f t="array" ref="F2">MMULT(TRANSPOSE(w_c_trtC),tot_cost_trtC)</f>
        <v>33443.28196994379</v>
      </c>
      <c r="G2" s="34" cm="1">
        <f t="array" ref="G2">MMULT(TRANSPOSE(w_c_trtE),tot_cost_trtE)</f>
        <v>43331.75116277334</v>
      </c>
      <c r="H2" s="74" cm="1">
        <f t="array" ref="H2">MMULT(TRANSPOSE(w_e_trtA),tot_qaly_trtA)</f>
        <v>17.331784770455506</v>
      </c>
      <c r="I2" s="33" cm="1">
        <f t="array" ref="I2">MMULT(TRANSPOSE(w_c_trtB),tot_qaly_trtB)</f>
        <v>17.408871981529099</v>
      </c>
      <c r="J2" s="33" cm="1">
        <f t="array" ref="J2">MMULT(TRANSPOSE(w_c_trtD),tot_qaly_trtD)</f>
        <v>17.491260092821058</v>
      </c>
      <c r="K2" s="33" cm="1">
        <f t="array" ref="K2">MMULT(TRANSPOSE(w_c_trtC),tot_qaly_trtC)</f>
        <v>17.579511263630753</v>
      </c>
      <c r="L2" s="33" cm="1">
        <f t="array" ref="L2">MMULT(TRANSPOSE(w_c_trtE),tot_qaly_trtE)</f>
        <v>17.491260092821058</v>
      </c>
    </row>
    <row r="3" spans="1:13" x14ac:dyDescent="0.2">
      <c r="B3" s="2">
        <f ca="1">_xlfn.LOGNORM.INV(RAND(),LOG(0.96),0.02)</f>
        <v>0.98885484419845215</v>
      </c>
    </row>
    <row r="4" spans="1:13" x14ac:dyDescent="0.2">
      <c r="B4" s="2">
        <f t="shared" ref="B4:B20" ca="1" si="0">_xlfn.LOGNORM.INV(RAND(),LOG(0.96),0.02)</f>
        <v>0.9705688994507512</v>
      </c>
    </row>
    <row r="5" spans="1:13" x14ac:dyDescent="0.2">
      <c r="B5" s="2">
        <f t="shared" ca="1" si="0"/>
        <v>0.96802345202357254</v>
      </c>
    </row>
    <row r="6" spans="1:13" x14ac:dyDescent="0.2">
      <c r="B6" s="2">
        <f t="shared" ca="1" si="0"/>
        <v>0.99298210394987996</v>
      </c>
    </row>
    <row r="7" spans="1:13" x14ac:dyDescent="0.2">
      <c r="B7" s="2">
        <f t="shared" ca="1" si="0"/>
        <v>0.98239250189818839</v>
      </c>
    </row>
    <row r="8" spans="1:13" x14ac:dyDescent="0.2">
      <c r="B8" s="2">
        <f t="shared" ca="1" si="0"/>
        <v>0.98213607492806232</v>
      </c>
    </row>
    <row r="9" spans="1:13" x14ac:dyDescent="0.2">
      <c r="B9" s="2">
        <f t="shared" ca="1" si="0"/>
        <v>0.96954442507814032</v>
      </c>
    </row>
    <row r="10" spans="1:13" x14ac:dyDescent="0.2">
      <c r="B10" s="2">
        <f t="shared" ca="1" si="0"/>
        <v>0.9953738472527337</v>
      </c>
    </row>
    <row r="11" spans="1:13" x14ac:dyDescent="0.2">
      <c r="B11" s="2">
        <f t="shared" ca="1" si="0"/>
        <v>0.97372445360787285</v>
      </c>
    </row>
    <row r="12" spans="1:13" x14ac:dyDescent="0.2">
      <c r="B12" s="2">
        <f t="shared" ca="1" si="0"/>
        <v>0.97696064924235426</v>
      </c>
    </row>
    <row r="13" spans="1:13" x14ac:dyDescent="0.2">
      <c r="B13" s="2">
        <f t="shared" ca="1" si="0"/>
        <v>0.98974426066035348</v>
      </c>
    </row>
    <row r="14" spans="1:13" x14ac:dyDescent="0.2">
      <c r="B14" s="2">
        <f t="shared" ca="1" si="0"/>
        <v>0.96780786331005542</v>
      </c>
      <c r="I14" s="73"/>
      <c r="J14" s="34"/>
      <c r="K14" s="34"/>
      <c r="L14" s="34"/>
      <c r="M14" s="34"/>
    </row>
    <row r="15" spans="1:13" x14ac:dyDescent="0.2">
      <c r="B15" s="2">
        <f t="shared" ca="1" si="0"/>
        <v>0.98716785214969993</v>
      </c>
    </row>
    <row r="16" spans="1:13" x14ac:dyDescent="0.2">
      <c r="B16" s="2">
        <f t="shared" ca="1" si="0"/>
        <v>0.97250545919825448</v>
      </c>
    </row>
    <row r="17" spans="1:2" x14ac:dyDescent="0.2">
      <c r="B17" s="2">
        <f t="shared" ca="1" si="0"/>
        <v>0.96733319610886803</v>
      </c>
    </row>
    <row r="18" spans="1:2" x14ac:dyDescent="0.2">
      <c r="B18" s="2">
        <f t="shared" ca="1" si="0"/>
        <v>0.99048611664549435</v>
      </c>
    </row>
    <row r="19" spans="1:2" x14ac:dyDescent="0.2">
      <c r="B19" s="2">
        <f t="shared" ca="1" si="0"/>
        <v>0.95456310175738446</v>
      </c>
    </row>
    <row r="20" spans="1:2" x14ac:dyDescent="0.2">
      <c r="B20" s="2">
        <f t="shared" ca="1" si="0"/>
        <v>0.97158339356276713</v>
      </c>
    </row>
    <row r="23" spans="1:2" x14ac:dyDescent="0.2">
      <c r="A23" s="75" t="s">
        <v>242</v>
      </c>
    </row>
  </sheetData>
  <mergeCells count="2">
    <mergeCell ref="C1:G1"/>
    <mergeCell ref="H1:L1"/>
  </mergeCells>
  <hyperlinks>
    <hyperlink ref="A23" r:id="rId1" location=":~:text=Because%20the%20data%20table%20values,values%2C%20follow%20the%20steps%20below." xr:uid="{8D8AC45B-E422-E244-83B1-8BB1374BAE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CC25-A386-094E-A3AE-71B561C84095}">
  <dimension ref="A1:Y79"/>
  <sheetViews>
    <sheetView topLeftCell="I1" zoomScale="151" zoomScaleNormal="151" workbookViewId="0">
      <selection activeCell="S1" sqref="S1"/>
    </sheetView>
  </sheetViews>
  <sheetFormatPr baseColWidth="10" defaultRowHeight="16" x14ac:dyDescent="0.2"/>
  <cols>
    <col min="1" max="1" width="6.33203125" style="2" customWidth="1"/>
    <col min="2" max="6" width="10.83203125" style="2"/>
    <col min="7" max="7" width="10.83203125" style="22"/>
    <col min="8" max="10" width="10.83203125" style="2"/>
    <col min="11" max="11" width="1.83203125" style="2" customWidth="1"/>
    <col min="12" max="12" width="10.83203125" style="2"/>
    <col min="13" max="13" width="2.83203125" style="2" customWidth="1"/>
    <col min="14" max="14" width="10.83203125" style="2"/>
    <col min="15" max="15" width="2.83203125" style="2" customWidth="1"/>
    <col min="16" max="17" width="10.83203125" style="2"/>
    <col min="18" max="18" width="2.33203125" style="2" customWidth="1"/>
    <col min="19" max="19" width="10.83203125" style="2"/>
    <col min="20" max="20" width="2.6640625" style="2" customWidth="1"/>
    <col min="21" max="22" width="10.83203125" style="2"/>
    <col min="23" max="23" width="2.5" style="2" customWidth="1"/>
    <col min="24" max="24" width="15.83203125" style="2" customWidth="1"/>
    <col min="25" max="16384" width="10.83203125" style="2"/>
  </cols>
  <sheetData>
    <row r="1" spans="1:25" ht="51" x14ac:dyDescent="0.2">
      <c r="G1" s="81" t="s">
        <v>71</v>
      </c>
      <c r="H1" s="81"/>
      <c r="I1" s="81"/>
      <c r="J1" s="81"/>
      <c r="K1" s="12"/>
      <c r="L1" s="13" t="s">
        <v>72</v>
      </c>
      <c r="M1" s="14"/>
      <c r="N1" s="13" t="s">
        <v>73</v>
      </c>
      <c r="O1" s="15"/>
      <c r="P1" s="81" t="s">
        <v>74</v>
      </c>
      <c r="Q1" s="81"/>
      <c r="R1" s="12"/>
      <c r="S1" s="13" t="s">
        <v>75</v>
      </c>
      <c r="T1" s="15"/>
      <c r="U1" s="13" t="s">
        <v>76</v>
      </c>
      <c r="V1" s="13" t="s">
        <v>77</v>
      </c>
      <c r="W1" s="14"/>
    </row>
    <row r="2" spans="1:25" x14ac:dyDescent="0.2">
      <c r="G2" s="16"/>
      <c r="H2" s="16"/>
      <c r="I2" s="16"/>
      <c r="J2" s="16"/>
      <c r="K2" s="16"/>
      <c r="X2" s="11" t="s">
        <v>78</v>
      </c>
      <c r="Y2" s="2" cm="1">
        <f t="array" ref="Y2">MMULT(TRANSPOSE(w_c_trtA),tot_cost_trtA)</f>
        <v>16453.963196963938</v>
      </c>
    </row>
    <row r="3" spans="1:25" ht="17" thickBot="1" x14ac:dyDescent="0.25">
      <c r="G3" s="18" t="s">
        <v>81</v>
      </c>
      <c r="H3" s="17" t="s">
        <v>51</v>
      </c>
      <c r="I3" s="17" t="s">
        <v>56</v>
      </c>
      <c r="J3" s="17" t="s">
        <v>60</v>
      </c>
      <c r="K3" s="11"/>
      <c r="L3" s="17" t="s">
        <v>252</v>
      </c>
      <c r="N3" s="17" t="s">
        <v>236</v>
      </c>
      <c r="P3" s="17" t="s">
        <v>237</v>
      </c>
      <c r="Q3" s="17" t="s">
        <v>238</v>
      </c>
      <c r="R3" s="11"/>
      <c r="S3" s="17" t="s">
        <v>239</v>
      </c>
      <c r="T3" s="11"/>
      <c r="U3" s="72" t="s">
        <v>82</v>
      </c>
      <c r="V3" s="72" t="s">
        <v>83</v>
      </c>
      <c r="X3" s="11" t="s">
        <v>84</v>
      </c>
      <c r="Y3" s="2" cm="1">
        <f t="array" ref="Y3">MMULT(TRANSPOSE(w_e_trtA),tot_qaly_trtA)</f>
        <v>17.331784770455506</v>
      </c>
    </row>
    <row r="4" spans="1:25" x14ac:dyDescent="0.2">
      <c r="A4" s="11" t="s">
        <v>85</v>
      </c>
      <c r="G4" s="22">
        <v>0</v>
      </c>
      <c r="H4" s="2">
        <v>1</v>
      </c>
      <c r="I4" s="2">
        <v>0</v>
      </c>
      <c r="J4" s="2">
        <v>0</v>
      </c>
      <c r="L4" s="23" cm="1">
        <f t="array" ref="L4:L79">MMULT(H4:J79,D6:D8)</f>
        <v>25</v>
      </c>
      <c r="N4" s="2" cm="1">
        <f t="array" ref="N4:N79">MMULT(H4:J79,E6:E8)</f>
        <v>1</v>
      </c>
      <c r="P4" s="25">
        <f t="shared" ref="P4:P35" si="0">(1 / ((1 + (d_c)) ^ (G4)))</f>
        <v>1</v>
      </c>
      <c r="Q4" s="25">
        <f t="shared" ref="Q4:Q35" si="1">(1 / ((1 + (d_e)) ^ (G4)))</f>
        <v>1</v>
      </c>
      <c r="R4" s="25"/>
      <c r="S4" s="26">
        <f>1/3</f>
        <v>0.33333333333333331</v>
      </c>
      <c r="T4" s="26"/>
      <c r="U4" s="24">
        <f>P4*S4</f>
        <v>0.33333333333333331</v>
      </c>
      <c r="V4" s="24">
        <f>Q4*S4</f>
        <v>0.33333333333333331</v>
      </c>
    </row>
    <row r="5" spans="1:25" ht="17" thickBot="1" x14ac:dyDescent="0.25">
      <c r="B5" s="17" t="s">
        <v>79</v>
      </c>
      <c r="C5" s="17" t="s">
        <v>80</v>
      </c>
      <c r="D5" s="17" t="s">
        <v>86</v>
      </c>
      <c r="E5" s="17" t="s">
        <v>87</v>
      </c>
      <c r="G5" s="22">
        <f>G4+1</f>
        <v>1</v>
      </c>
      <c r="H5" s="2" cm="1">
        <f t="array" ref="H5:J5">MMULT(H4:J4,m_trtA)</f>
        <v>0.85555994070399988</v>
      </c>
      <c r="I5" s="2">
        <v>0.13760988225000001</v>
      </c>
      <c r="J5" s="2">
        <v>6.8301770459999996E-3</v>
      </c>
      <c r="L5" s="23">
        <v>158.99888076759999</v>
      </c>
      <c r="N5" s="2">
        <v>0.95876735239149991</v>
      </c>
      <c r="P5" s="25">
        <f t="shared" si="0"/>
        <v>0.970873786407767</v>
      </c>
      <c r="Q5" s="25">
        <f t="shared" si="1"/>
        <v>0.970873786407767</v>
      </c>
      <c r="R5" s="25"/>
      <c r="S5" s="25">
        <f>2/3</f>
        <v>0.66666666666666663</v>
      </c>
      <c r="T5" s="25"/>
      <c r="U5" s="24">
        <f t="shared" ref="U5:U68" si="2">P5*S5</f>
        <v>0.6472491909385113</v>
      </c>
      <c r="V5" s="24">
        <f t="shared" ref="V5:V68" si="3">Q5*S5</f>
        <v>0.6472491909385113</v>
      </c>
    </row>
    <row r="6" spans="1:25" x14ac:dyDescent="0.2">
      <c r="B6" s="19" t="s">
        <v>52</v>
      </c>
      <c r="C6" s="19" t="s">
        <v>51</v>
      </c>
      <c r="D6" s="19">
        <f>c_H_trtA</f>
        <v>25</v>
      </c>
      <c r="E6" s="19">
        <f>u_H_trtA</f>
        <v>1</v>
      </c>
      <c r="G6" s="22">
        <f t="shared" ref="G6:G7" si="4">G5+1</f>
        <v>2</v>
      </c>
      <c r="H6" s="2" cm="1">
        <f t="array" ref="H6:J6">MMULT(H5:J5,m_trtA)</f>
        <v>0.73198281213743177</v>
      </c>
      <c r="I6" s="2">
        <v>0.25288856671361898</v>
      </c>
      <c r="J6" s="2">
        <v>1.5128621148949004E-2</v>
      </c>
      <c r="L6" s="23">
        <v>271.18813701705477</v>
      </c>
      <c r="N6" s="2">
        <v>0.92164923717264602</v>
      </c>
      <c r="P6" s="25">
        <f t="shared" si="0"/>
        <v>0.94259590913375435</v>
      </c>
      <c r="Q6" s="25">
        <f t="shared" si="1"/>
        <v>0.94259590913375435</v>
      </c>
      <c r="R6" s="25"/>
      <c r="S6" s="25">
        <f>4/3</f>
        <v>1.3333333333333333</v>
      </c>
      <c r="T6" s="25"/>
      <c r="U6" s="24">
        <f t="shared" si="2"/>
        <v>1.2567945455116725</v>
      </c>
      <c r="V6" s="24">
        <f t="shared" si="3"/>
        <v>1.2567945455116725</v>
      </c>
    </row>
    <row r="7" spans="1:25" x14ac:dyDescent="0.2">
      <c r="B7" s="27" t="s">
        <v>52</v>
      </c>
      <c r="C7" s="27" t="s">
        <v>56</v>
      </c>
      <c r="D7" s="27">
        <f>c_S_trtA</f>
        <v>1000</v>
      </c>
      <c r="E7" s="27">
        <f>u_S_trtA</f>
        <v>0.75</v>
      </c>
      <c r="G7" s="22">
        <f t="shared" si="4"/>
        <v>3</v>
      </c>
      <c r="H7" s="2" cm="1">
        <f t="array" ref="H7:J7">MMULT(H6:J6,m_trtA)</f>
        <v>0.62625517134864817</v>
      </c>
      <c r="I7" s="2">
        <v>0.34910536434628503</v>
      </c>
      <c r="J7" s="2">
        <v>2.4639464305066409E-2</v>
      </c>
      <c r="L7" s="23">
        <v>364.76174363000126</v>
      </c>
      <c r="N7" s="2">
        <v>0.88808419460836197</v>
      </c>
      <c r="P7" s="25">
        <f t="shared" si="0"/>
        <v>0.91514165935315961</v>
      </c>
      <c r="Q7" s="25">
        <f t="shared" si="1"/>
        <v>0.91514165935315961</v>
      </c>
      <c r="R7" s="25"/>
      <c r="S7" s="25">
        <f t="shared" ref="S7" si="5">2/3</f>
        <v>0.66666666666666663</v>
      </c>
      <c r="T7" s="25"/>
      <c r="U7" s="24">
        <f t="shared" si="2"/>
        <v>0.61009443956877307</v>
      </c>
      <c r="V7" s="24">
        <f t="shared" si="3"/>
        <v>0.61009443956877307</v>
      </c>
    </row>
    <row r="8" spans="1:25" x14ac:dyDescent="0.2">
      <c r="B8" s="27" t="s">
        <v>52</v>
      </c>
      <c r="C8" s="27" t="s">
        <v>60</v>
      </c>
      <c r="D8" s="27" cm="1">
        <f t="array" ref="D8">c_D_trtA</f>
        <v>0</v>
      </c>
      <c r="E8" s="27">
        <f>u_D_trtA</f>
        <v>0</v>
      </c>
      <c r="G8" s="22">
        <f>G7+1</f>
        <v>4</v>
      </c>
      <c r="H8" s="2" cm="1">
        <f t="array" ref="H8:J8">MMULT(H7:J7,m_trtA)</f>
        <v>0.53579883726462274</v>
      </c>
      <c r="I8" s="2">
        <v>0.42905658544138975</v>
      </c>
      <c r="J8" s="2">
        <v>3.5144577293987053E-2</v>
      </c>
      <c r="L8" s="23">
        <v>442.4515563730053</v>
      </c>
      <c r="N8" s="2">
        <v>0.85759127634566501</v>
      </c>
      <c r="P8" s="25">
        <f t="shared" si="0"/>
        <v>0.888487047915689</v>
      </c>
      <c r="Q8" s="25">
        <f t="shared" si="1"/>
        <v>0.888487047915689</v>
      </c>
      <c r="R8" s="25"/>
      <c r="S8" s="25">
        <f t="shared" ref="S8" si="6">4/3</f>
        <v>1.3333333333333333</v>
      </c>
      <c r="T8" s="25"/>
      <c r="U8" s="24">
        <f t="shared" si="2"/>
        <v>1.1846493972209187</v>
      </c>
      <c r="V8" s="24">
        <f t="shared" si="3"/>
        <v>1.1846493972209187</v>
      </c>
    </row>
    <row r="9" spans="1:25" x14ac:dyDescent="0.2">
      <c r="G9" s="22">
        <f>G8+1</f>
        <v>5</v>
      </c>
      <c r="H9" s="2" cm="1">
        <f t="array" ref="H9:J9">MMULT(H8:J8,m_trtA)</f>
        <v>0.45840802143939269</v>
      </c>
      <c r="I9" s="2">
        <v>0.49513387380965035</v>
      </c>
      <c r="J9" s="2">
        <v>4.6458104750956422E-2</v>
      </c>
      <c r="L9" s="23">
        <v>506.59407434563519</v>
      </c>
      <c r="N9" s="2">
        <v>0.82975842679663048</v>
      </c>
      <c r="P9" s="25">
        <f t="shared" si="0"/>
        <v>0.86260878438416411</v>
      </c>
      <c r="Q9" s="25">
        <f t="shared" si="1"/>
        <v>0.86260878438416411</v>
      </c>
      <c r="R9" s="25"/>
      <c r="S9" s="25">
        <f t="shared" ref="S9" si="7">2/3</f>
        <v>0.66666666666666663</v>
      </c>
      <c r="T9" s="25"/>
      <c r="U9" s="24">
        <f t="shared" si="2"/>
        <v>0.575072522922776</v>
      </c>
      <c r="V9" s="24">
        <f t="shared" si="3"/>
        <v>0.575072522922776</v>
      </c>
    </row>
    <row r="10" spans="1:25" x14ac:dyDescent="0.2">
      <c r="G10" s="22">
        <f t="shared" ref="G10:G62" si="8">G9+1</f>
        <v>6</v>
      </c>
      <c r="H10" s="2" cm="1">
        <f t="array" ref="H10:J10">MMULT(H9:J9,m_trtA)</f>
        <v>0.39219553964092474</v>
      </c>
      <c r="I10" s="2">
        <v>0.54938267051695433</v>
      </c>
      <c r="J10" s="2">
        <v>5.8421789842120361E-2</v>
      </c>
      <c r="L10" s="23">
        <v>559.18755900797748</v>
      </c>
      <c r="N10" s="2">
        <v>0.80423254252864051</v>
      </c>
      <c r="P10" s="25">
        <f t="shared" si="0"/>
        <v>0.83748425668365445</v>
      </c>
      <c r="Q10" s="25">
        <f t="shared" si="1"/>
        <v>0.83748425668365445</v>
      </c>
      <c r="R10" s="25"/>
      <c r="S10" s="25">
        <f t="shared" ref="S10" si="9">4/3</f>
        <v>1.3333333333333333</v>
      </c>
      <c r="T10" s="25"/>
      <c r="U10" s="24">
        <f t="shared" si="2"/>
        <v>1.1166456755782059</v>
      </c>
      <c r="V10" s="24">
        <f t="shared" si="3"/>
        <v>1.1166456755782059</v>
      </c>
    </row>
    <row r="11" spans="1:25" x14ac:dyDescent="0.2">
      <c r="G11" s="22">
        <f t="shared" si="8"/>
        <v>7</v>
      </c>
      <c r="H11" s="2" cm="1">
        <f t="array" ref="H11:J11">MMULT(H10:J10,m_trtA)</f>
        <v>0.33554679263956283</v>
      </c>
      <c r="I11" s="2">
        <v>0.59355223287227976</v>
      </c>
      <c r="J11" s="2">
        <v>7.0900974488156771E-2</v>
      </c>
      <c r="L11" s="23">
        <v>601.94090268826881</v>
      </c>
      <c r="N11" s="2">
        <v>0.78071096729377265</v>
      </c>
      <c r="P11" s="25">
        <f t="shared" si="0"/>
        <v>0.81309151134335378</v>
      </c>
      <c r="Q11" s="25">
        <f t="shared" si="1"/>
        <v>0.81309151134335378</v>
      </c>
      <c r="R11" s="25"/>
      <c r="S11" s="25">
        <f t="shared" ref="S11" si="10">2/3</f>
        <v>0.66666666666666663</v>
      </c>
      <c r="T11" s="25"/>
      <c r="U11" s="24">
        <f t="shared" si="2"/>
        <v>0.54206100756223585</v>
      </c>
      <c r="V11" s="24">
        <f t="shared" si="3"/>
        <v>0.54206100756223585</v>
      </c>
    </row>
    <row r="12" spans="1:25" x14ac:dyDescent="0.2">
      <c r="G12" s="22">
        <f t="shared" si="8"/>
        <v>8</v>
      </c>
      <c r="H12" s="2" cm="1">
        <f t="array" ref="H12:J12">MMULT(H11:J11,m_trtA)</f>
        <v>0.28708039401412172</v>
      </c>
      <c r="I12" s="2">
        <v>0.62913842843022649</v>
      </c>
      <c r="J12" s="2">
        <v>8.3781177555651051E-2</v>
      </c>
      <c r="L12" s="23">
        <v>636.31543828057943</v>
      </c>
      <c r="N12" s="2">
        <v>0.75893421533679151</v>
      </c>
      <c r="P12" s="25">
        <f t="shared" si="0"/>
        <v>0.78940923431393573</v>
      </c>
      <c r="Q12" s="25">
        <f t="shared" si="1"/>
        <v>0.78940923431393573</v>
      </c>
      <c r="R12" s="25"/>
      <c r="S12" s="25">
        <f t="shared" ref="S12" si="11">4/3</f>
        <v>1.3333333333333333</v>
      </c>
      <c r="T12" s="25"/>
      <c r="U12" s="24">
        <f t="shared" si="2"/>
        <v>1.0525456457519142</v>
      </c>
      <c r="V12" s="24">
        <f t="shared" si="3"/>
        <v>1.0525456457519142</v>
      </c>
    </row>
    <row r="13" spans="1:25" x14ac:dyDescent="0.2">
      <c r="G13" s="22">
        <f t="shared" si="8"/>
        <v>9</v>
      </c>
      <c r="H13" s="2" cm="1">
        <f t="array" ref="H13:J13">MMULT(H12:J12,m_trtA)</f>
        <v>0.2456144848800029</v>
      </c>
      <c r="I13" s="2">
        <v>0.65742034758975398</v>
      </c>
      <c r="J13" s="2">
        <v>9.6965167530242272E-2</v>
      </c>
      <c r="L13" s="23">
        <v>663.56070971175404</v>
      </c>
      <c r="N13" s="2">
        <v>0.73867974557231841</v>
      </c>
      <c r="P13" s="25">
        <f t="shared" si="0"/>
        <v>0.76641673234362695</v>
      </c>
      <c r="Q13" s="25">
        <f t="shared" si="1"/>
        <v>0.76641673234362695</v>
      </c>
      <c r="R13" s="25"/>
      <c r="S13" s="25">
        <f t="shared" ref="S13" si="12">2/3</f>
        <v>0.66666666666666663</v>
      </c>
      <c r="T13" s="25"/>
      <c r="U13" s="24">
        <f t="shared" si="2"/>
        <v>0.51094448822908456</v>
      </c>
      <c r="V13" s="24">
        <f t="shared" si="3"/>
        <v>0.51094448822908456</v>
      </c>
    </row>
    <row r="14" spans="1:25" x14ac:dyDescent="0.2">
      <c r="G14" s="22">
        <f t="shared" si="8"/>
        <v>10</v>
      </c>
      <c r="H14" s="2" cm="1">
        <f t="array" ref="H14:J14">MMULT(H13:J13,m_trtA)</f>
        <v>0.21013791411997876</v>
      </c>
      <c r="I14" s="2">
        <v>0.67949162763565829</v>
      </c>
      <c r="J14" s="2">
        <v>0.11037045824436208</v>
      </c>
      <c r="L14" s="23">
        <v>684.74507548865779</v>
      </c>
      <c r="N14" s="2">
        <v>0.71975663484672248</v>
      </c>
      <c r="P14" s="25">
        <f t="shared" si="0"/>
        <v>0.74409391489672516</v>
      </c>
      <c r="Q14" s="25">
        <f t="shared" si="1"/>
        <v>0.74409391489672516</v>
      </c>
      <c r="R14" s="25"/>
      <c r="S14" s="25">
        <f t="shared" ref="S14" si="13">4/3</f>
        <v>1.3333333333333333</v>
      </c>
      <c r="T14" s="25"/>
      <c r="U14" s="24">
        <f t="shared" si="2"/>
        <v>0.99212521986230018</v>
      </c>
      <c r="V14" s="24">
        <f t="shared" si="3"/>
        <v>0.99212521986230018</v>
      </c>
    </row>
    <row r="15" spans="1:25" x14ac:dyDescent="0.2">
      <c r="G15" s="22">
        <f t="shared" si="8"/>
        <v>11</v>
      </c>
      <c r="H15" s="2" cm="1">
        <f t="array" ref="H15:J15">MMULT(H14:J14,m_trtA)</f>
        <v>0.17978558134415124</v>
      </c>
      <c r="I15" s="2">
        <v>0.6962872521064386</v>
      </c>
      <c r="J15" s="2">
        <v>0.12392716654940923</v>
      </c>
      <c r="L15" s="23">
        <v>700.78189164004232</v>
      </c>
      <c r="N15" s="2">
        <v>0.70200102042398016</v>
      </c>
      <c r="P15" s="25">
        <f t="shared" si="0"/>
        <v>0.72242127659876232</v>
      </c>
      <c r="Q15" s="25">
        <f t="shared" si="1"/>
        <v>0.72242127659876232</v>
      </c>
      <c r="R15" s="25"/>
      <c r="S15" s="25">
        <f t="shared" ref="S15" si="14">2/3</f>
        <v>0.66666666666666663</v>
      </c>
      <c r="T15" s="25"/>
      <c r="U15" s="24">
        <f t="shared" si="2"/>
        <v>0.48161418439917486</v>
      </c>
      <c r="V15" s="24">
        <f t="shared" si="3"/>
        <v>0.48161418439917486</v>
      </c>
    </row>
    <row r="16" spans="1:25" x14ac:dyDescent="0.2">
      <c r="G16" s="22">
        <f t="shared" si="8"/>
        <v>12</v>
      </c>
      <c r="H16" s="2" cm="1">
        <f t="array" ref="H16:J16">MMULT(H15:J15,m_trtA)</f>
        <v>0.15381734131423619</v>
      </c>
      <c r="I16" s="2">
        <v>0.7086064790367318</v>
      </c>
      <c r="J16" s="2">
        <v>0.13757617964903107</v>
      </c>
      <c r="L16" s="23">
        <v>712.45191256958765</v>
      </c>
      <c r="N16" s="2">
        <v>0.68527220059178506</v>
      </c>
      <c r="P16" s="25">
        <f t="shared" si="0"/>
        <v>0.70137988019297326</v>
      </c>
      <c r="Q16" s="25">
        <f t="shared" si="1"/>
        <v>0.70137988019297326</v>
      </c>
      <c r="R16" s="25"/>
      <c r="S16" s="25">
        <f t="shared" ref="S16" si="15">4/3</f>
        <v>1.3333333333333333</v>
      </c>
      <c r="T16" s="25"/>
      <c r="U16" s="24">
        <f t="shared" si="2"/>
        <v>0.93517317359063101</v>
      </c>
      <c r="V16" s="24">
        <f t="shared" si="3"/>
        <v>0.93517317359063101</v>
      </c>
    </row>
    <row r="17" spans="7:22" x14ac:dyDescent="0.2">
      <c r="G17" s="22">
        <f t="shared" si="8"/>
        <v>13</v>
      </c>
      <c r="H17" s="2" cm="1">
        <f t="array" ref="H17:J17">MMULT(H16:J16,m_trtA)</f>
        <v>0.13159995541405484</v>
      </c>
      <c r="I17" s="2">
        <v>0.71713245722388175</v>
      </c>
      <c r="J17" s="2">
        <v>0.15126758736206242</v>
      </c>
      <c r="L17" s="23">
        <v>720.42245610923305</v>
      </c>
      <c r="N17" s="2">
        <v>0.6694492983319662</v>
      </c>
      <c r="P17" s="25">
        <f t="shared" si="0"/>
        <v>0.68095133999317792</v>
      </c>
      <c r="Q17" s="25">
        <f t="shared" si="1"/>
        <v>0.68095133999317792</v>
      </c>
      <c r="R17" s="25"/>
      <c r="S17" s="25">
        <f t="shared" ref="S17" si="16">2/3</f>
        <v>0.66666666666666663</v>
      </c>
      <c r="T17" s="25"/>
      <c r="U17" s="24">
        <f t="shared" si="2"/>
        <v>0.45396755999545191</v>
      </c>
      <c r="V17" s="24">
        <f t="shared" si="3"/>
        <v>0.45396755999545191</v>
      </c>
    </row>
    <row r="18" spans="7:22" x14ac:dyDescent="0.2">
      <c r="G18" s="22">
        <f t="shared" si="8"/>
        <v>14</v>
      </c>
      <c r="H18" s="2" cm="1">
        <f t="array" ref="H18:J18">MMULT(H17:J17,m_trtA)</f>
        <v>0.11259165005069778</v>
      </c>
      <c r="I18" s="2">
        <v>0.72244900890454444</v>
      </c>
      <c r="J18" s="2">
        <v>0.16495934104475676</v>
      </c>
      <c r="L18" s="23">
        <v>725.26380015581196</v>
      </c>
      <c r="N18" s="2">
        <v>0.65442840672910618</v>
      </c>
      <c r="P18" s="25">
        <f t="shared" si="0"/>
        <v>0.66111780581861923</v>
      </c>
      <c r="Q18" s="25">
        <f t="shared" si="1"/>
        <v>0.66111780581861923</v>
      </c>
      <c r="R18" s="25"/>
      <c r="S18" s="25">
        <f t="shared" ref="S18" si="17">4/3</f>
        <v>1.3333333333333333</v>
      </c>
      <c r="T18" s="25"/>
      <c r="U18" s="24">
        <f t="shared" si="2"/>
        <v>0.8814904077581589</v>
      </c>
      <c r="V18" s="24">
        <f t="shared" si="3"/>
        <v>0.8814904077581589</v>
      </c>
    </row>
    <row r="19" spans="7:22" x14ac:dyDescent="0.2">
      <c r="G19" s="22">
        <f t="shared" si="8"/>
        <v>15</v>
      </c>
      <c r="H19" s="2" cm="1">
        <f t="array" ref="H19:J19">MMULT(H18:J18,m_trtA)</f>
        <v>9.6328905441140492E-2</v>
      </c>
      <c r="I19" s="2">
        <v>0.72505498812907021</v>
      </c>
      <c r="J19" s="2">
        <v>0.17861610642978826</v>
      </c>
      <c r="L19" s="23">
        <v>727.46321076509878</v>
      </c>
      <c r="N19" s="2">
        <v>0.64012014653794314</v>
      </c>
      <c r="P19" s="25">
        <f t="shared" si="0"/>
        <v>0.64186194739671765</v>
      </c>
      <c r="Q19" s="25">
        <f t="shared" si="1"/>
        <v>0.64186194739671765</v>
      </c>
      <c r="R19" s="25"/>
      <c r="S19" s="25">
        <f t="shared" ref="S19" si="18">2/3</f>
        <v>0.66666666666666663</v>
      </c>
      <c r="T19" s="25"/>
      <c r="U19" s="24">
        <f t="shared" si="2"/>
        <v>0.42790796493114508</v>
      </c>
      <c r="V19" s="24">
        <f t="shared" si="3"/>
        <v>0.42790796493114508</v>
      </c>
    </row>
    <row r="20" spans="7:22" x14ac:dyDescent="0.2">
      <c r="G20" s="22">
        <f t="shared" si="8"/>
        <v>16</v>
      </c>
      <c r="H20" s="2" cm="1">
        <f t="array" ref="H20:J20">MMULT(H19:J19,m_trtA)</f>
        <v>8.2415152627303367E-2</v>
      </c>
      <c r="I20" s="2">
        <v>0.72537656500379255</v>
      </c>
      <c r="J20" s="2">
        <v>0.19220828236890294</v>
      </c>
      <c r="L20" s="23">
        <v>727.43694381947512</v>
      </c>
      <c r="N20" s="2">
        <v>0.62644757638014781</v>
      </c>
      <c r="P20" s="25">
        <f t="shared" si="0"/>
        <v>0.62316693922011435</v>
      </c>
      <c r="Q20" s="25">
        <f t="shared" si="1"/>
        <v>0.62316693922011435</v>
      </c>
      <c r="R20" s="25"/>
      <c r="S20" s="25">
        <f t="shared" ref="S20" si="19">4/3</f>
        <v>1.3333333333333333</v>
      </c>
      <c r="T20" s="25"/>
      <c r="U20" s="24">
        <f t="shared" si="2"/>
        <v>0.83088925229348576</v>
      </c>
      <c r="V20" s="24">
        <f t="shared" si="3"/>
        <v>0.83088925229348576</v>
      </c>
    </row>
    <row r="21" spans="7:22" x14ac:dyDescent="0.2">
      <c r="G21" s="22">
        <f t="shared" si="8"/>
        <v>17</v>
      </c>
      <c r="H21" s="2" cm="1">
        <f t="array" ref="H21:J21">MMULT(H20:J20,m_trtA)</f>
        <v>7.0511103094926766E-2</v>
      </c>
      <c r="I21" s="2">
        <v>0.72377773539268975</v>
      </c>
      <c r="J21" s="2">
        <v>0.20571116151238228</v>
      </c>
      <c r="L21" s="23">
        <v>725.54051297006288</v>
      </c>
      <c r="N21" s="2">
        <v>0.61334440463944406</v>
      </c>
      <c r="P21" s="25">
        <f t="shared" si="0"/>
        <v>0.60501644584477121</v>
      </c>
      <c r="Q21" s="25">
        <f t="shared" si="1"/>
        <v>0.60501644584477121</v>
      </c>
      <c r="R21" s="25"/>
      <c r="S21" s="25">
        <f t="shared" ref="S21" si="20">2/3</f>
        <v>0.66666666666666663</v>
      </c>
      <c r="T21" s="25"/>
      <c r="U21" s="24">
        <f t="shared" si="2"/>
        <v>0.40334429722984744</v>
      </c>
      <c r="V21" s="24">
        <f t="shared" si="3"/>
        <v>0.40334429722984744</v>
      </c>
    </row>
    <row r="22" spans="7:22" x14ac:dyDescent="0.2">
      <c r="G22" s="22">
        <f t="shared" si="8"/>
        <v>18</v>
      </c>
      <c r="H22" s="2" cm="1">
        <f t="array" ref="H22:J22">MMULT(H21:J21,m_trtA)</f>
        <v>6.0326475182869169E-2</v>
      </c>
      <c r="I22" s="2">
        <v>0.72056931239681044</v>
      </c>
      <c r="J22" s="2">
        <v>0.21910421242031919</v>
      </c>
      <c r="L22" s="23">
        <v>722.07747427638219</v>
      </c>
      <c r="N22" s="2">
        <v>0.60075345948047698</v>
      </c>
      <c r="P22" s="25">
        <f t="shared" si="0"/>
        <v>0.5873946076162827</v>
      </c>
      <c r="Q22" s="25">
        <f t="shared" si="1"/>
        <v>0.5873946076162827</v>
      </c>
      <c r="R22" s="25"/>
      <c r="S22" s="25">
        <f t="shared" ref="S22" si="21">4/3</f>
        <v>1.3333333333333333</v>
      </c>
      <c r="T22" s="25"/>
      <c r="U22" s="24">
        <f t="shared" si="2"/>
        <v>0.78319281015504361</v>
      </c>
      <c r="V22" s="24">
        <f t="shared" si="3"/>
        <v>0.78319281015504361</v>
      </c>
    </row>
    <row r="23" spans="7:22" x14ac:dyDescent="0.2">
      <c r="G23" s="22">
        <f t="shared" si="8"/>
        <v>19</v>
      </c>
      <c r="H23" s="2" cm="1">
        <f t="array" ref="H23:J23">MMULT(H22:J22,m_trtA)</f>
        <v>5.1612915530336867E-2</v>
      </c>
      <c r="I23" s="2">
        <v>0.71601661890714674</v>
      </c>
      <c r="J23" s="2">
        <v>0.23237046556251509</v>
      </c>
      <c r="L23" s="23">
        <v>717.30694179540512</v>
      </c>
      <c r="N23" s="2">
        <v>0.58862537971069695</v>
      </c>
      <c r="P23" s="25">
        <f t="shared" si="0"/>
        <v>0.57028602681192497</v>
      </c>
      <c r="Q23" s="25">
        <f t="shared" si="1"/>
        <v>0.57028602681192497</v>
      </c>
      <c r="R23" s="25"/>
      <c r="S23" s="25">
        <f t="shared" ref="S23" si="22">2/3</f>
        <v>0.66666666666666663</v>
      </c>
      <c r="T23" s="25"/>
      <c r="U23" s="24">
        <f t="shared" si="2"/>
        <v>0.3801906845412833</v>
      </c>
      <c r="V23" s="24">
        <f t="shared" si="3"/>
        <v>0.3801906845412833</v>
      </c>
    </row>
    <row r="24" spans="7:22" x14ac:dyDescent="0.2">
      <c r="G24" s="22">
        <f t="shared" si="8"/>
        <v>20</v>
      </c>
      <c r="H24" s="2" cm="1">
        <f t="array" ref="H24:J24">MMULT(H23:J23,m_trtA)</f>
        <v>4.4157942950695563E-2</v>
      </c>
      <c r="I24" s="2">
        <v>0.7103460688514931</v>
      </c>
      <c r="J24" s="2">
        <v>0.2454959881978101</v>
      </c>
      <c r="L24" s="23">
        <v>711.45001742526051</v>
      </c>
      <c r="N24" s="2">
        <v>0.5769174945893154</v>
      </c>
      <c r="P24" s="25">
        <f t="shared" si="0"/>
        <v>0.55367575418633497</v>
      </c>
      <c r="Q24" s="25">
        <f t="shared" si="1"/>
        <v>0.55367575418633497</v>
      </c>
      <c r="R24" s="25"/>
      <c r="S24" s="25">
        <f t="shared" ref="S24" si="23">4/3</f>
        <v>1.3333333333333333</v>
      </c>
      <c r="T24" s="25"/>
      <c r="U24" s="24">
        <f t="shared" si="2"/>
        <v>0.73823433891511325</v>
      </c>
      <c r="V24" s="24">
        <f t="shared" si="3"/>
        <v>0.73823433891511325</v>
      </c>
    </row>
    <row r="25" spans="7:22" x14ac:dyDescent="0.2">
      <c r="G25" s="22">
        <f t="shared" si="8"/>
        <v>21</v>
      </c>
      <c r="H25" s="2" cm="1">
        <f t="array" ref="H25:J25">MMULT(H24:J24,m_trtA)</f>
        <v>3.7779767052507705E-2</v>
      </c>
      <c r="I25" s="2">
        <v>0.70375079765584236</v>
      </c>
      <c r="J25" s="2">
        <v>0.25846943529164867</v>
      </c>
      <c r="L25" s="23">
        <v>704.69529183215502</v>
      </c>
      <c r="N25" s="2">
        <v>0.56559286529438957</v>
      </c>
      <c r="P25" s="25">
        <f t="shared" si="0"/>
        <v>0.5375492759090631</v>
      </c>
      <c r="Q25" s="25">
        <f t="shared" si="1"/>
        <v>0.5375492759090631</v>
      </c>
      <c r="R25" s="25"/>
      <c r="S25" s="25">
        <f t="shared" ref="S25" si="24">2/3</f>
        <v>0.66666666666666663</v>
      </c>
      <c r="T25" s="25"/>
      <c r="U25" s="24">
        <f t="shared" si="2"/>
        <v>0.35836618393937536</v>
      </c>
      <c r="V25" s="24">
        <f t="shared" si="3"/>
        <v>0.35836618393937536</v>
      </c>
    </row>
    <row r="26" spans="7:22" x14ac:dyDescent="0.2">
      <c r="G26" s="22">
        <f t="shared" si="8"/>
        <v>22</v>
      </c>
      <c r="H26" s="2" cm="1">
        <f t="array" ref="H26:J26">MMULT(H25:J25,m_trtA)</f>
        <v>3.2322855259254421E-2</v>
      </c>
      <c r="I26" s="2">
        <v>0.69639547925521617</v>
      </c>
      <c r="J26" s="2">
        <v>0.27128166548552818</v>
      </c>
      <c r="L26" s="23">
        <v>697.20355063669751</v>
      </c>
      <c r="N26" s="2">
        <v>0.55461946470066648</v>
      </c>
      <c r="P26" s="25">
        <f t="shared" si="0"/>
        <v>0.52189250088258554</v>
      </c>
      <c r="Q26" s="25">
        <f t="shared" si="1"/>
        <v>0.52189250088258554</v>
      </c>
      <c r="R26" s="25"/>
      <c r="S26" s="25">
        <f t="shared" ref="S26" si="25">4/3</f>
        <v>1.3333333333333333</v>
      </c>
      <c r="T26" s="25"/>
      <c r="U26" s="24">
        <f t="shared" si="2"/>
        <v>0.69585666784344735</v>
      </c>
      <c r="V26" s="24">
        <f t="shared" si="3"/>
        <v>0.69585666784344735</v>
      </c>
    </row>
    <row r="27" spans="7:22" x14ac:dyDescent="0.2">
      <c r="G27" s="22">
        <f t="shared" si="8"/>
        <v>23</v>
      </c>
      <c r="H27" s="2" cm="1">
        <f t="array" ref="H27:J27">MMULT(H26:J26,m_trtA)</f>
        <v>2.7654140128991683E-2</v>
      </c>
      <c r="I27" s="2">
        <v>0.68842044715209938</v>
      </c>
      <c r="J27" s="2">
        <v>0.2839254127189077</v>
      </c>
      <c r="L27" s="23">
        <v>689.11180065532426</v>
      </c>
      <c r="N27" s="2">
        <v>0.54396947549306629</v>
      </c>
      <c r="P27" s="25">
        <f t="shared" si="0"/>
        <v>0.50669174842969467</v>
      </c>
      <c r="Q27" s="25">
        <f t="shared" si="1"/>
        <v>0.50669174842969467</v>
      </c>
      <c r="R27" s="25"/>
      <c r="S27" s="25">
        <f t="shared" ref="S27" si="26">2/3</f>
        <v>0.66666666666666663</v>
      </c>
      <c r="T27" s="25"/>
      <c r="U27" s="24">
        <f t="shared" si="2"/>
        <v>0.33779449895312974</v>
      </c>
      <c r="V27" s="24">
        <f t="shared" si="3"/>
        <v>0.33779449895312974</v>
      </c>
    </row>
    <row r="28" spans="7:22" x14ac:dyDescent="0.2">
      <c r="G28" s="22">
        <f t="shared" si="8"/>
        <v>24</v>
      </c>
      <c r="H28" s="2" cm="1">
        <f t="array" ref="H28:J28">MMULT(H27:J27,m_trtA)</f>
        <v>2.3659774488980226E-2</v>
      </c>
      <c r="I28" s="2">
        <v>0.67994522004915214</v>
      </c>
      <c r="J28" s="2">
        <v>0.29639500546186637</v>
      </c>
      <c r="L28" s="23">
        <v>680.53671441137658</v>
      </c>
      <c r="N28" s="2">
        <v>0.53361868952584435</v>
      </c>
      <c r="P28" s="25">
        <f t="shared" si="0"/>
        <v>0.49193373633950943</v>
      </c>
      <c r="Q28" s="25">
        <f t="shared" si="1"/>
        <v>0.49193373633950943</v>
      </c>
      <c r="R28" s="25"/>
      <c r="S28" s="25">
        <f t="shared" ref="S28" si="27">4/3</f>
        <v>1.3333333333333333</v>
      </c>
      <c r="T28" s="25"/>
      <c r="U28" s="24">
        <f t="shared" si="2"/>
        <v>0.65591164845267924</v>
      </c>
      <c r="V28" s="24">
        <f t="shared" si="3"/>
        <v>0.65591164845267924</v>
      </c>
    </row>
    <row r="29" spans="7:22" x14ac:dyDescent="0.2">
      <c r="G29" s="22">
        <f t="shared" si="8"/>
        <v>25</v>
      </c>
      <c r="H29" s="2" cm="1">
        <f t="array" ref="H29:J29">MMULT(H28:J28,m_trtA)</f>
        <v>2.0242355258861932E-2</v>
      </c>
      <c r="I29" s="2">
        <v>0.67107151806273202</v>
      </c>
      <c r="J29" s="2">
        <v>0.30868612667840478</v>
      </c>
      <c r="L29" s="23">
        <v>671.57757694420354</v>
      </c>
      <c r="N29" s="2">
        <v>0.52354599380591105</v>
      </c>
      <c r="P29" s="25">
        <f t="shared" si="0"/>
        <v>0.47760556926165965</v>
      </c>
      <c r="Q29" s="25">
        <f t="shared" si="1"/>
        <v>0.47760556926165965</v>
      </c>
      <c r="R29" s="25"/>
      <c r="S29" s="25">
        <f t="shared" ref="S29" si="28">2/3</f>
        <v>0.66666666666666663</v>
      </c>
      <c r="T29" s="25"/>
      <c r="U29" s="24">
        <f t="shared" si="2"/>
        <v>0.31840371284110641</v>
      </c>
      <c r="V29" s="24">
        <f t="shared" si="3"/>
        <v>0.31840371284110641</v>
      </c>
    </row>
    <row r="30" spans="7:22" x14ac:dyDescent="0.2">
      <c r="G30" s="22">
        <f t="shared" si="8"/>
        <v>26</v>
      </c>
      <c r="H30" s="2" cm="1">
        <f t="array" ref="H30:J30">MMULT(H29:J29,m_trtA)</f>
        <v>1.7318548264981214E-2</v>
      </c>
      <c r="I30" s="2">
        <v>0.66188584310091492</v>
      </c>
      <c r="J30" s="2">
        <v>0.32079560863410261</v>
      </c>
      <c r="L30" s="23">
        <v>662.31880680753943</v>
      </c>
      <c r="N30" s="2">
        <v>0.51373293059066738</v>
      </c>
      <c r="P30" s="25">
        <f t="shared" si="0"/>
        <v>0.46369472743850448</v>
      </c>
      <c r="Q30" s="25">
        <f t="shared" si="1"/>
        <v>0.46369472743850448</v>
      </c>
      <c r="R30" s="25"/>
      <c r="S30" s="25">
        <f t="shared" ref="S30" si="29">4/3</f>
        <v>1.3333333333333333</v>
      </c>
      <c r="T30" s="25"/>
      <c r="U30" s="24">
        <f t="shared" si="2"/>
        <v>0.61825963658467264</v>
      </c>
      <c r="V30" s="24">
        <f t="shared" si="3"/>
        <v>0.61825963658467264</v>
      </c>
    </row>
    <row r="31" spans="7:22" x14ac:dyDescent="0.2">
      <c r="G31" s="22">
        <f t="shared" si="8"/>
        <v>27</v>
      </c>
      <c r="H31" s="2" cm="1">
        <f t="array" ref="H31:J31">MMULT(H30:J30,m_trtA)</f>
        <v>1.4817056126666688E-2</v>
      </c>
      <c r="I31" s="2">
        <v>0.65246168636121493</v>
      </c>
      <c r="J31" s="2">
        <v>0.33272125751211706</v>
      </c>
      <c r="L31" s="23">
        <v>652.83211276438158</v>
      </c>
      <c r="N31" s="2">
        <v>0.50416332089757787</v>
      </c>
      <c r="P31" s="25">
        <f t="shared" si="0"/>
        <v>0.45018905576553836</v>
      </c>
      <c r="Q31" s="25">
        <f t="shared" si="1"/>
        <v>0.45018905576553836</v>
      </c>
      <c r="R31" s="25"/>
      <c r="S31" s="25">
        <f t="shared" ref="S31" si="30">2/3</f>
        <v>0.66666666666666663</v>
      </c>
      <c r="T31" s="25"/>
      <c r="U31" s="24">
        <f t="shared" si="2"/>
        <v>0.30012603717702557</v>
      </c>
      <c r="V31" s="24">
        <f t="shared" si="3"/>
        <v>0.30012603717702557</v>
      </c>
    </row>
    <row r="32" spans="7:22" x14ac:dyDescent="0.2">
      <c r="G32" s="22">
        <f t="shared" si="8"/>
        <v>28</v>
      </c>
      <c r="H32" s="2" cm="1">
        <f t="array" ref="H32:J32">MMULT(H31:J31,m_trtA)</f>
        <v>1.267687966113879E-2</v>
      </c>
      <c r="I32" s="2">
        <v>0.64286141680989406</v>
      </c>
      <c r="J32" s="2">
        <v>0.34446170352896577</v>
      </c>
      <c r="L32" s="23">
        <v>643.17833880142257</v>
      </c>
      <c r="N32" s="2">
        <v>0.49482294226855933</v>
      </c>
      <c r="P32" s="25">
        <f t="shared" si="0"/>
        <v>0.4370767531704256</v>
      </c>
      <c r="Q32" s="25">
        <f t="shared" si="1"/>
        <v>0.4370767531704256</v>
      </c>
      <c r="R32" s="25"/>
      <c r="S32" s="25">
        <f t="shared" ref="S32" si="31">4/3</f>
        <v>1.3333333333333333</v>
      </c>
      <c r="T32" s="25"/>
      <c r="U32" s="24">
        <f t="shared" si="2"/>
        <v>0.5827690042272341</v>
      </c>
      <c r="V32" s="24">
        <f t="shared" si="3"/>
        <v>0.5827690042272341</v>
      </c>
    </row>
    <row r="33" spans="7:22" x14ac:dyDescent="0.2">
      <c r="G33" s="22">
        <f t="shared" si="8"/>
        <v>29</v>
      </c>
      <c r="H33" s="2" cm="1">
        <f t="array" ref="H33:J33">MMULT(H32:J32,m_trtA)</f>
        <v>1.0845830411195644E-2</v>
      </c>
      <c r="I33" s="2">
        <v>0.63313789672488463</v>
      </c>
      <c r="J33" s="2">
        <v>0.35601627286391835</v>
      </c>
      <c r="L33" s="23">
        <v>633.40904248516449</v>
      </c>
      <c r="N33" s="2">
        <v>0.48569925295485911</v>
      </c>
      <c r="P33" s="25">
        <f t="shared" si="0"/>
        <v>0.42434636230138412</v>
      </c>
      <c r="Q33" s="25">
        <f t="shared" si="1"/>
        <v>0.42434636230138412</v>
      </c>
      <c r="R33" s="25"/>
      <c r="S33" s="25">
        <f t="shared" ref="S33" si="32">2/3</f>
        <v>0.66666666666666663</v>
      </c>
      <c r="T33" s="25"/>
      <c r="U33" s="24">
        <f t="shared" si="2"/>
        <v>0.28289757486758937</v>
      </c>
      <c r="V33" s="24">
        <f t="shared" si="3"/>
        <v>0.28289757486758937</v>
      </c>
    </row>
    <row r="34" spans="7:22" x14ac:dyDescent="0.2">
      <c r="G34" s="22">
        <f t="shared" si="8"/>
        <v>30</v>
      </c>
      <c r="H34" s="2" cm="1">
        <f t="array" ref="H34:J34">MMULT(H33:J33,m_trtA)</f>
        <v>9.2792580234881839E-3</v>
      </c>
      <c r="I34" s="2">
        <v>0.62333586372820371</v>
      </c>
      <c r="J34" s="2">
        <v>0.36738487824830668</v>
      </c>
      <c r="L34" s="23">
        <v>623.56784517879089</v>
      </c>
      <c r="N34" s="2">
        <v>0.47678115581964098</v>
      </c>
      <c r="P34" s="25">
        <f t="shared" si="0"/>
        <v>0.41198675951590691</v>
      </c>
      <c r="Q34" s="25">
        <f t="shared" si="1"/>
        <v>0.41198675951590691</v>
      </c>
      <c r="R34" s="25"/>
      <c r="S34" s="25">
        <f t="shared" ref="S34" si="33">4/3</f>
        <v>1.3333333333333333</v>
      </c>
      <c r="T34" s="25"/>
      <c r="U34" s="24">
        <f t="shared" si="2"/>
        <v>0.54931567935454251</v>
      </c>
      <c r="V34" s="24">
        <f t="shared" si="3"/>
        <v>0.54931567935454251</v>
      </c>
    </row>
    <row r="35" spans="7:22" x14ac:dyDescent="0.2">
      <c r="G35" s="22">
        <f t="shared" si="8"/>
        <v>31</v>
      </c>
      <c r="H35" s="2" cm="1">
        <f t="array" ref="H35:J35">MMULT(H34:J34,m_trtA)</f>
        <v>7.9389614443526654E-3</v>
      </c>
      <c r="I35" s="2">
        <v>0.613493113039011</v>
      </c>
      <c r="J35" s="2">
        <v>0.37856792551663482</v>
      </c>
      <c r="L35" s="23">
        <v>613.69158707511974</v>
      </c>
      <c r="N35" s="2">
        <v>0.46805879622361091</v>
      </c>
      <c r="P35" s="25">
        <f t="shared" si="0"/>
        <v>0.39998714516107459</v>
      </c>
      <c r="Q35" s="25">
        <f t="shared" si="1"/>
        <v>0.39998714516107459</v>
      </c>
      <c r="R35" s="25"/>
      <c r="S35" s="25">
        <f t="shared" ref="S35" si="34">2/3</f>
        <v>0.66666666666666663</v>
      </c>
      <c r="T35" s="25"/>
      <c r="U35" s="24">
        <f t="shared" si="2"/>
        <v>0.26665809677404972</v>
      </c>
      <c r="V35" s="24">
        <f t="shared" si="3"/>
        <v>0.26665809677404972</v>
      </c>
    </row>
    <row r="36" spans="7:22" x14ac:dyDescent="0.2">
      <c r="G36" s="22">
        <f t="shared" si="8"/>
        <v>32</v>
      </c>
      <c r="H36" s="2" cm="1">
        <f t="array" ref="H36:J36">MMULT(H35:J35,m_trtA)</f>
        <v>6.792257382581708E-3</v>
      </c>
      <c r="I36" s="2">
        <v>0.60364150880627876</v>
      </c>
      <c r="J36" s="2">
        <v>0.38956623381113797</v>
      </c>
      <c r="L36" s="23">
        <v>603.81131524084333</v>
      </c>
      <c r="N36" s="2">
        <v>0.45952338898729078</v>
      </c>
      <c r="P36" s="25">
        <f t="shared" ref="P36:P67" si="35">(1 / ((1 + (d_c)) ^ (G36)))</f>
        <v>0.38833703413696569</v>
      </c>
      <c r="Q36" s="25">
        <f t="shared" ref="Q36:Q67" si="36">(1 / ((1 + (d_e)) ^ (G36)))</f>
        <v>0.38833703413696569</v>
      </c>
      <c r="R36" s="25"/>
      <c r="S36" s="25">
        <f t="shared" ref="S36" si="37">4/3</f>
        <v>1.3333333333333333</v>
      </c>
      <c r="T36" s="25"/>
      <c r="U36" s="24">
        <f t="shared" si="2"/>
        <v>0.51778271218262084</v>
      </c>
      <c r="V36" s="24">
        <f t="shared" si="3"/>
        <v>0.51778271218262084</v>
      </c>
    </row>
    <row r="37" spans="7:22" x14ac:dyDescent="0.2">
      <c r="G37" s="22">
        <f t="shared" si="8"/>
        <v>33</v>
      </c>
      <c r="H37" s="2" cm="1">
        <f t="array" ref="H37:J37">MMULT(H36:J36,m_trtA)</f>
        <v>5.8111833234879111E-3</v>
      </c>
      <c r="I37" s="2">
        <v>0.59380784921160257</v>
      </c>
      <c r="J37" s="2">
        <v>0.40038096746490803</v>
      </c>
      <c r="L37" s="23">
        <v>593.95312879468986</v>
      </c>
      <c r="N37" s="2">
        <v>0.45116707023218983</v>
      </c>
      <c r="P37" s="25">
        <f t="shared" si="35"/>
        <v>0.37702624673491814</v>
      </c>
      <c r="Q37" s="25">
        <f t="shared" si="36"/>
        <v>0.37702624673491814</v>
      </c>
      <c r="R37" s="25"/>
      <c r="S37" s="25">
        <f t="shared" ref="S37" si="38">2/3</f>
        <v>0.66666666666666663</v>
      </c>
      <c r="T37" s="25"/>
      <c r="U37" s="24">
        <f t="shared" si="2"/>
        <v>0.25135083115661205</v>
      </c>
      <c r="V37" s="24">
        <f t="shared" si="3"/>
        <v>0.25135083115661205</v>
      </c>
    </row>
    <row r="38" spans="7:22" x14ac:dyDescent="0.2">
      <c r="G38" s="22">
        <f t="shared" si="8"/>
        <v>34</v>
      </c>
      <c r="H38" s="2" cm="1">
        <f t="array" ref="H38:J38">MMULT(H37:J37,m_trtA)</f>
        <v>4.97181565966339E-3</v>
      </c>
      <c r="I38" s="2">
        <v>0.58401460646633041</v>
      </c>
      <c r="J38" s="2">
        <v>0.41101357787400467</v>
      </c>
      <c r="L38" s="23">
        <v>584.13890185782202</v>
      </c>
      <c r="N38" s="2">
        <v>0.44298277050941121</v>
      </c>
      <c r="P38" s="25">
        <f t="shared" si="35"/>
        <v>0.36604489974263904</v>
      </c>
      <c r="Q38" s="25">
        <f t="shared" si="36"/>
        <v>0.36604489974263904</v>
      </c>
      <c r="R38" s="25"/>
      <c r="S38" s="25">
        <f t="shared" ref="S38" si="39">4/3</f>
        <v>1.3333333333333333</v>
      </c>
      <c r="T38" s="25"/>
      <c r="U38" s="24">
        <f t="shared" si="2"/>
        <v>0.48805986632351872</v>
      </c>
      <c r="V38" s="24">
        <f t="shared" si="3"/>
        <v>0.48805986632351872</v>
      </c>
    </row>
    <row r="39" spans="7:22" x14ac:dyDescent="0.2">
      <c r="G39" s="22">
        <f t="shared" si="8"/>
        <v>35</v>
      </c>
      <c r="H39" s="2" cm="1">
        <f t="array" ref="H39:J39">MMULT(H38:J38,m_trtA)</f>
        <v>4.2536863109728278E-3</v>
      </c>
      <c r="I39" s="2">
        <v>0.57428055977596137</v>
      </c>
      <c r="J39" s="2">
        <v>0.42146575391306423</v>
      </c>
      <c r="L39" s="23">
        <v>574.38690193373566</v>
      </c>
      <c r="N39" s="2">
        <v>0.43496410614294384</v>
      </c>
      <c r="P39" s="25">
        <f t="shared" si="35"/>
        <v>0.35538339780838735</v>
      </c>
      <c r="Q39" s="25">
        <f t="shared" si="36"/>
        <v>0.35538339780838735</v>
      </c>
      <c r="R39" s="25"/>
      <c r="S39" s="25">
        <f t="shared" ref="S39" si="40">2/3</f>
        <v>0.66666666666666663</v>
      </c>
      <c r="T39" s="25"/>
      <c r="U39" s="24">
        <f t="shared" si="2"/>
        <v>0.23692226520559156</v>
      </c>
      <c r="V39" s="24">
        <f t="shared" si="3"/>
        <v>0.23692226520559156</v>
      </c>
    </row>
    <row r="40" spans="7:22" x14ac:dyDescent="0.2">
      <c r="G40" s="22">
        <f t="shared" si="8"/>
        <v>36</v>
      </c>
      <c r="H40" s="2" cm="1">
        <f t="array" ref="H40:J40">MMULT(H39:J39,m_trtA)</f>
        <v>3.6392836079893287E-3</v>
      </c>
      <c r="I40" s="2">
        <v>0.56462133673425829</v>
      </c>
      <c r="J40" s="2">
        <v>0.43173937965775089</v>
      </c>
      <c r="L40" s="23">
        <v>564.71231882445807</v>
      </c>
      <c r="N40" s="2">
        <v>0.42710528615868304</v>
      </c>
      <c r="P40" s="25">
        <f t="shared" si="35"/>
        <v>0.34503242505668674</v>
      </c>
      <c r="Q40" s="25">
        <f t="shared" si="36"/>
        <v>0.34503242505668674</v>
      </c>
      <c r="R40" s="25"/>
      <c r="S40" s="25">
        <f t="shared" ref="S40" si="41">4/3</f>
        <v>1.3333333333333333</v>
      </c>
      <c r="T40" s="25"/>
      <c r="U40" s="24">
        <f t="shared" si="2"/>
        <v>0.46004323340891562</v>
      </c>
      <c r="V40" s="24">
        <f t="shared" si="3"/>
        <v>0.46004323340891562</v>
      </c>
    </row>
    <row r="41" spans="7:22" x14ac:dyDescent="0.2">
      <c r="G41" s="22">
        <f t="shared" si="8"/>
        <v>37</v>
      </c>
      <c r="H41" s="2" cm="1">
        <f t="array" ref="H41:J41">MMULT(H40:J40,m_trtA)</f>
        <v>3.1136252678563886E-3</v>
      </c>
      <c r="I41" s="2">
        <v>0.55504987637607672</v>
      </c>
      <c r="J41" s="2">
        <v>0.44183649835606537</v>
      </c>
      <c r="L41" s="23">
        <v>555.12771700777307</v>
      </c>
      <c r="N41" s="2">
        <v>0.41940103254991395</v>
      </c>
      <c r="P41" s="25">
        <f t="shared" si="35"/>
        <v>0.33498293694823961</v>
      </c>
      <c r="Q41" s="25">
        <f t="shared" si="36"/>
        <v>0.33498293694823961</v>
      </c>
      <c r="R41" s="25"/>
      <c r="S41" s="25">
        <f t="shared" ref="S41" si="42">2/3</f>
        <v>0.66666666666666663</v>
      </c>
      <c r="T41" s="25"/>
      <c r="U41" s="24">
        <f t="shared" si="2"/>
        <v>0.22332195796549306</v>
      </c>
      <c r="V41" s="24">
        <f t="shared" si="3"/>
        <v>0.22332195796549306</v>
      </c>
    </row>
    <row r="42" spans="7:22" x14ac:dyDescent="0.2">
      <c r="G42" s="22">
        <f t="shared" si="8"/>
        <v>38</v>
      </c>
      <c r="H42" s="2" cm="1">
        <f t="array" ref="H42:J42">MMULT(H41:J41,m_trtA)</f>
        <v>2.6638930495416877E-3</v>
      </c>
      <c r="I42" s="2">
        <v>0.54557682520706896</v>
      </c>
      <c r="J42" s="2">
        <v>0.45175928174338786</v>
      </c>
      <c r="L42" s="23">
        <v>545.64342253330756</v>
      </c>
      <c r="N42" s="2">
        <v>0.4118465119548434</v>
      </c>
      <c r="P42" s="25">
        <f t="shared" si="35"/>
        <v>0.3252261523769317</v>
      </c>
      <c r="Q42" s="25">
        <f t="shared" si="36"/>
        <v>0.3252261523769317</v>
      </c>
      <c r="R42" s="25"/>
      <c r="S42" s="25">
        <f t="shared" ref="S42" si="43">4/3</f>
        <v>1.3333333333333333</v>
      </c>
      <c r="T42" s="25"/>
      <c r="U42" s="24">
        <f t="shared" si="2"/>
        <v>0.43363486983590893</v>
      </c>
      <c r="V42" s="24">
        <f t="shared" si="3"/>
        <v>0.43363486983590893</v>
      </c>
    </row>
    <row r="43" spans="7:22" x14ac:dyDescent="0.2">
      <c r="G43" s="22">
        <f t="shared" si="8"/>
        <v>39</v>
      </c>
      <c r="H43" s="2" cm="1">
        <f t="array" ref="H43:J43">MMULT(H42:J42,m_trtA)</f>
        <v>2.2791201795076838E-3</v>
      </c>
      <c r="I43" s="2">
        <v>0.5362108758935783</v>
      </c>
      <c r="J43" s="2">
        <v>0.4615100039269126</v>
      </c>
      <c r="L43" s="23">
        <v>536.26785389806605</v>
      </c>
      <c r="N43" s="2">
        <v>0.40443727709969146</v>
      </c>
      <c r="P43" s="25">
        <f t="shared" si="35"/>
        <v>0.31575354599702099</v>
      </c>
      <c r="Q43" s="25">
        <f t="shared" si="36"/>
        <v>0.31575354599702099</v>
      </c>
      <c r="R43" s="25"/>
      <c r="S43" s="25">
        <f t="shared" ref="S43" si="44">2/3</f>
        <v>0.66666666666666663</v>
      </c>
      <c r="T43" s="25"/>
      <c r="U43" s="24">
        <f t="shared" si="2"/>
        <v>0.21050236399801397</v>
      </c>
      <c r="V43" s="24">
        <f t="shared" si="3"/>
        <v>0.21050236399801397</v>
      </c>
    </row>
    <row r="44" spans="7:22" x14ac:dyDescent="0.2">
      <c r="G44" s="22">
        <f t="shared" si="8"/>
        <v>40</v>
      </c>
      <c r="H44" s="2" cm="1">
        <f t="array" ref="H44:J44">MMULT(H43:J43,m_trtA)</f>
        <v>1.9499239256368834E-3</v>
      </c>
      <c r="I44" s="2">
        <v>0.52695905689733924</v>
      </c>
      <c r="J44" s="2">
        <v>0.4710910191770224</v>
      </c>
      <c r="L44" s="23">
        <v>527.00780499548011</v>
      </c>
      <c r="N44" s="2">
        <v>0.39716921659864129</v>
      </c>
      <c r="P44" s="25">
        <f t="shared" si="35"/>
        <v>0.30655684077380685</v>
      </c>
      <c r="Q44" s="25">
        <f t="shared" si="36"/>
        <v>0.30655684077380685</v>
      </c>
      <c r="R44" s="25"/>
      <c r="S44" s="25">
        <f t="shared" ref="S44" si="45">4/3</f>
        <v>1.3333333333333333</v>
      </c>
      <c r="T44" s="25"/>
      <c r="U44" s="24">
        <f t="shared" si="2"/>
        <v>0.40874245436507578</v>
      </c>
      <c r="V44" s="24">
        <f t="shared" si="3"/>
        <v>0.40874245436507578</v>
      </c>
    </row>
    <row r="45" spans="7:22" x14ac:dyDescent="0.2">
      <c r="G45" s="22">
        <f t="shared" si="8"/>
        <v>41</v>
      </c>
      <c r="H45" s="2" cm="1">
        <f t="array" ref="H45:J45">MMULT(H44:J44,m_trtA)</f>
        <v>1.6682767981952026E-3</v>
      </c>
      <c r="I45" s="2">
        <v>0.5178269801429235</v>
      </c>
      <c r="J45" s="2">
        <v>0.48050474305887986</v>
      </c>
      <c r="L45" s="23">
        <v>517.86868706287839</v>
      </c>
      <c r="N45" s="2">
        <v>0.3900385119053878</v>
      </c>
      <c r="P45" s="25">
        <f t="shared" si="35"/>
        <v>0.29762800075126877</v>
      </c>
      <c r="Q45" s="25">
        <f t="shared" si="36"/>
        <v>0.29762800075126877</v>
      </c>
      <c r="R45" s="25"/>
      <c r="S45" s="25">
        <f t="shared" ref="S45" si="46">2/3</f>
        <v>0.66666666666666663</v>
      </c>
      <c r="T45" s="25"/>
      <c r="U45" s="24">
        <f t="shared" si="2"/>
        <v>0.1984186671675125</v>
      </c>
      <c r="V45" s="24">
        <f t="shared" si="3"/>
        <v>0.1984186671675125</v>
      </c>
    </row>
    <row r="46" spans="7:22" x14ac:dyDescent="0.2">
      <c r="G46" s="22">
        <f t="shared" si="8"/>
        <v>42</v>
      </c>
      <c r="H46" s="2" cm="1">
        <f t="array" ref="H46:J46">MMULT(H45:J45,m_trtA)</f>
        <v>1.4273107985417464E-3</v>
      </c>
      <c r="I46" s="2">
        <v>0.50881905278204453</v>
      </c>
      <c r="J46" s="2">
        <v>0.48975363641941222</v>
      </c>
      <c r="L46" s="23">
        <v>508.85473555200809</v>
      </c>
      <c r="N46" s="2">
        <v>0.38304160038507518</v>
      </c>
      <c r="P46" s="25">
        <f t="shared" si="35"/>
        <v>0.28895922403035801</v>
      </c>
      <c r="Q46" s="25">
        <f t="shared" si="36"/>
        <v>0.28895922403035801</v>
      </c>
      <c r="R46" s="25"/>
      <c r="S46" s="25">
        <f t="shared" ref="S46" si="47">4/3</f>
        <v>1.3333333333333333</v>
      </c>
      <c r="T46" s="25"/>
      <c r="U46" s="24">
        <f t="shared" si="2"/>
        <v>0.38527896537381068</v>
      </c>
      <c r="V46" s="24">
        <f t="shared" si="3"/>
        <v>0.38527896537381068</v>
      </c>
    </row>
    <row r="47" spans="7:22" x14ac:dyDescent="0.2">
      <c r="G47" s="22">
        <f t="shared" si="8"/>
        <v>43</v>
      </c>
      <c r="H47" s="2" cm="1">
        <f t="array" ref="H47:J47">MMULT(H46:J46,m_trtA)</f>
        <v>1.2211499421665552E-3</v>
      </c>
      <c r="I47" s="2">
        <v>0.49993865824289513</v>
      </c>
      <c r="J47" s="2">
        <v>0.49884019181493683</v>
      </c>
      <c r="L47" s="23">
        <v>499.96918699144931</v>
      </c>
      <c r="N47" s="2">
        <v>0.3761751436243379</v>
      </c>
      <c r="P47" s="25">
        <f t="shared" si="35"/>
        <v>0.28054293595180391</v>
      </c>
      <c r="Q47" s="25">
        <f t="shared" si="36"/>
        <v>0.28054293595180391</v>
      </c>
      <c r="R47" s="25"/>
      <c r="S47" s="25">
        <f t="shared" ref="S47" si="48">2/3</f>
        <v>0.66666666666666663</v>
      </c>
      <c r="T47" s="25"/>
      <c r="U47" s="24">
        <f t="shared" si="2"/>
        <v>0.18702862396786926</v>
      </c>
      <c r="V47" s="24">
        <f t="shared" si="3"/>
        <v>0.18702862396786926</v>
      </c>
    </row>
    <row r="48" spans="7:22" x14ac:dyDescent="0.2">
      <c r="G48" s="22">
        <f t="shared" si="8"/>
        <v>44</v>
      </c>
      <c r="H48" s="2" cm="1">
        <f t="array" ref="H48:J48">MMULT(H47:J47,m_trtA)</f>
        <v>1.0447669721107109E-3</v>
      </c>
      <c r="I48" s="2">
        <v>0.49118831100326538</v>
      </c>
      <c r="J48" s="2">
        <v>0.50776692202462237</v>
      </c>
      <c r="L48" s="23">
        <v>491.21443017756815</v>
      </c>
      <c r="N48" s="2">
        <v>0.36943600022455975</v>
      </c>
      <c r="P48" s="25">
        <f t="shared" si="35"/>
        <v>0.27237178247747956</v>
      </c>
      <c r="Q48" s="25">
        <f t="shared" si="36"/>
        <v>0.27237178247747956</v>
      </c>
      <c r="R48" s="25"/>
      <c r="S48" s="25">
        <f t="shared" ref="S48" si="49">4/3</f>
        <v>1.3333333333333333</v>
      </c>
      <c r="T48" s="25"/>
      <c r="U48" s="24">
        <f t="shared" si="2"/>
        <v>0.36316237663663942</v>
      </c>
      <c r="V48" s="24">
        <f t="shared" si="3"/>
        <v>0.36316237663663942</v>
      </c>
    </row>
    <row r="49" spans="7:22" x14ac:dyDescent="0.2">
      <c r="G49" s="22">
        <f t="shared" si="8"/>
        <v>45</v>
      </c>
      <c r="H49" s="2" cm="1">
        <f t="array" ref="H49:J49">MMULT(H48:J48,m_trtA)</f>
        <v>8.9386076870853726E-4</v>
      </c>
      <c r="I49" s="2">
        <v>0.48256978888501934</v>
      </c>
      <c r="J49" s="2">
        <v>0.51653635034627055</v>
      </c>
      <c r="L49" s="23">
        <v>482.59213540423701</v>
      </c>
      <c r="N49" s="2">
        <v>0.36282120243247301</v>
      </c>
      <c r="P49" s="25">
        <f t="shared" si="35"/>
        <v>0.26443862376454325</v>
      </c>
      <c r="Q49" s="25">
        <f t="shared" si="36"/>
        <v>0.26443862376454325</v>
      </c>
      <c r="R49" s="25"/>
      <c r="S49" s="25">
        <f t="shared" ref="S49" si="50">2/3</f>
        <v>0.66666666666666663</v>
      </c>
      <c r="T49" s="25"/>
      <c r="U49" s="24">
        <f t="shared" si="2"/>
        <v>0.17629241584302882</v>
      </c>
      <c r="V49" s="24">
        <f t="shared" si="3"/>
        <v>0.17629241584302882</v>
      </c>
    </row>
    <row r="50" spans="7:22" x14ac:dyDescent="0.2">
      <c r="G50" s="22">
        <f t="shared" si="8"/>
        <v>46</v>
      </c>
      <c r="H50" s="2" cm="1">
        <f t="array" ref="H50:J50">MMULT(H49:J49,m_trtA)</f>
        <v>7.6475146627390787E-4</v>
      </c>
      <c r="I50" s="2">
        <v>0.47408424611894368</v>
      </c>
      <c r="J50" s="2">
        <v>0.52515100241478085</v>
      </c>
      <c r="L50" s="23">
        <v>474.10336490560053</v>
      </c>
      <c r="N50" s="2">
        <v>0.35632793605548169</v>
      </c>
      <c r="P50" s="25">
        <f t="shared" si="35"/>
        <v>0.25673652792674101</v>
      </c>
      <c r="Q50" s="25">
        <f t="shared" si="36"/>
        <v>0.25673652792674101</v>
      </c>
      <c r="R50" s="25"/>
      <c r="S50" s="25">
        <f t="shared" ref="S50" si="51">4/3</f>
        <v>1.3333333333333333</v>
      </c>
      <c r="T50" s="25"/>
      <c r="U50" s="24">
        <f t="shared" si="2"/>
        <v>0.34231537056898798</v>
      </c>
      <c r="V50" s="24">
        <f t="shared" si="3"/>
        <v>0.34231537056898798</v>
      </c>
    </row>
    <row r="51" spans="7:22" x14ac:dyDescent="0.2">
      <c r="G51" s="22">
        <f t="shared" si="8"/>
        <v>47</v>
      </c>
      <c r="H51" s="2" cm="1">
        <f t="array" ref="H51:J51">MMULT(H50:J50,m_trtA)</f>
        <v>6.5429071913860161E-4</v>
      </c>
      <c r="I51" s="2">
        <v>0.4657323099596557</v>
      </c>
      <c r="J51" s="2">
        <v>0.53361339932120411</v>
      </c>
      <c r="L51" s="23">
        <v>465.7486672276342</v>
      </c>
      <c r="N51" s="2">
        <v>0.34995352318888034</v>
      </c>
      <c r="P51" s="25">
        <f t="shared" si="35"/>
        <v>0.24925876497741845</v>
      </c>
      <c r="Q51" s="25">
        <f t="shared" si="36"/>
        <v>0.24925876497741845</v>
      </c>
      <c r="R51" s="25"/>
      <c r="S51" s="25">
        <f t="shared" ref="S51" si="52">2/3</f>
        <v>0.66666666666666663</v>
      </c>
      <c r="T51" s="25"/>
      <c r="U51" s="24">
        <f t="shared" si="2"/>
        <v>0.16617250998494562</v>
      </c>
      <c r="V51" s="24">
        <f t="shared" si="3"/>
        <v>0.16617250998494562</v>
      </c>
    </row>
    <row r="52" spans="7:22" x14ac:dyDescent="0.2">
      <c r="G52" s="22">
        <f t="shared" si="8"/>
        <v>48</v>
      </c>
      <c r="H52" s="2" cm="1">
        <f t="array" ref="H52:J52">MMULT(H51:J51,m_trtA)</f>
        <v>5.5978492886939939E-4</v>
      </c>
      <c r="I52" s="2">
        <v>0.45751416322872113</v>
      </c>
      <c r="J52" s="2">
        <v>0.54192605184240783</v>
      </c>
      <c r="L52" s="23">
        <v>457.52815785194286</v>
      </c>
      <c r="N52" s="2">
        <v>0.34369540735041021</v>
      </c>
      <c r="P52" s="25">
        <f t="shared" si="35"/>
        <v>0.24199880094894996</v>
      </c>
      <c r="Q52" s="25">
        <f t="shared" si="36"/>
        <v>0.24199880094894996</v>
      </c>
      <c r="R52" s="25"/>
      <c r="S52" s="25">
        <f t="shared" ref="S52" si="53">4/3</f>
        <v>1.3333333333333333</v>
      </c>
      <c r="T52" s="25"/>
      <c r="U52" s="24">
        <f t="shared" si="2"/>
        <v>0.32266506793193328</v>
      </c>
      <c r="V52" s="24">
        <f t="shared" si="3"/>
        <v>0.32266506793193328</v>
      </c>
    </row>
    <row r="53" spans="7:22" x14ac:dyDescent="0.2">
      <c r="G53" s="22">
        <f t="shared" si="8"/>
        <v>49</v>
      </c>
      <c r="H53" s="2" cm="1">
        <f t="array" ref="H53:J53">MMULT(H52:J52,m_trtA)</f>
        <v>4.7892956055049611E-4</v>
      </c>
      <c r="I53" s="2">
        <v>0.44942961482059457</v>
      </c>
      <c r="J53" s="2">
        <v>0.55009145561885331</v>
      </c>
      <c r="L53" s="23">
        <v>449.44158805960831</v>
      </c>
      <c r="N53" s="2">
        <v>0.33755114067599645</v>
      </c>
      <c r="P53" s="25">
        <f t="shared" si="35"/>
        <v>0.2349502921834466</v>
      </c>
      <c r="Q53" s="25">
        <f t="shared" si="36"/>
        <v>0.2349502921834466</v>
      </c>
      <c r="R53" s="25"/>
      <c r="S53" s="25">
        <f t="shared" ref="S53" si="54">2/3</f>
        <v>0.66666666666666663</v>
      </c>
      <c r="T53" s="25"/>
      <c r="U53" s="24">
        <f t="shared" si="2"/>
        <v>0.15663352812229772</v>
      </c>
      <c r="V53" s="24">
        <f t="shared" si="3"/>
        <v>0.15663352812229772</v>
      </c>
    </row>
    <row r="54" spans="7:22" x14ac:dyDescent="0.2">
      <c r="G54" s="22">
        <f t="shared" si="8"/>
        <v>50</v>
      </c>
      <c r="H54" s="2" cm="1">
        <f t="array" ref="H54:J54">MMULT(H53:J53,m_trtA)</f>
        <v>4.0975294642597518E-4</v>
      </c>
      <c r="I54" s="2">
        <v>0.44147815991207773</v>
      </c>
      <c r="J54" s="2">
        <v>0.55811208714149463</v>
      </c>
      <c r="L54" s="23">
        <v>441.48840373573836</v>
      </c>
      <c r="N54" s="2">
        <v>0.33151837288048425</v>
      </c>
      <c r="P54" s="25">
        <f t="shared" si="35"/>
        <v>0.22810707978975397</v>
      </c>
      <c r="Q54" s="25">
        <f t="shared" si="36"/>
        <v>0.22810707978975397</v>
      </c>
      <c r="R54" s="25"/>
      <c r="S54" s="25">
        <f t="shared" ref="S54" si="55">4/3</f>
        <v>1.3333333333333333</v>
      </c>
      <c r="T54" s="25"/>
      <c r="U54" s="24">
        <f t="shared" si="2"/>
        <v>0.3041427730530053</v>
      </c>
      <c r="V54" s="24">
        <f t="shared" si="3"/>
        <v>0.3041427730530053</v>
      </c>
    </row>
    <row r="55" spans="7:22" x14ac:dyDescent="0.2">
      <c r="G55" s="22">
        <f t="shared" si="8"/>
        <v>51</v>
      </c>
      <c r="H55" s="2" cm="1">
        <f t="array" ref="H55:J55">MMULT(H54:J54,m_trtA)</f>
        <v>3.5056820654749655E-4</v>
      </c>
      <c r="I55" s="2">
        <v>0.43365903136452938</v>
      </c>
      <c r="J55" s="2">
        <v>0.56599040042892146</v>
      </c>
      <c r="L55" s="23">
        <v>433.66779556969306</v>
      </c>
      <c r="N55" s="2">
        <v>0.32559484172994452</v>
      </c>
      <c r="P55" s="25">
        <f t="shared" si="35"/>
        <v>0.22146318426189707</v>
      </c>
      <c r="Q55" s="25">
        <f t="shared" si="36"/>
        <v>0.22146318426189707</v>
      </c>
      <c r="R55" s="25"/>
      <c r="S55" s="25">
        <f t="shared" ref="S55" si="56">2/3</f>
        <v>0.66666666666666663</v>
      </c>
      <c r="T55" s="25"/>
      <c r="U55" s="24">
        <f t="shared" si="2"/>
        <v>0.14764212284126471</v>
      </c>
      <c r="V55" s="24">
        <f t="shared" si="3"/>
        <v>0.14764212284126471</v>
      </c>
    </row>
    <row r="56" spans="7:22" x14ac:dyDescent="0.2">
      <c r="G56" s="22">
        <f t="shared" si="8"/>
        <v>52</v>
      </c>
      <c r="H56" s="2" cm="1">
        <f t="array" ref="H56:J56">MMULT(H55:J55,m_trtA)</f>
        <v>2.9993211400648371E-4</v>
      </c>
      <c r="I56" s="2">
        <v>0.4259712435929186</v>
      </c>
      <c r="J56" s="2">
        <v>0.57372882429307326</v>
      </c>
      <c r="L56" s="23">
        <v>425.97874189576874</v>
      </c>
      <c r="N56" s="2">
        <v>0.31977836480869543</v>
      </c>
      <c r="P56" s="25">
        <f t="shared" si="35"/>
        <v>0.215012800254269</v>
      </c>
      <c r="Q56" s="25">
        <f t="shared" si="36"/>
        <v>0.215012800254269</v>
      </c>
      <c r="R56" s="25"/>
      <c r="S56" s="25">
        <f t="shared" ref="S56" si="57">4/3</f>
        <v>1.3333333333333333</v>
      </c>
      <c r="T56" s="25"/>
      <c r="U56" s="24">
        <f t="shared" si="2"/>
        <v>0.28668373367235866</v>
      </c>
      <c r="V56" s="24">
        <f t="shared" si="3"/>
        <v>0.28668373367235866</v>
      </c>
    </row>
    <row r="57" spans="7:22" x14ac:dyDescent="0.2">
      <c r="G57" s="22">
        <f t="shared" si="8"/>
        <v>53</v>
      </c>
      <c r="H57" s="2" cm="1">
        <f t="array" ref="H57:J57">MMULT(H56:J56,m_trtA)</f>
        <v>2.5660990167461256E-4</v>
      </c>
      <c r="I57" s="2">
        <v>0.41841362999174897</v>
      </c>
      <c r="J57" s="2">
        <v>0.58132976010657478</v>
      </c>
      <c r="L57" s="23">
        <v>418.4200452392908</v>
      </c>
      <c r="N57" s="2">
        <v>0.31406683239548633</v>
      </c>
      <c r="P57" s="25">
        <f t="shared" si="35"/>
        <v>0.20875029150899907</v>
      </c>
      <c r="Q57" s="25">
        <f t="shared" si="36"/>
        <v>0.20875029150899907</v>
      </c>
      <c r="R57" s="25"/>
      <c r="S57" s="25">
        <f t="shared" ref="S57" si="58">2/3</f>
        <v>0.66666666666666663</v>
      </c>
      <c r="T57" s="25"/>
      <c r="U57" s="24">
        <f t="shared" si="2"/>
        <v>0.13916686100599937</v>
      </c>
      <c r="V57" s="24">
        <f t="shared" si="3"/>
        <v>0.13916686100599937</v>
      </c>
    </row>
    <row r="58" spans="7:22" x14ac:dyDescent="0.2">
      <c r="G58" s="22">
        <f t="shared" si="8"/>
        <v>54</v>
      </c>
      <c r="H58" s="2" cm="1">
        <f t="array" ref="H58:J58">MMULT(H57:J57,m_trtA)</f>
        <v>2.1954515226079075E-4</v>
      </c>
      <c r="I58" s="2">
        <v>0.41098487485040264</v>
      </c>
      <c r="J58" s="2">
        <v>0.58879557999733489</v>
      </c>
      <c r="L58" s="23">
        <v>410.99036347920918</v>
      </c>
      <c r="N58" s="2">
        <v>0.30845820129006279</v>
      </c>
      <c r="P58" s="25">
        <f t="shared" si="35"/>
        <v>0.20267018593106703</v>
      </c>
      <c r="Q58" s="25">
        <f t="shared" si="36"/>
        <v>0.20267018593106703</v>
      </c>
      <c r="R58" s="25"/>
      <c r="S58" s="25">
        <f t="shared" ref="S58" si="59">4/3</f>
        <v>1.3333333333333333</v>
      </c>
      <c r="T58" s="25"/>
      <c r="U58" s="24">
        <f t="shared" si="2"/>
        <v>0.27022691457475601</v>
      </c>
      <c r="V58" s="24">
        <f t="shared" si="3"/>
        <v>0.27022691457475601</v>
      </c>
    </row>
    <row r="59" spans="7:22" x14ac:dyDescent="0.2">
      <c r="G59" s="22">
        <f t="shared" si="8"/>
        <v>55</v>
      </c>
      <c r="H59" s="2" cm="1">
        <f t="array" ref="H59:J59">MMULT(H58:J58,m_trtA)</f>
        <v>1.8783403745009275E-4</v>
      </c>
      <c r="I59" s="2">
        <v>0.40368354055572181</v>
      </c>
      <c r="J59" s="2">
        <v>0.59612862540682643</v>
      </c>
      <c r="L59" s="23">
        <v>403.68823640665806</v>
      </c>
      <c r="N59" s="2">
        <v>0.30295048945424147</v>
      </c>
      <c r="P59" s="25">
        <f t="shared" si="35"/>
        <v>0.19676717080686118</v>
      </c>
      <c r="Q59" s="25">
        <f t="shared" si="36"/>
        <v>0.19676717080686118</v>
      </c>
      <c r="R59" s="25"/>
      <c r="S59" s="25">
        <f t="shared" ref="S59" si="60">2/3</f>
        <v>0.66666666666666663</v>
      </c>
      <c r="T59" s="25"/>
      <c r="U59" s="24">
        <f t="shared" si="2"/>
        <v>0.13117811387124079</v>
      </c>
      <c r="V59" s="24">
        <f t="shared" si="3"/>
        <v>0.13117811387124079</v>
      </c>
    </row>
    <row r="60" spans="7:22" x14ac:dyDescent="0.2">
      <c r="G60" s="22">
        <f t="shared" si="8"/>
        <v>56</v>
      </c>
      <c r="H60" s="2" cm="1">
        <f t="array" ref="H60:J60">MMULT(H59:J59,m_trtA)</f>
        <v>1.6070327794299425E-4</v>
      </c>
      <c r="I60" s="2">
        <v>0.39650809076437527</v>
      </c>
      <c r="J60" s="2">
        <v>0.60333120595768008</v>
      </c>
      <c r="L60" s="23">
        <v>396.51210834632383</v>
      </c>
      <c r="N60" s="2">
        <v>0.29754177135122445</v>
      </c>
      <c r="P60" s="25">
        <f t="shared" si="35"/>
        <v>0.19103608816200118</v>
      </c>
      <c r="Q60" s="25">
        <f t="shared" si="36"/>
        <v>0.19103608816200118</v>
      </c>
      <c r="R60" s="25"/>
      <c r="S60" s="25">
        <f t="shared" ref="S60" si="61">4/3</f>
        <v>1.3333333333333333</v>
      </c>
      <c r="T60" s="25"/>
      <c r="U60" s="24">
        <f t="shared" si="2"/>
        <v>0.25471478421600158</v>
      </c>
      <c r="V60" s="24">
        <f t="shared" si="3"/>
        <v>0.25471478421600158</v>
      </c>
    </row>
    <row r="61" spans="7:22" x14ac:dyDescent="0.2">
      <c r="G61" s="22">
        <f t="shared" si="8"/>
        <v>57</v>
      </c>
      <c r="H61" s="2" cm="1">
        <f t="array" ref="H61:J61">MMULT(H60:J60,m_trtA)</f>
        <v>1.3749128694784656E-4</v>
      </c>
      <c r="I61" s="2">
        <v>0.38945691012893746</v>
      </c>
      <c r="J61" s="2">
        <v>0.61040559858411303</v>
      </c>
      <c r="L61" s="23">
        <v>389.46034741111117</v>
      </c>
      <c r="N61" s="2">
        <v>0.29223017388365091</v>
      </c>
      <c r="P61" s="25">
        <f t="shared" si="35"/>
        <v>0.18547193025437006</v>
      </c>
      <c r="Q61" s="25">
        <f t="shared" si="36"/>
        <v>0.18547193025437006</v>
      </c>
      <c r="R61" s="25"/>
      <c r="S61" s="25">
        <f t="shared" ref="S61" si="62">2/3</f>
        <v>0.66666666666666663</v>
      </c>
      <c r="T61" s="25"/>
      <c r="U61" s="24">
        <f t="shared" si="2"/>
        <v>0.12364795350291337</v>
      </c>
      <c r="V61" s="24">
        <f t="shared" si="3"/>
        <v>0.12364795350291337</v>
      </c>
    </row>
    <row r="62" spans="7:22" x14ac:dyDescent="0.2">
      <c r="G62" s="22">
        <f t="shared" si="8"/>
        <v>58</v>
      </c>
      <c r="H62" s="2" cm="1">
        <f t="array" ref="H62:J62">MMULT(H61:J61,m_trtA)</f>
        <v>1.1763203730841623E-4</v>
      </c>
      <c r="I62" s="2">
        <v>0.38252832107723267</v>
      </c>
      <c r="J62" s="2">
        <v>0.61735404688545725</v>
      </c>
      <c r="L62" s="23">
        <v>382.53126187816537</v>
      </c>
      <c r="N62" s="2">
        <v>0.28701387284523294</v>
      </c>
      <c r="P62" s="25">
        <f t="shared" si="35"/>
        <v>0.18006983519841754</v>
      </c>
      <c r="Q62" s="25">
        <f t="shared" si="36"/>
        <v>0.18006983519841754</v>
      </c>
      <c r="R62" s="25"/>
      <c r="S62" s="25">
        <f t="shared" ref="S62" si="63">4/3</f>
        <v>1.3333333333333333</v>
      </c>
      <c r="T62" s="25"/>
      <c r="U62" s="24">
        <f t="shared" si="2"/>
        <v>0.24009311359789004</v>
      </c>
      <c r="V62" s="24">
        <f t="shared" si="3"/>
        <v>0.24009311359789004</v>
      </c>
    </row>
    <row r="63" spans="7:22" x14ac:dyDescent="0.2">
      <c r="G63" s="22">
        <f>G62+1</f>
        <v>59</v>
      </c>
      <c r="H63" s="2" cm="1">
        <f t="array" ref="H63:J63">MMULT(H62:J62,m_trtA)</f>
        <v>1.0064125886447929E-4</v>
      </c>
      <c r="I63" s="2">
        <v>0.37572059807231062</v>
      </c>
      <c r="J63" s="2">
        <v>0.62417876066882327</v>
      </c>
      <c r="L63" s="23">
        <v>375.72311410378222</v>
      </c>
      <c r="N63" s="2">
        <v>0.28189108981309746</v>
      </c>
      <c r="P63" s="25">
        <f t="shared" si="35"/>
        <v>0.17482508271691022</v>
      </c>
      <c r="Q63" s="25">
        <f t="shared" si="36"/>
        <v>0.17482508271691022</v>
      </c>
      <c r="R63" s="25"/>
      <c r="S63" s="25">
        <f t="shared" ref="S63" si="64">2/3</f>
        <v>0.66666666666666663</v>
      </c>
      <c r="T63" s="25"/>
      <c r="U63" s="24">
        <f t="shared" si="2"/>
        <v>0.11655005514460681</v>
      </c>
      <c r="V63" s="24">
        <f t="shared" si="3"/>
        <v>0.11655005514460681</v>
      </c>
    </row>
    <row r="64" spans="7:22" x14ac:dyDescent="0.2">
      <c r="G64" s="22">
        <f>G63+1</f>
        <v>60</v>
      </c>
      <c r="H64" s="2" cm="1">
        <f t="array" ref="H64:J64">MMULT(H63:J63,m_trtA)</f>
        <v>8.6104629466469807E-5</v>
      </c>
      <c r="I64" s="2">
        <v>0.36903197971865914</v>
      </c>
      <c r="J64" s="2">
        <v>0.63088191565187279</v>
      </c>
      <c r="L64" s="23">
        <v>369.03413233439579</v>
      </c>
      <c r="N64" s="2">
        <v>0.2768600894184608</v>
      </c>
      <c r="P64" s="25">
        <f t="shared" si="35"/>
        <v>0.1697330900164177</v>
      </c>
      <c r="Q64" s="25">
        <f t="shared" si="36"/>
        <v>0.1697330900164177</v>
      </c>
      <c r="R64" s="25"/>
      <c r="S64" s="25">
        <f t="shared" ref="S64" si="65">4/3</f>
        <v>1.3333333333333333</v>
      </c>
      <c r="T64" s="25"/>
      <c r="U64" s="24">
        <f t="shared" si="2"/>
        <v>0.22631078668855692</v>
      </c>
      <c r="V64" s="24">
        <f t="shared" si="3"/>
        <v>0.22631078668855692</v>
      </c>
    </row>
    <row r="65" spans="7:22" x14ac:dyDescent="0.2">
      <c r="G65" s="22">
        <f t="shared" ref="G65:G79" si="66">G64+1</f>
        <v>61</v>
      </c>
      <c r="H65" s="2" cm="1">
        <f t="array" ref="H65:J65">MMULT(H64:J64,m_trtA)</f>
        <v>7.366767168067279E-5</v>
      </c>
      <c r="I65" s="2">
        <v>0.36246067902742135</v>
      </c>
      <c r="J65" s="2">
        <v>0.63746565330089633</v>
      </c>
      <c r="L65" s="23">
        <v>362.46252071921339</v>
      </c>
      <c r="N65" s="2">
        <v>0.27191917694224665</v>
      </c>
      <c r="P65" s="25">
        <f t="shared" si="35"/>
        <v>0.16478940778292983</v>
      </c>
      <c r="Q65" s="25">
        <f t="shared" si="36"/>
        <v>0.16478940778292983</v>
      </c>
      <c r="R65" s="25"/>
      <c r="S65" s="25">
        <f t="shared" ref="S65" si="67">2/3</f>
        <v>0.66666666666666663</v>
      </c>
      <c r="T65" s="25"/>
      <c r="U65" s="24">
        <f t="shared" si="2"/>
        <v>0.10985960518861988</v>
      </c>
      <c r="V65" s="24">
        <f t="shared" si="3"/>
        <v>0.10985960518861988</v>
      </c>
    </row>
    <row r="66" spans="7:22" x14ac:dyDescent="0.2">
      <c r="G66" s="22">
        <f t="shared" si="66"/>
        <v>62</v>
      </c>
      <c r="H66" s="2" cm="1">
        <f t="array" ref="H66:J66">MMULT(H65:J65,m_trtA)</f>
        <v>6.3027108814918141E-5</v>
      </c>
      <c r="I66" s="2">
        <v>0.35600489210817882</v>
      </c>
      <c r="J66" s="2">
        <v>0.64393208078300457</v>
      </c>
      <c r="L66" s="23">
        <v>356.00646778589919</v>
      </c>
      <c r="N66" s="2">
        <v>0.26706669618994899</v>
      </c>
      <c r="P66" s="25">
        <f t="shared" si="35"/>
        <v>0.15998971629410663</v>
      </c>
      <c r="Q66" s="25">
        <f t="shared" si="36"/>
        <v>0.15998971629410663</v>
      </c>
      <c r="R66" s="25"/>
      <c r="S66" s="25">
        <f t="shared" ref="S66" si="68">4/3</f>
        <v>1.3333333333333333</v>
      </c>
      <c r="T66" s="25"/>
      <c r="U66" s="24">
        <f t="shared" si="2"/>
        <v>0.2133196217254755</v>
      </c>
      <c r="V66" s="24">
        <f t="shared" si="3"/>
        <v>0.2133196217254755</v>
      </c>
    </row>
    <row r="67" spans="7:22" x14ac:dyDescent="0.2">
      <c r="G67" s="22">
        <f t="shared" si="66"/>
        <v>63</v>
      </c>
      <c r="H67" s="2" cm="1">
        <f t="array" ref="H67:J67">MMULT(H66:J66,m_trtA)</f>
        <v>5.392346948043591E-5</v>
      </c>
      <c r="I67" s="2">
        <v>0.34966280551618595</v>
      </c>
      <c r="J67" s="2">
        <v>0.65028327101433192</v>
      </c>
      <c r="L67" s="23">
        <v>349.66415360292297</v>
      </c>
      <c r="N67" s="2">
        <v>0.26230102760661989</v>
      </c>
      <c r="P67" s="25">
        <f t="shared" si="35"/>
        <v>0.15532982164476369</v>
      </c>
      <c r="Q67" s="25">
        <f t="shared" si="36"/>
        <v>0.15532982164476369</v>
      </c>
      <c r="R67" s="25"/>
      <c r="S67" s="25">
        <f t="shared" ref="S67" si="69">2/3</f>
        <v>0.66666666666666663</v>
      </c>
      <c r="T67" s="25"/>
      <c r="U67" s="24">
        <f t="shared" si="2"/>
        <v>0.10355321442984246</v>
      </c>
      <c r="V67" s="24">
        <f t="shared" si="3"/>
        <v>0.10355321442984246</v>
      </c>
    </row>
    <row r="68" spans="7:22" x14ac:dyDescent="0.2">
      <c r="G68" s="22">
        <f t="shared" si="66"/>
        <v>64</v>
      </c>
      <c r="H68" s="2" cm="1">
        <f t="array" ref="H68:J68">MMULT(H67:J67,m_trtA)</f>
        <v>4.6134760351235691E-5</v>
      </c>
      <c r="I68" s="2">
        <v>0.34343260245085211</v>
      </c>
      <c r="J68" s="2">
        <v>0.65652126278879497</v>
      </c>
      <c r="L68" s="23">
        <v>343.43375581986089</v>
      </c>
      <c r="N68" s="2">
        <v>0.25762058659849035</v>
      </c>
      <c r="P68" s="25">
        <f t="shared" ref="P68:P79" si="70">(1 / ((1 + (d_c)) ^ (G68)))</f>
        <v>0.15080565208229488</v>
      </c>
      <c r="Q68" s="25">
        <f t="shared" ref="Q68:Q79" si="71">(1 / ((1 + (d_e)) ^ (G68)))</f>
        <v>0.15080565208229488</v>
      </c>
      <c r="R68" s="25"/>
      <c r="S68" s="25">
        <f t="shared" ref="S68" si="72">4/3</f>
        <v>1.3333333333333333</v>
      </c>
      <c r="T68" s="25"/>
      <c r="U68" s="24">
        <f t="shared" si="2"/>
        <v>0.20107420277639315</v>
      </c>
      <c r="V68" s="24">
        <f t="shared" si="3"/>
        <v>0.20107420277639315</v>
      </c>
    </row>
    <row r="69" spans="7:22" x14ac:dyDescent="0.2">
      <c r="G69" s="22">
        <f t="shared" si="66"/>
        <v>65</v>
      </c>
      <c r="H69" s="2" cm="1">
        <f t="array" ref="H69:J69">MMULT(H68:J68,m_trtA)</f>
        <v>3.9471052830496449E-5</v>
      </c>
      <c r="I69" s="2">
        <v>0.337312467972958</v>
      </c>
      <c r="J69" s="2">
        <v>0.66264806097420981</v>
      </c>
      <c r="L69" s="23">
        <v>337.31345474927878</v>
      </c>
      <c r="N69" s="2">
        <v>0.25302382203254897</v>
      </c>
      <c r="P69" s="25">
        <f t="shared" si="70"/>
        <v>0.14641325444882999</v>
      </c>
      <c r="Q69" s="25">
        <f t="shared" si="71"/>
        <v>0.14641325444882999</v>
      </c>
      <c r="R69" s="25"/>
      <c r="S69" s="25">
        <f t="shared" ref="S69" si="73">2/3</f>
        <v>0.66666666666666663</v>
      </c>
      <c r="T69" s="25"/>
      <c r="U69" s="24">
        <f t="shared" ref="U69:U79" si="74">P69*S69</f>
        <v>9.7608836299219986E-2</v>
      </c>
      <c r="V69" s="24">
        <f t="shared" ref="V69:V79" si="75">Q69*S69</f>
        <v>9.7608836299219986E-2</v>
      </c>
    </row>
    <row r="70" spans="7:22" x14ac:dyDescent="0.2">
      <c r="G70" s="22">
        <f t="shared" si="66"/>
        <v>66</v>
      </c>
      <c r="H70" s="2" cm="1">
        <f t="array" ref="H70:J70">MMULT(H69:J69,m_trtA)</f>
        <v>3.3769851619183987E-5</v>
      </c>
      <c r="I70" s="2">
        <v>0.33130059338387452</v>
      </c>
      <c r="J70" s="2">
        <v>0.66866563676450463</v>
      </c>
      <c r="L70" s="23">
        <v>331.30143763016497</v>
      </c>
      <c r="N70" s="2">
        <v>0.24850921488952507</v>
      </c>
      <c r="P70" s="25">
        <f t="shared" si="70"/>
        <v>0.14214879072701941</v>
      </c>
      <c r="Q70" s="25">
        <f t="shared" si="71"/>
        <v>0.14214879072701941</v>
      </c>
      <c r="R70" s="25"/>
      <c r="S70" s="25">
        <f t="shared" ref="S70" si="76">4/3</f>
        <v>1.3333333333333333</v>
      </c>
      <c r="T70" s="25"/>
      <c r="U70" s="24">
        <f t="shared" si="74"/>
        <v>0.18953172096935922</v>
      </c>
      <c r="V70" s="24">
        <f t="shared" si="75"/>
        <v>0.18953172096935922</v>
      </c>
    </row>
    <row r="71" spans="7:22" x14ac:dyDescent="0.2">
      <c r="G71" s="22">
        <f t="shared" si="66"/>
        <v>67</v>
      </c>
      <c r="H71" s="2" cm="1">
        <f t="array" ref="H71:J71">MMULT(H70:J70,m_trtA)</f>
        <v>2.8892132248891926E-5</v>
      </c>
      <c r="I71" s="2">
        <v>0.32539517988932987</v>
      </c>
      <c r="J71" s="2">
        <v>0.67457592797841959</v>
      </c>
      <c r="L71" s="23">
        <v>325.39590219263613</v>
      </c>
      <c r="N71" s="2">
        <v>0.24407527704924628</v>
      </c>
      <c r="P71" s="25">
        <f t="shared" si="70"/>
        <v>0.1380085346864266</v>
      </c>
      <c r="Q71" s="25">
        <f t="shared" si="71"/>
        <v>0.1380085346864266</v>
      </c>
      <c r="R71" s="25"/>
      <c r="S71" s="25">
        <f t="shared" ref="S71" si="77">2/3</f>
        <v>0.66666666666666663</v>
      </c>
      <c r="T71" s="25"/>
      <c r="U71" s="24">
        <f t="shared" si="74"/>
        <v>9.2005689790951056E-2</v>
      </c>
      <c r="V71" s="24">
        <f t="shared" si="75"/>
        <v>9.2005689790951056E-2</v>
      </c>
    </row>
    <row r="72" spans="7:22" x14ac:dyDescent="0.2">
      <c r="G72" s="22">
        <f t="shared" si="66"/>
        <v>68</v>
      </c>
      <c r="H72" s="2" cm="1">
        <f t="array" ref="H72:J72">MMULT(H71:J71,m_trtA)</f>
        <v>2.4718950953674099E-5</v>
      </c>
      <c r="I72" s="2">
        <v>0.31959444165254436</v>
      </c>
      <c r="J72" s="2">
        <v>0.68038083939650029</v>
      </c>
      <c r="L72" s="23">
        <v>319.59505962631818</v>
      </c>
      <c r="N72" s="2">
        <v>0.23972055019036195</v>
      </c>
      <c r="P72" s="25">
        <f t="shared" si="70"/>
        <v>0.13398886862759865</v>
      </c>
      <c r="Q72" s="25">
        <f t="shared" si="71"/>
        <v>0.13398886862759865</v>
      </c>
      <c r="R72" s="25"/>
      <c r="S72" s="25">
        <f t="shared" ref="S72" si="78">4/3</f>
        <v>1.3333333333333333</v>
      </c>
      <c r="T72" s="25"/>
      <c r="U72" s="24">
        <f t="shared" si="74"/>
        <v>0.1786518248367982</v>
      </c>
      <c r="V72" s="24">
        <f t="shared" si="75"/>
        <v>0.1786518248367982</v>
      </c>
    </row>
    <row r="73" spans="7:22" x14ac:dyDescent="0.2">
      <c r="G73" s="22">
        <f t="shared" si="66"/>
        <v>69</v>
      </c>
      <c r="H73" s="2" cm="1">
        <f t="array" ref="H73:J73">MMULT(H72:J72,m_trtA)</f>
        <v>2.1148544212190494E-5</v>
      </c>
      <c r="I73" s="2">
        <v>0.31389660832638516</v>
      </c>
      <c r="J73" s="2">
        <v>0.68608224312940103</v>
      </c>
      <c r="L73" s="23">
        <v>313.89713703999047</v>
      </c>
      <c r="N73" s="2">
        <v>0.23544360478900106</v>
      </c>
      <c r="P73" s="25">
        <f t="shared" si="70"/>
        <v>0.13008628022096957</v>
      </c>
      <c r="Q73" s="25">
        <f t="shared" si="71"/>
        <v>0.13008628022096957</v>
      </c>
      <c r="R73" s="25"/>
      <c r="S73" s="25">
        <f t="shared" ref="S73" si="79">2/3</f>
        <v>0.66666666666666663</v>
      </c>
      <c r="T73" s="25"/>
      <c r="U73" s="24">
        <f t="shared" si="74"/>
        <v>8.6724186813979712E-2</v>
      </c>
      <c r="V73" s="24">
        <f t="shared" si="75"/>
        <v>8.6724186813979712E-2</v>
      </c>
    </row>
    <row r="74" spans="7:22" x14ac:dyDescent="0.2">
      <c r="G74" s="22">
        <f t="shared" si="66"/>
        <v>70</v>
      </c>
      <c r="H74" s="2" cm="1">
        <f t="array" ref="H74:J74">MMULT(H73:J73,m_trtA)</f>
        <v>1.8093847232157621E-5</v>
      </c>
      <c r="I74" s="2">
        <v>0.3082999271412184</v>
      </c>
      <c r="J74" s="2">
        <v>0.69168197901154782</v>
      </c>
      <c r="L74" s="23">
        <v>308.3003794873992</v>
      </c>
      <c r="N74" s="2">
        <v>0.23124303920314598</v>
      </c>
      <c r="P74" s="25">
        <f t="shared" si="70"/>
        <v>0.12629735943783454</v>
      </c>
      <c r="Q74" s="25">
        <f t="shared" si="71"/>
        <v>0.12629735943783454</v>
      </c>
      <c r="R74" s="25"/>
      <c r="S74" s="25">
        <f t="shared" ref="S74" si="80">4/3</f>
        <v>1.3333333333333333</v>
      </c>
      <c r="T74" s="25"/>
      <c r="U74" s="24">
        <f t="shared" si="74"/>
        <v>0.16839647925044604</v>
      </c>
      <c r="V74" s="24">
        <f t="shared" si="75"/>
        <v>0.16839647925044604</v>
      </c>
    </row>
    <row r="75" spans="7:22" x14ac:dyDescent="0.2">
      <c r="G75" s="22">
        <f t="shared" si="66"/>
        <v>71</v>
      </c>
      <c r="H75" s="2" cm="1">
        <f t="array" ref="H75:J75">MMULT(H74:J74,m_trtA)</f>
        <v>1.5480370865052008E-5</v>
      </c>
      <c r="I75" s="2">
        <v>0.3028026646140351</v>
      </c>
      <c r="J75" s="2">
        <v>0.69718185501509822</v>
      </c>
      <c r="L75" s="23">
        <v>302.80305162330671</v>
      </c>
      <c r="N75" s="2">
        <v>0.22711747883139136</v>
      </c>
      <c r="P75" s="25">
        <f t="shared" si="70"/>
        <v>0.12261879557071313</v>
      </c>
      <c r="Q75" s="25">
        <f t="shared" si="71"/>
        <v>0.12261879557071313</v>
      </c>
      <c r="R75" s="25"/>
      <c r="S75" s="25">
        <f t="shared" ref="S75" si="81">2/3</f>
        <v>0.66666666666666663</v>
      </c>
      <c r="T75" s="25"/>
      <c r="U75" s="24">
        <f t="shared" si="74"/>
        <v>8.174586371380875E-2</v>
      </c>
      <c r="V75" s="24">
        <f t="shared" si="75"/>
        <v>8.174586371380875E-2</v>
      </c>
    </row>
    <row r="76" spans="7:22" x14ac:dyDescent="0.2">
      <c r="G76" s="22">
        <f t="shared" si="66"/>
        <v>72</v>
      </c>
      <c r="H76" s="2" cm="1">
        <f t="array" ref="H76:J76">MMULT(H75:J75,m_trtA)</f>
        <v>1.3244385179379823E-5</v>
      </c>
      <c r="I76" s="2">
        <v>0.29740310793493069</v>
      </c>
      <c r="J76" s="2">
        <v>0.70258364767988823</v>
      </c>
      <c r="L76" s="23">
        <v>297.40343904456017</v>
      </c>
      <c r="N76" s="2">
        <v>0.22306557533637741</v>
      </c>
      <c r="P76" s="25">
        <f t="shared" si="70"/>
        <v>0.1190473743404982</v>
      </c>
      <c r="Q76" s="25">
        <f t="shared" si="71"/>
        <v>0.1190473743404982</v>
      </c>
      <c r="R76" s="25"/>
      <c r="S76" s="25">
        <f t="shared" ref="S76" si="82">4/3</f>
        <v>1.3333333333333333</v>
      </c>
      <c r="T76" s="25"/>
      <c r="U76" s="24">
        <f t="shared" si="74"/>
        <v>0.15872983245399758</v>
      </c>
      <c r="V76" s="24">
        <f t="shared" si="75"/>
        <v>0.15872983245399758</v>
      </c>
    </row>
    <row r="77" spans="7:22" x14ac:dyDescent="0.2">
      <c r="G77" s="22">
        <f t="shared" si="66"/>
        <v>73</v>
      </c>
      <c r="H77" s="2" cm="1">
        <f t="array" ref="H77:J77">MMULT(H76:J76,m_trtA)</f>
        <v>1.1331365398731136E-5</v>
      </c>
      <c r="I77" s="2">
        <v>0.2920995660788927</v>
      </c>
      <c r="J77" s="2">
        <v>0.70788910255570692</v>
      </c>
      <c r="L77" s="23">
        <v>292.09984936302766</v>
      </c>
      <c r="N77" s="2">
        <v>0.21908600592456826</v>
      </c>
      <c r="P77" s="25">
        <f t="shared" si="70"/>
        <v>0.11557997508786232</v>
      </c>
      <c r="Q77" s="25">
        <f t="shared" si="71"/>
        <v>0.11557997508786232</v>
      </c>
      <c r="R77" s="25"/>
      <c r="S77" s="25">
        <f t="shared" ref="S77" si="83">2/3</f>
        <v>0.66666666666666663</v>
      </c>
      <c r="T77" s="25"/>
      <c r="U77" s="24">
        <f t="shared" si="74"/>
        <v>7.7053316725241544E-2</v>
      </c>
      <c r="V77" s="24">
        <f t="shared" si="75"/>
        <v>7.7053316725241544E-2</v>
      </c>
    </row>
    <row r="78" spans="7:22" x14ac:dyDescent="0.2">
      <c r="G78" s="22">
        <f t="shared" si="66"/>
        <v>74</v>
      </c>
      <c r="H78" s="2" cm="1">
        <f t="array" ref="H78:J78">MMULT(H77:J77,m_trtA)</f>
        <v>9.6946623086337676E-6</v>
      </c>
      <c r="I78" s="2">
        <v>0.28689037068390094</v>
      </c>
      <c r="J78" s="2">
        <v>0.71309993465378874</v>
      </c>
      <c r="L78" s="23">
        <v>286.89061305045863</v>
      </c>
      <c r="N78" s="2">
        <v>0.21517747267523432</v>
      </c>
      <c r="P78" s="25">
        <f t="shared" si="70"/>
        <v>0.11221356804646829</v>
      </c>
      <c r="Q78" s="25">
        <f t="shared" si="71"/>
        <v>0.11221356804646829</v>
      </c>
      <c r="R78" s="25"/>
      <c r="S78" s="25">
        <f t="shared" ref="S78" si="84">4/3</f>
        <v>1.3333333333333333</v>
      </c>
      <c r="T78" s="25"/>
      <c r="U78" s="24">
        <f t="shared" si="74"/>
        <v>0.14961809072862436</v>
      </c>
      <c r="V78" s="24">
        <f t="shared" si="75"/>
        <v>0.14961809072862436</v>
      </c>
    </row>
    <row r="79" spans="7:22" x14ac:dyDescent="0.2">
      <c r="G79" s="22">
        <f t="shared" si="66"/>
        <v>75</v>
      </c>
      <c r="H79" s="2" cm="1">
        <f t="array" ref="H79:J79">MMULT(H78:J78,m_trtA)</f>
        <v>8.2943647099200086E-6</v>
      </c>
      <c r="I79" s="2">
        <v>0.28177387673039844</v>
      </c>
      <c r="J79" s="2">
        <v>0.71821782890488994</v>
      </c>
      <c r="L79" s="23">
        <v>281.77408408951618</v>
      </c>
      <c r="N79" s="2">
        <v>0.21133870191250875</v>
      </c>
      <c r="P79" s="25">
        <f t="shared" si="70"/>
        <v>0.10894521169560026</v>
      </c>
      <c r="Q79" s="25">
        <f t="shared" si="71"/>
        <v>0.10894521169560026</v>
      </c>
      <c r="R79" s="25"/>
      <c r="S79" s="26">
        <f>1/3</f>
        <v>0.33333333333333331</v>
      </c>
      <c r="T79" s="26"/>
      <c r="U79" s="24">
        <f t="shared" si="74"/>
        <v>3.6315070565200086E-2</v>
      </c>
      <c r="V79" s="24">
        <f t="shared" si="75"/>
        <v>3.6315070565200086E-2</v>
      </c>
    </row>
  </sheetData>
  <mergeCells count="2">
    <mergeCell ref="G1:J1"/>
    <mergeCell ref="P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4A6C-C3DC-7C4B-B009-9B9976F1CB3F}">
  <dimension ref="A1:Y79"/>
  <sheetViews>
    <sheetView topLeftCell="I1" zoomScale="193" zoomScaleNormal="193" workbookViewId="0">
      <selection activeCell="L4" sqref="L4"/>
    </sheetView>
  </sheetViews>
  <sheetFormatPr baseColWidth="10" defaultRowHeight="16" x14ac:dyDescent="0.2"/>
  <cols>
    <col min="1" max="1" width="6.33203125" style="2" customWidth="1"/>
    <col min="2" max="6" width="10.83203125" style="2"/>
    <col min="7" max="7" width="10.83203125" style="22"/>
    <col min="8" max="10" width="10.83203125" style="2"/>
    <col min="11" max="11" width="1.83203125" style="2" customWidth="1"/>
    <col min="12" max="12" width="10.83203125" style="2"/>
    <col min="13" max="13" width="2.83203125" style="2" customWidth="1"/>
    <col min="14" max="14" width="10.83203125" style="2"/>
    <col min="15" max="15" width="2.83203125" style="2" customWidth="1"/>
    <col min="16" max="17" width="10.83203125" style="2"/>
    <col min="18" max="18" width="2.33203125" style="2" customWidth="1"/>
    <col min="19" max="19" width="10.83203125" style="2"/>
    <col min="20" max="20" width="2.6640625" style="2" customWidth="1"/>
    <col min="21" max="22" width="10.83203125" style="2"/>
    <col min="23" max="23" width="2.5" style="2" customWidth="1"/>
    <col min="24" max="24" width="15.83203125" style="2" customWidth="1"/>
    <col min="25" max="16384" width="10.83203125" style="2"/>
  </cols>
  <sheetData>
    <row r="1" spans="1:25" ht="51" x14ac:dyDescent="0.2">
      <c r="G1" s="81" t="s">
        <v>71</v>
      </c>
      <c r="H1" s="81"/>
      <c r="I1" s="81"/>
      <c r="J1" s="81"/>
      <c r="K1" s="12"/>
      <c r="L1" s="13" t="s">
        <v>72</v>
      </c>
      <c r="M1" s="14"/>
      <c r="N1" s="13" t="s">
        <v>73</v>
      </c>
      <c r="O1" s="15"/>
      <c r="P1" s="81" t="s">
        <v>74</v>
      </c>
      <c r="Q1" s="81"/>
      <c r="R1" s="12"/>
      <c r="S1" s="13" t="s">
        <v>75</v>
      </c>
      <c r="T1" s="15"/>
      <c r="U1" s="13" t="s">
        <v>76</v>
      </c>
      <c r="V1" s="13" t="s">
        <v>77</v>
      </c>
      <c r="W1" s="14"/>
    </row>
    <row r="2" spans="1:25" x14ac:dyDescent="0.2">
      <c r="G2" s="16"/>
      <c r="H2" s="16"/>
      <c r="I2" s="16"/>
      <c r="J2" s="16"/>
      <c r="K2" s="16"/>
      <c r="X2" s="11" t="s">
        <v>78</v>
      </c>
      <c r="Y2" s="2" cm="1">
        <f t="array" ref="Y2">MMULT(TRANSPOSE(w_c_trtB),tot_cost_trtB)</f>
        <v>21456.574145621049</v>
      </c>
    </row>
    <row r="3" spans="1:25" ht="17" thickBot="1" x14ac:dyDescent="0.25">
      <c r="G3" s="18" t="s">
        <v>81</v>
      </c>
      <c r="H3" s="17" t="s">
        <v>51</v>
      </c>
      <c r="I3" s="17" t="s">
        <v>56</v>
      </c>
      <c r="J3" s="17" t="s">
        <v>60</v>
      </c>
      <c r="K3" s="11"/>
      <c r="L3" s="17" t="s">
        <v>253</v>
      </c>
      <c r="N3" s="17" t="s">
        <v>236</v>
      </c>
      <c r="P3" s="17" t="s">
        <v>237</v>
      </c>
      <c r="Q3" s="17" t="s">
        <v>238</v>
      </c>
      <c r="R3" s="11"/>
      <c r="S3" s="17" t="s">
        <v>239</v>
      </c>
      <c r="T3" s="11"/>
      <c r="U3" s="72" t="s">
        <v>88</v>
      </c>
      <c r="V3" s="72" t="s">
        <v>89</v>
      </c>
      <c r="X3" s="11" t="s">
        <v>84</v>
      </c>
      <c r="Y3" s="2" cm="1">
        <f t="array" ref="Y3">MMULT(TRANSPOSE(w_e_trtB),tot_qaly_trtB)</f>
        <v>17.408871981529099</v>
      </c>
    </row>
    <row r="4" spans="1:25" x14ac:dyDescent="0.2">
      <c r="A4" s="11" t="s">
        <v>85</v>
      </c>
      <c r="G4" s="22">
        <v>0</v>
      </c>
      <c r="H4" s="2">
        <v>1</v>
      </c>
      <c r="I4" s="2">
        <v>0</v>
      </c>
      <c r="J4" s="2">
        <v>0</v>
      </c>
      <c r="L4" s="23" cm="1">
        <f t="array" ref="L4:L79">MMULT(H4:J79,D6:D8)</f>
        <v>1000</v>
      </c>
      <c r="N4" s="2" cm="1">
        <f t="array" ref="N4:N79">MMULT(H4:J79,E6:E8)</f>
        <v>1</v>
      </c>
      <c r="P4" s="25">
        <f t="shared" ref="P4:P35" si="0">(1 / ((1 + (d_c)) ^ (G4)))</f>
        <v>1</v>
      </c>
      <c r="Q4" s="25">
        <f t="shared" ref="Q4:Q35" si="1">(1 / ((1 + (d_e)) ^ (G4)))</f>
        <v>1</v>
      </c>
      <c r="R4" s="25"/>
      <c r="S4" s="26">
        <f>1/3</f>
        <v>0.33333333333333331</v>
      </c>
      <c r="T4" s="26"/>
      <c r="U4" s="24">
        <f>P4*S4</f>
        <v>0.33333333333333331</v>
      </c>
      <c r="V4" s="24">
        <f>Q4*S4</f>
        <v>0.33333333333333331</v>
      </c>
    </row>
    <row r="5" spans="1:25" ht="17" thickBot="1" x14ac:dyDescent="0.25">
      <c r="B5" s="17" t="s">
        <v>79</v>
      </c>
      <c r="C5" s="17" t="s">
        <v>80</v>
      </c>
      <c r="D5" s="17" t="s">
        <v>86</v>
      </c>
      <c r="E5" s="17" t="s">
        <v>87</v>
      </c>
      <c r="G5" s="22">
        <f>G4+1</f>
        <v>1</v>
      </c>
      <c r="H5" s="2" cm="1">
        <f t="array" ref="H5:J5">MMULT(H4:J4,m_trtB)</f>
        <v>0.86070859374999997</v>
      </c>
      <c r="I5" s="2">
        <v>0.132493569408</v>
      </c>
      <c r="J5" s="2">
        <v>6.7978368420000008E-3</v>
      </c>
      <c r="L5" s="23">
        <v>993.20216315799996</v>
      </c>
      <c r="N5" s="2">
        <v>0.96007877080600001</v>
      </c>
      <c r="P5" s="25">
        <f t="shared" si="0"/>
        <v>0.970873786407767</v>
      </c>
      <c r="Q5" s="25">
        <f t="shared" si="1"/>
        <v>0.970873786407767</v>
      </c>
      <c r="R5" s="25"/>
      <c r="S5" s="25">
        <f>2/3</f>
        <v>0.66666666666666663</v>
      </c>
      <c r="T5" s="25"/>
      <c r="U5" s="24">
        <f t="shared" ref="U5:U68" si="2">P5*S5</f>
        <v>0.6472491909385113</v>
      </c>
      <c r="V5" s="24">
        <f t="shared" ref="V5:V68" si="3">Q5*S5</f>
        <v>0.6472491909385113</v>
      </c>
    </row>
    <row r="6" spans="1:25" x14ac:dyDescent="0.2">
      <c r="B6" s="19" t="s">
        <v>63</v>
      </c>
      <c r="C6" s="19" t="s">
        <v>51</v>
      </c>
      <c r="D6" s="19">
        <f>c_H_trtB</f>
        <v>1000</v>
      </c>
      <c r="E6" s="19">
        <f>u_H_trtB</f>
        <v>1</v>
      </c>
      <c r="G6" s="22">
        <f t="shared" ref="G6:G7" si="4">G5+1</f>
        <v>2</v>
      </c>
      <c r="H6" s="2" cm="1">
        <f t="array" ref="H6:J6">MMULT(H5:J5,m_trtB)</f>
        <v>0.7408192833551025</v>
      </c>
      <c r="I6" s="2">
        <v>0.24416837471875519</v>
      </c>
      <c r="J6" s="2">
        <v>1.5012341926142259E-2</v>
      </c>
      <c r="L6" s="23">
        <v>984.98765807385769</v>
      </c>
      <c r="N6" s="2">
        <v>0.92394556439416886</v>
      </c>
      <c r="P6" s="25">
        <f t="shared" si="0"/>
        <v>0.94259590913375435</v>
      </c>
      <c r="Q6" s="25">
        <f t="shared" si="1"/>
        <v>0.94259590913375435</v>
      </c>
      <c r="R6" s="25"/>
      <c r="S6" s="25">
        <f>4/3</f>
        <v>1.3333333333333333</v>
      </c>
      <c r="T6" s="25"/>
      <c r="U6" s="24">
        <f t="shared" si="2"/>
        <v>1.2567945455116725</v>
      </c>
      <c r="V6" s="24">
        <f t="shared" si="3"/>
        <v>1.2567945455116725</v>
      </c>
    </row>
    <row r="7" spans="1:25" x14ac:dyDescent="0.2">
      <c r="B7" s="27" t="s">
        <v>63</v>
      </c>
      <c r="C7" s="27" t="s">
        <v>56</v>
      </c>
      <c r="D7" s="27">
        <f>c_S_trtB</f>
        <v>1000</v>
      </c>
      <c r="E7" s="27">
        <f>u_S_trtB</f>
        <v>0.75</v>
      </c>
      <c r="G7" s="22">
        <f t="shared" si="4"/>
        <v>3</v>
      </c>
      <c r="H7" s="2" cm="1">
        <f t="array" ref="H7:J7">MMULT(H6:J6,m_trtB)</f>
        <v>0.63762952359945302</v>
      </c>
      <c r="I7" s="2">
        <v>0.33796645412484838</v>
      </c>
      <c r="J7" s="2">
        <v>2.4404022275698524E-2</v>
      </c>
      <c r="L7" s="23">
        <v>975.59597772430141</v>
      </c>
      <c r="N7" s="2">
        <v>0.89110436419308936</v>
      </c>
      <c r="P7" s="25">
        <f t="shared" si="0"/>
        <v>0.91514165935315961</v>
      </c>
      <c r="Q7" s="25">
        <f t="shared" si="1"/>
        <v>0.91514165935315961</v>
      </c>
      <c r="R7" s="25"/>
      <c r="S7" s="25">
        <f t="shared" ref="S7" si="5">2/3</f>
        <v>0.66666666666666663</v>
      </c>
      <c r="T7" s="25"/>
      <c r="U7" s="24">
        <f t="shared" si="2"/>
        <v>0.61009443956877307</v>
      </c>
      <c r="V7" s="24">
        <f t="shared" si="3"/>
        <v>0.61009443956877307</v>
      </c>
    </row>
    <row r="8" spans="1:25" x14ac:dyDescent="0.2">
      <c r="B8" s="27" t="s">
        <v>63</v>
      </c>
      <c r="C8" s="27" t="s">
        <v>60</v>
      </c>
      <c r="D8" s="27">
        <f>c_D_trtB</f>
        <v>0</v>
      </c>
      <c r="E8" s="27">
        <f>u_D_trtB</f>
        <v>0</v>
      </c>
      <c r="G8" s="22">
        <f>G7+1</f>
        <v>4</v>
      </c>
      <c r="H8" s="2" cm="1">
        <f t="array" ref="H8:J8">MMULT(H7:J7,m_trtB)</f>
        <v>0.5488132105907676</v>
      </c>
      <c r="I8" s="2">
        <v>0.41641929303265529</v>
      </c>
      <c r="J8" s="2">
        <v>3.476749637657698E-2</v>
      </c>
      <c r="L8" s="23">
        <v>965.23250362342287</v>
      </c>
      <c r="N8" s="2">
        <v>0.861127680365259</v>
      </c>
      <c r="P8" s="25">
        <f t="shared" si="0"/>
        <v>0.888487047915689</v>
      </c>
      <c r="Q8" s="25">
        <f t="shared" si="1"/>
        <v>0.888487047915689</v>
      </c>
      <c r="R8" s="25"/>
      <c r="S8" s="25">
        <f t="shared" ref="S8" si="6">4/3</f>
        <v>1.3333333333333333</v>
      </c>
      <c r="T8" s="25"/>
      <c r="U8" s="24">
        <f t="shared" si="2"/>
        <v>1.1846493972209187</v>
      </c>
      <c r="V8" s="24">
        <f t="shared" si="3"/>
        <v>1.1846493972209187</v>
      </c>
    </row>
    <row r="9" spans="1:25" x14ac:dyDescent="0.2">
      <c r="G9" s="22">
        <f>G8+1</f>
        <v>5</v>
      </c>
      <c r="H9" s="2" cm="1">
        <f t="array" ref="H9:J9">MMULT(H8:J8,m_trtB)</f>
        <v>0.47236824671900218</v>
      </c>
      <c r="I9" s="2">
        <v>0.48170502395483916</v>
      </c>
      <c r="J9" s="2">
        <v>4.5926729326158551E-2</v>
      </c>
      <c r="L9" s="23">
        <v>954.07327067384131</v>
      </c>
      <c r="N9" s="2">
        <v>0.83364701468513158</v>
      </c>
      <c r="P9" s="25">
        <f t="shared" si="0"/>
        <v>0.86260878438416411</v>
      </c>
      <c r="Q9" s="25">
        <f t="shared" si="1"/>
        <v>0.86260878438416411</v>
      </c>
      <c r="R9" s="25"/>
      <c r="S9" s="25">
        <f t="shared" ref="S9" si="7">2/3</f>
        <v>0.66666666666666663</v>
      </c>
      <c r="T9" s="25"/>
      <c r="U9" s="24">
        <f t="shared" si="2"/>
        <v>0.575072522922776</v>
      </c>
      <c r="V9" s="24">
        <f t="shared" si="3"/>
        <v>0.575072522922776</v>
      </c>
    </row>
    <row r="10" spans="1:25" x14ac:dyDescent="0.2">
      <c r="G10" s="22">
        <f t="shared" ref="G10:G62" si="8">G9+1</f>
        <v>6</v>
      </c>
      <c r="H10" s="2" cm="1">
        <f t="array" ref="H10:J10">MMULT(H9:J9,m_trtB)</f>
        <v>0.40657140936566538</v>
      </c>
      <c r="I10" s="2">
        <v>0.53569765871002661</v>
      </c>
      <c r="J10" s="2">
        <v>5.7730931924307866E-2</v>
      </c>
      <c r="L10" s="23">
        <v>942.26906807569208</v>
      </c>
      <c r="N10" s="2">
        <v>0.80834465339818529</v>
      </c>
      <c r="P10" s="25">
        <f t="shared" si="0"/>
        <v>0.83748425668365445</v>
      </c>
      <c r="Q10" s="25">
        <f t="shared" si="1"/>
        <v>0.83748425668365445</v>
      </c>
      <c r="R10" s="25"/>
      <c r="S10" s="25">
        <f t="shared" ref="S10" si="9">4/3</f>
        <v>1.3333333333333333</v>
      </c>
      <c r="T10" s="25"/>
      <c r="U10" s="24">
        <f t="shared" si="2"/>
        <v>1.1166456755782059</v>
      </c>
      <c r="V10" s="24">
        <f t="shared" si="3"/>
        <v>1.1166456755782059</v>
      </c>
    </row>
    <row r="11" spans="1:25" x14ac:dyDescent="0.2">
      <c r="G11" s="22">
        <f t="shared" si="8"/>
        <v>7</v>
      </c>
      <c r="H11" s="2" cm="1">
        <f t="array" ref="H11:J11">MMULT(H10:J10,m_trtB)</f>
        <v>0.34993950601407742</v>
      </c>
      <c r="I11" s="2">
        <v>0.58000946276507259</v>
      </c>
      <c r="J11" s="2">
        <v>7.005103122084981E-2</v>
      </c>
      <c r="L11" s="23">
        <v>929.94896877915005</v>
      </c>
      <c r="N11" s="2">
        <v>0.78494660308788189</v>
      </c>
      <c r="P11" s="25">
        <f t="shared" si="0"/>
        <v>0.81309151134335378</v>
      </c>
      <c r="Q11" s="25">
        <f t="shared" si="1"/>
        <v>0.81309151134335378</v>
      </c>
      <c r="R11" s="25"/>
      <c r="S11" s="25">
        <f t="shared" ref="S11" si="10">2/3</f>
        <v>0.66666666666666663</v>
      </c>
      <c r="T11" s="25"/>
      <c r="U11" s="24">
        <f t="shared" si="2"/>
        <v>0.54206100756223585</v>
      </c>
      <c r="V11" s="24">
        <f t="shared" si="3"/>
        <v>0.54206100756223585</v>
      </c>
    </row>
    <row r="12" spans="1:25" x14ac:dyDescent="0.2">
      <c r="G12" s="22">
        <f t="shared" si="8"/>
        <v>8</v>
      </c>
      <c r="H12" s="2" cm="1">
        <f t="array" ref="H12:J12">MMULT(H11:J11,m_trtB)</f>
        <v>0.30119594011894624</v>
      </c>
      <c r="I12" s="2">
        <v>0.61602742696471013</v>
      </c>
      <c r="J12" s="2">
        <v>8.2776632916343379E-2</v>
      </c>
      <c r="L12" s="23">
        <v>917.22336708365629</v>
      </c>
      <c r="N12" s="2">
        <v>0.76321651034247884</v>
      </c>
      <c r="P12" s="25">
        <f t="shared" si="0"/>
        <v>0.78940923431393573</v>
      </c>
      <c r="Q12" s="25">
        <f t="shared" si="1"/>
        <v>0.78940923431393573</v>
      </c>
      <c r="R12" s="25"/>
      <c r="S12" s="25">
        <f t="shared" ref="S12" si="11">4/3</f>
        <v>1.3333333333333333</v>
      </c>
      <c r="T12" s="25"/>
      <c r="U12" s="24">
        <f t="shared" si="2"/>
        <v>1.0525456457519142</v>
      </c>
      <c r="V12" s="24">
        <f t="shared" si="3"/>
        <v>1.0525456457519142</v>
      </c>
    </row>
    <row r="13" spans="1:25" x14ac:dyDescent="0.2">
      <c r="G13" s="22">
        <f t="shared" si="8"/>
        <v>9</v>
      </c>
      <c r="H13" s="2" cm="1">
        <f t="array" ref="H13:J13">MMULT(H12:J12,m_trtB)</f>
        <v>0.2592419340629874</v>
      </c>
      <c r="I13" s="2">
        <v>0.64494465883591601</v>
      </c>
      <c r="J13" s="2">
        <v>9.5813407101096329E-2</v>
      </c>
      <c r="L13" s="23">
        <v>904.18659289890343</v>
      </c>
      <c r="N13" s="2">
        <v>0.74295042818992441</v>
      </c>
      <c r="P13" s="25">
        <f t="shared" si="0"/>
        <v>0.76641673234362695</v>
      </c>
      <c r="Q13" s="25">
        <f t="shared" si="1"/>
        <v>0.76641673234362695</v>
      </c>
      <c r="R13" s="25"/>
      <c r="S13" s="25">
        <f t="shared" ref="S13" si="12">2/3</f>
        <v>0.66666666666666663</v>
      </c>
      <c r="T13" s="25"/>
      <c r="U13" s="24">
        <f t="shared" si="2"/>
        <v>0.51094448822908456</v>
      </c>
      <c r="V13" s="24">
        <f t="shared" si="3"/>
        <v>0.51094448822908456</v>
      </c>
    </row>
    <row r="14" spans="1:25" x14ac:dyDescent="0.2">
      <c r="G14" s="22">
        <f t="shared" si="8"/>
        <v>10</v>
      </c>
      <c r="H14" s="2" cm="1">
        <f t="array" ref="H14:J14">MMULT(H13:J13,m_trtB)</f>
        <v>0.2231317605083841</v>
      </c>
      <c r="I14" s="2">
        <v>0.66778740113061907</v>
      </c>
      <c r="J14" s="2">
        <v>0.10908083836099657</v>
      </c>
      <c r="L14" s="23">
        <v>890.91916163900316</v>
      </c>
      <c r="N14" s="2">
        <v>0.72397231135634843</v>
      </c>
      <c r="P14" s="25">
        <f t="shared" si="0"/>
        <v>0.74409391489672516</v>
      </c>
      <c r="Q14" s="25">
        <f t="shared" si="1"/>
        <v>0.74409391489672516</v>
      </c>
      <c r="R14" s="25"/>
      <c r="S14" s="25">
        <f t="shared" ref="S14" si="13">4/3</f>
        <v>1.3333333333333333</v>
      </c>
      <c r="T14" s="25"/>
      <c r="U14" s="24">
        <f t="shared" si="2"/>
        <v>0.99212521986230018</v>
      </c>
      <c r="V14" s="24">
        <f t="shared" si="3"/>
        <v>0.99212521986230018</v>
      </c>
    </row>
    <row r="15" spans="1:25" x14ac:dyDescent="0.2">
      <c r="G15" s="22">
        <f t="shared" si="8"/>
        <v>11</v>
      </c>
      <c r="H15" s="2" cm="1">
        <f t="array" ref="H15:J15">MMULT(H14:J14,m_trtB)</f>
        <v>0.19205142380813306</v>
      </c>
      <c r="I15" s="2">
        <v>0.6854382866988461</v>
      </c>
      <c r="J15" s="2">
        <v>0.12251028949302056</v>
      </c>
      <c r="L15" s="23">
        <v>877.48971050697924</v>
      </c>
      <c r="N15" s="2">
        <v>0.70613013883226761</v>
      </c>
      <c r="P15" s="25">
        <f t="shared" si="0"/>
        <v>0.72242127659876232</v>
      </c>
      <c r="Q15" s="25">
        <f t="shared" si="1"/>
        <v>0.72242127659876232</v>
      </c>
      <c r="R15" s="25"/>
      <c r="S15" s="25">
        <f t="shared" ref="S15" si="14">2/3</f>
        <v>0.66666666666666663</v>
      </c>
      <c r="T15" s="25"/>
      <c r="U15" s="24">
        <f t="shared" si="2"/>
        <v>0.48161418439917486</v>
      </c>
      <c r="V15" s="24">
        <f t="shared" si="3"/>
        <v>0.48161418439917486</v>
      </c>
    </row>
    <row r="16" spans="1:25" x14ac:dyDescent="0.2">
      <c r="G16" s="22">
        <f t="shared" si="8"/>
        <v>12</v>
      </c>
      <c r="H16" s="2" cm="1">
        <f t="array" ref="H16:J16">MMULT(H15:J15,m_trtB)</f>
        <v>0.16530031091358346</v>
      </c>
      <c r="I16" s="2">
        <v>0.6986563539430326</v>
      </c>
      <c r="J16" s="2">
        <v>0.13604333514338368</v>
      </c>
      <c r="L16" s="23">
        <v>863.95666485661604</v>
      </c>
      <c r="N16" s="2">
        <v>0.68929257637085783</v>
      </c>
      <c r="P16" s="25">
        <f t="shared" si="0"/>
        <v>0.70137988019297326</v>
      </c>
      <c r="Q16" s="25">
        <f t="shared" si="1"/>
        <v>0.70137988019297326</v>
      </c>
      <c r="R16" s="25"/>
      <c r="S16" s="25">
        <f t="shared" ref="S16" si="15">4/3</f>
        <v>1.3333333333333333</v>
      </c>
      <c r="T16" s="25"/>
      <c r="U16" s="24">
        <f t="shared" si="2"/>
        <v>0.93517317359063101</v>
      </c>
      <c r="V16" s="24">
        <f t="shared" si="3"/>
        <v>0.93517317359063101</v>
      </c>
    </row>
    <row r="17" spans="7:22" x14ac:dyDescent="0.2">
      <c r="G17" s="22">
        <f t="shared" si="8"/>
        <v>13</v>
      </c>
      <c r="H17" s="2" cm="1">
        <f t="array" ref="H17:J17">MMULT(H16:J16,m_trtB)</f>
        <v>0.14227539815286819</v>
      </c>
      <c r="I17" s="2">
        <v>0.70809427408053649</v>
      </c>
      <c r="J17" s="2">
        <v>0.14963032776659504</v>
      </c>
      <c r="L17" s="23">
        <v>850.36967223340469</v>
      </c>
      <c r="N17" s="2">
        <v>0.67334610371327053</v>
      </c>
      <c r="P17" s="25">
        <f t="shared" si="0"/>
        <v>0.68095133999317792</v>
      </c>
      <c r="Q17" s="25">
        <f t="shared" si="1"/>
        <v>0.68095133999317792</v>
      </c>
      <c r="R17" s="25"/>
      <c r="S17" s="25">
        <f t="shared" ref="S17" si="16">2/3</f>
        <v>0.66666666666666663</v>
      </c>
      <c r="T17" s="25"/>
      <c r="U17" s="24">
        <f t="shared" si="2"/>
        <v>0.45396755999545191</v>
      </c>
      <c r="V17" s="24">
        <f t="shared" si="3"/>
        <v>0.45396755999545191</v>
      </c>
    </row>
    <row r="18" spans="7:22" x14ac:dyDescent="0.2">
      <c r="G18" s="22">
        <f t="shared" si="8"/>
        <v>14</v>
      </c>
      <c r="H18" s="2" cm="1">
        <f t="array" ref="H18:J18">MMULT(H17:J17,m_trtB)</f>
        <v>0.12245765786937653</v>
      </c>
      <c r="I18" s="2">
        <v>0.71431317858927568</v>
      </c>
      <c r="J18" s="2">
        <v>0.16322916354134751</v>
      </c>
      <c r="L18" s="23">
        <v>836.77083645865218</v>
      </c>
      <c r="N18" s="2">
        <v>0.65819254181133335</v>
      </c>
      <c r="P18" s="25">
        <f t="shared" si="0"/>
        <v>0.66111780581861923</v>
      </c>
      <c r="Q18" s="25">
        <f t="shared" si="1"/>
        <v>0.66111780581861923</v>
      </c>
      <c r="R18" s="25"/>
      <c r="S18" s="25">
        <f t="shared" ref="S18" si="17">4/3</f>
        <v>1.3333333333333333</v>
      </c>
      <c r="T18" s="25"/>
      <c r="U18" s="24">
        <f t="shared" si="2"/>
        <v>0.8814904077581589</v>
      </c>
      <c r="V18" s="24">
        <f t="shared" si="3"/>
        <v>0.8814904077581589</v>
      </c>
    </row>
    <row r="19" spans="7:22" x14ac:dyDescent="0.2">
      <c r="G19" s="22">
        <f t="shared" si="8"/>
        <v>15</v>
      </c>
      <c r="H19" s="2" cm="1">
        <f t="array" ref="H19:J19">MMULT(H18:J18,m_trtB)</f>
        <v>0.10540035849866969</v>
      </c>
      <c r="I19" s="2">
        <v>0.71779542111405381</v>
      </c>
      <c r="J19" s="2">
        <v>0.17680422038727622</v>
      </c>
      <c r="L19" s="23">
        <v>823.19577961272353</v>
      </c>
      <c r="N19" s="2">
        <v>0.6437469243342101</v>
      </c>
      <c r="P19" s="25">
        <f t="shared" si="0"/>
        <v>0.64186194739671765</v>
      </c>
      <c r="Q19" s="25">
        <f t="shared" si="1"/>
        <v>0.64186194739671765</v>
      </c>
      <c r="R19" s="25"/>
      <c r="S19" s="25">
        <f t="shared" ref="S19" si="18">2/3</f>
        <v>0.66666666666666663</v>
      </c>
      <c r="T19" s="25"/>
      <c r="U19" s="24">
        <f t="shared" si="2"/>
        <v>0.42790796493114508</v>
      </c>
      <c r="V19" s="24">
        <f t="shared" si="3"/>
        <v>0.42790796493114508</v>
      </c>
    </row>
    <row r="20" spans="7:22" x14ac:dyDescent="0.2">
      <c r="G20" s="22">
        <f t="shared" si="8"/>
        <v>16</v>
      </c>
      <c r="H20" s="2" cm="1">
        <f t="array" ref="H20:J20">MMULT(H19:J19,m_trtB)</f>
        <v>9.0718994344135842E-2</v>
      </c>
      <c r="I20" s="2">
        <v>0.7189555615490808</v>
      </c>
      <c r="J20" s="2">
        <v>0.19032544410678312</v>
      </c>
      <c r="L20" s="23">
        <v>809.67455589321662</v>
      </c>
      <c r="N20" s="2">
        <v>0.62993566550594648</v>
      </c>
      <c r="P20" s="25">
        <f t="shared" si="0"/>
        <v>0.62316693922011435</v>
      </c>
      <c r="Q20" s="25">
        <f t="shared" si="1"/>
        <v>0.62316693922011435</v>
      </c>
      <c r="R20" s="25"/>
      <c r="S20" s="25">
        <f t="shared" ref="S20" si="19">4/3</f>
        <v>1.3333333333333333</v>
      </c>
      <c r="T20" s="25"/>
      <c r="U20" s="24">
        <f t="shared" si="2"/>
        <v>0.83088925229348576</v>
      </c>
      <c r="V20" s="24">
        <f t="shared" si="3"/>
        <v>0.83088925229348576</v>
      </c>
    </row>
    <row r="21" spans="7:22" x14ac:dyDescent="0.2">
      <c r="G21" s="22">
        <f t="shared" si="8"/>
        <v>17</v>
      </c>
      <c r="H21" s="2" cm="1">
        <f t="array" ref="H21:J21">MMULT(H20:J20,m_trtB)</f>
        <v>7.8082618048355368E-2</v>
      </c>
      <c r="I21" s="2">
        <v>0.71814981993583282</v>
      </c>
      <c r="J21" s="2">
        <v>0.20376756201581159</v>
      </c>
      <c r="L21" s="23">
        <v>796.23243798418821</v>
      </c>
      <c r="N21" s="2">
        <v>0.61669498300022996</v>
      </c>
      <c r="P21" s="25">
        <f t="shared" si="0"/>
        <v>0.60501644584477121</v>
      </c>
      <c r="Q21" s="25">
        <f t="shared" si="1"/>
        <v>0.60501644584477121</v>
      </c>
      <c r="R21" s="25"/>
      <c r="S21" s="25">
        <f t="shared" ref="S21" si="20">2/3</f>
        <v>0.66666666666666663</v>
      </c>
      <c r="T21" s="25"/>
      <c r="U21" s="24">
        <f t="shared" si="2"/>
        <v>0.40334429722984744</v>
      </c>
      <c r="V21" s="24">
        <f t="shared" si="3"/>
        <v>0.40334429722984744</v>
      </c>
    </row>
    <row r="22" spans="7:22" x14ac:dyDescent="0.2">
      <c r="G22" s="22">
        <f t="shared" si="8"/>
        <v>18</v>
      </c>
      <c r="H22" s="2" cm="1">
        <f t="array" ref="H22:J22">MMULT(H21:J21,m_trtB)</f>
        <v>6.7206380376718319E-2</v>
      </c>
      <c r="I22" s="2">
        <v>0.71568421332132792</v>
      </c>
      <c r="J22" s="2">
        <v>0.21710940630195358</v>
      </c>
      <c r="L22" s="23">
        <v>782.89059369804625</v>
      </c>
      <c r="N22" s="2">
        <v>0.60396954036771422</v>
      </c>
      <c r="P22" s="25">
        <f t="shared" si="0"/>
        <v>0.5873946076162827</v>
      </c>
      <c r="Q22" s="25">
        <f t="shared" si="1"/>
        <v>0.5873946076162827</v>
      </c>
      <c r="R22" s="25"/>
      <c r="S22" s="25">
        <f t="shared" ref="S22" si="21">4/3</f>
        <v>1.3333333333333333</v>
      </c>
      <c r="T22" s="25"/>
      <c r="U22" s="24">
        <f t="shared" si="2"/>
        <v>0.78319281015504361</v>
      </c>
      <c r="V22" s="24">
        <f t="shared" si="3"/>
        <v>0.78319281015504361</v>
      </c>
    </row>
    <row r="23" spans="7:22" x14ac:dyDescent="0.2">
      <c r="G23" s="22">
        <f t="shared" si="8"/>
        <v>19</v>
      </c>
      <c r="H23" s="2" cm="1">
        <f t="array" ref="H23:J23">MMULT(H22:J22,m_trtB)</f>
        <v>5.7845109145072821E-2</v>
      </c>
      <c r="I23" s="2">
        <v>0.71182155903255262</v>
      </c>
      <c r="J23" s="2">
        <v>0.23033333182237434</v>
      </c>
      <c r="L23" s="23">
        <v>769.66666817762541</v>
      </c>
      <c r="N23" s="2">
        <v>0.59171127841948723</v>
      </c>
      <c r="P23" s="25">
        <f t="shared" si="0"/>
        <v>0.57028602681192497</v>
      </c>
      <c r="Q23" s="25">
        <f t="shared" si="1"/>
        <v>0.57028602681192497</v>
      </c>
      <c r="R23" s="25"/>
      <c r="S23" s="25">
        <f t="shared" ref="S23" si="22">2/3</f>
        <v>0.66666666666666663</v>
      </c>
      <c r="T23" s="25"/>
      <c r="U23" s="24">
        <f t="shared" si="2"/>
        <v>0.3801906845412833</v>
      </c>
      <c r="V23" s="24">
        <f t="shared" si="3"/>
        <v>0.3801906845412833</v>
      </c>
    </row>
    <row r="24" spans="7:22" x14ac:dyDescent="0.2">
      <c r="G24" s="22">
        <f t="shared" si="8"/>
        <v>20</v>
      </c>
      <c r="H24" s="2" cm="1">
        <f t="array" ref="H24:J24">MMULT(H23:J23,m_trtB)</f>
        <v>4.9787782547570887E-2</v>
      </c>
      <c r="I24" s="2">
        <v>0.70678750226890807</v>
      </c>
      <c r="J24" s="2">
        <v>0.24342471518352077</v>
      </c>
      <c r="L24" s="23">
        <v>756.57528481647887</v>
      </c>
      <c r="N24" s="2">
        <v>0.57987840924925194</v>
      </c>
      <c r="P24" s="25">
        <f t="shared" si="0"/>
        <v>0.55367575418633497</v>
      </c>
      <c r="Q24" s="25">
        <f t="shared" si="1"/>
        <v>0.55367575418633497</v>
      </c>
      <c r="R24" s="25"/>
      <c r="S24" s="25">
        <f t="shared" ref="S24" si="23">4/3</f>
        <v>1.3333333333333333</v>
      </c>
      <c r="T24" s="25"/>
      <c r="U24" s="24">
        <f t="shared" si="2"/>
        <v>0.73823433891511325</v>
      </c>
      <c r="V24" s="24">
        <f t="shared" si="3"/>
        <v>0.73823433891511325</v>
      </c>
    </row>
    <row r="25" spans="7:22" x14ac:dyDescent="0.2">
      <c r="G25" s="22">
        <f t="shared" si="8"/>
        <v>21</v>
      </c>
      <c r="H25" s="2" cm="1">
        <f t="array" ref="H25:J25">MMULT(H24:J24,m_trtB)</f>
        <v>4.2852772302450527E-2</v>
      </c>
      <c r="I25" s="2">
        <v>0.70077570392010857</v>
      </c>
      <c r="J25" s="2">
        <v>0.2563715237774406</v>
      </c>
      <c r="L25" s="23">
        <v>743.62847622255902</v>
      </c>
      <c r="N25" s="2">
        <v>0.56843455024253198</v>
      </c>
      <c r="P25" s="25">
        <f t="shared" si="0"/>
        <v>0.5375492759090631</v>
      </c>
      <c r="Q25" s="25">
        <f t="shared" si="1"/>
        <v>0.5375492759090631</v>
      </c>
      <c r="R25" s="25"/>
      <c r="S25" s="25">
        <f t="shared" ref="S25" si="24">2/3</f>
        <v>0.66666666666666663</v>
      </c>
      <c r="T25" s="25"/>
      <c r="U25" s="24">
        <f t="shared" si="2"/>
        <v>0.35836618393937536</v>
      </c>
      <c r="V25" s="24">
        <f t="shared" si="3"/>
        <v>0.35836618393937536</v>
      </c>
    </row>
    <row r="26" spans="7:22" x14ac:dyDescent="0.2">
      <c r="G26" s="22">
        <f t="shared" si="8"/>
        <v>22</v>
      </c>
      <c r="H26" s="2" cm="1">
        <f t="array" ref="H26:J26">MMULT(H25:J25,m_trtB)</f>
        <v>3.6883749386731141E-2</v>
      </c>
      <c r="I26" s="2">
        <v>0.69395230558617038</v>
      </c>
      <c r="J26" s="2">
        <v>0.26916394502709823</v>
      </c>
      <c r="L26" s="23">
        <v>730.83605497290148</v>
      </c>
      <c r="N26" s="2">
        <v>0.55734797857635887</v>
      </c>
      <c r="P26" s="25">
        <f t="shared" si="0"/>
        <v>0.52189250088258554</v>
      </c>
      <c r="Q26" s="25">
        <f t="shared" si="1"/>
        <v>0.52189250088258554</v>
      </c>
      <c r="R26" s="25"/>
      <c r="S26" s="25">
        <f t="shared" ref="S26" si="25">4/3</f>
        <v>1.3333333333333333</v>
      </c>
      <c r="T26" s="25"/>
      <c r="U26" s="24">
        <f t="shared" si="2"/>
        <v>0.69585666784344735</v>
      </c>
      <c r="V26" s="24">
        <f t="shared" si="3"/>
        <v>0.69585666784344735</v>
      </c>
    </row>
    <row r="27" spans="7:22" x14ac:dyDescent="0.2">
      <c r="G27" s="22">
        <f t="shared" si="8"/>
        <v>23</v>
      </c>
      <c r="H27" s="2" cm="1">
        <f t="array" ref="H27:J27">MMULT(H26:J26,m_trtB)</f>
        <v>3.1746160066880781E-2</v>
      </c>
      <c r="I27" s="2">
        <v>0.68645977248222878</v>
      </c>
      <c r="J27" s="2">
        <v>0.2817940674508902</v>
      </c>
      <c r="L27" s="23">
        <v>718.20593254910955</v>
      </c>
      <c r="N27" s="2">
        <v>0.54659098942855244</v>
      </c>
      <c r="P27" s="25">
        <f t="shared" si="0"/>
        <v>0.50669174842969467</v>
      </c>
      <c r="Q27" s="25">
        <f t="shared" si="1"/>
        <v>0.50669174842969467</v>
      </c>
      <c r="R27" s="25"/>
      <c r="S27" s="25">
        <f t="shared" ref="S27" si="26">2/3</f>
        <v>0.66666666666666663</v>
      </c>
      <c r="T27" s="25"/>
      <c r="U27" s="24">
        <f t="shared" si="2"/>
        <v>0.33779449895312974</v>
      </c>
      <c r="V27" s="24">
        <f t="shared" si="3"/>
        <v>0.33779449895312974</v>
      </c>
    </row>
    <row r="28" spans="7:22" x14ac:dyDescent="0.2">
      <c r="G28" s="22">
        <f t="shared" si="8"/>
        <v>24</v>
      </c>
      <c r="H28" s="2" cm="1">
        <f t="array" ref="H28:J28">MMULT(H27:J27,m_trtB)</f>
        <v>2.7324192788127363E-2</v>
      </c>
      <c r="I28" s="2">
        <v>0.67842020088662569</v>
      </c>
      <c r="J28" s="2">
        <v>0.29425560632524667</v>
      </c>
      <c r="L28" s="23">
        <v>705.74439367475304</v>
      </c>
      <c r="N28" s="2">
        <v>0.53613934345309666</v>
      </c>
      <c r="P28" s="25">
        <f t="shared" si="0"/>
        <v>0.49193373633950943</v>
      </c>
      <c r="Q28" s="25">
        <f t="shared" si="1"/>
        <v>0.49193373633950943</v>
      </c>
      <c r="R28" s="25"/>
      <c r="S28" s="25">
        <f t="shared" ref="S28" si="27">4/3</f>
        <v>1.3333333333333333</v>
      </c>
      <c r="T28" s="25"/>
      <c r="U28" s="24">
        <f t="shared" si="2"/>
        <v>0.65591164845267924</v>
      </c>
      <c r="V28" s="24">
        <f t="shared" si="3"/>
        <v>0.65591164845267924</v>
      </c>
    </row>
    <row r="29" spans="7:22" x14ac:dyDescent="0.2">
      <c r="G29" s="22">
        <f t="shared" si="8"/>
        <v>25</v>
      </c>
      <c r="H29" s="2" cm="1">
        <f t="array" ref="H29:J29">MMULT(H28:J28,m_trtB)</f>
        <v>2.3518167550022992E-2</v>
      </c>
      <c r="I29" s="2">
        <v>0.66993816471987599</v>
      </c>
      <c r="J29" s="2">
        <v>0.30654366773010067</v>
      </c>
      <c r="L29" s="23">
        <v>693.45633226989901</v>
      </c>
      <c r="N29" s="2">
        <v>0.52597179108992997</v>
      </c>
      <c r="P29" s="25">
        <f t="shared" si="0"/>
        <v>0.47760556926165965</v>
      </c>
      <c r="Q29" s="25">
        <f t="shared" si="1"/>
        <v>0.47760556926165965</v>
      </c>
      <c r="R29" s="25"/>
      <c r="S29" s="25">
        <f t="shared" ref="S29" si="28">2/3</f>
        <v>0.66666666666666663</v>
      </c>
      <c r="T29" s="25"/>
      <c r="U29" s="24">
        <f t="shared" si="2"/>
        <v>0.31840371284110641</v>
      </c>
      <c r="V29" s="24">
        <f t="shared" si="3"/>
        <v>0.31840371284110641</v>
      </c>
    </row>
    <row r="30" spans="7:22" x14ac:dyDescent="0.2">
      <c r="G30" s="22">
        <f t="shared" si="8"/>
        <v>26</v>
      </c>
      <c r="H30" s="2" cm="1">
        <f t="array" ref="H30:J30">MMULT(H29:J29,m_trtB)</f>
        <v>2.0242288919557171E-2</v>
      </c>
      <c r="I30" s="2">
        <v>0.66110316545265413</v>
      </c>
      <c r="J30" s="2">
        <v>0.31865454562778828</v>
      </c>
      <c r="L30" s="23">
        <v>681.34545437221129</v>
      </c>
      <c r="N30" s="2">
        <v>0.51606966300904777</v>
      </c>
      <c r="P30" s="25">
        <f t="shared" si="0"/>
        <v>0.46369472743850448</v>
      </c>
      <c r="Q30" s="25">
        <f t="shared" si="1"/>
        <v>0.46369472743850448</v>
      </c>
      <c r="R30" s="25"/>
      <c r="S30" s="25">
        <f t="shared" ref="S30" si="29">4/3</f>
        <v>1.3333333333333333</v>
      </c>
      <c r="T30" s="25"/>
      <c r="U30" s="24">
        <f t="shared" si="2"/>
        <v>0.61825963658467264</v>
      </c>
      <c r="V30" s="24">
        <f t="shared" si="3"/>
        <v>0.61825963658467264</v>
      </c>
    </row>
    <row r="31" spans="7:22" x14ac:dyDescent="0.2">
      <c r="G31" s="22">
        <f t="shared" si="8"/>
        <v>27</v>
      </c>
      <c r="H31" s="2" cm="1">
        <f t="array" ref="H31:J31">MMULT(H30:J30,m_trtB)</f>
        <v>1.742271203023326E-2</v>
      </c>
      <c r="I31" s="2">
        <v>0.65199174059863829</v>
      </c>
      <c r="J31" s="2">
        <v>0.33058554737112805</v>
      </c>
      <c r="L31" s="23">
        <v>669.41445262887157</v>
      </c>
      <c r="N31" s="2">
        <v>0.50641651747921201</v>
      </c>
      <c r="P31" s="25">
        <f t="shared" si="0"/>
        <v>0.45018905576553836</v>
      </c>
      <c r="Q31" s="25">
        <f t="shared" si="1"/>
        <v>0.45018905576553836</v>
      </c>
      <c r="R31" s="25"/>
      <c r="S31" s="25">
        <f t="shared" ref="S31" si="30">2/3</f>
        <v>0.66666666666666663</v>
      </c>
      <c r="T31" s="25"/>
      <c r="U31" s="24">
        <f t="shared" si="2"/>
        <v>0.30012603717702557</v>
      </c>
      <c r="V31" s="24">
        <f t="shared" si="3"/>
        <v>0.30012603717702557</v>
      </c>
    </row>
    <row r="32" spans="7:22" x14ac:dyDescent="0.2">
      <c r="G32" s="22">
        <f t="shared" si="8"/>
        <v>28</v>
      </c>
      <c r="H32" s="2" cm="1">
        <f t="array" ref="H32:J32">MMULT(H31:J31,m_trtB)</f>
        <v>1.4995877970853276E-2</v>
      </c>
      <c r="I32" s="2">
        <v>0.64266927835133314</v>
      </c>
      <c r="J32" s="2">
        <v>0.34233484367781325</v>
      </c>
      <c r="L32" s="23">
        <v>657.66515632218636</v>
      </c>
      <c r="N32" s="2">
        <v>0.4969978367343531</v>
      </c>
      <c r="P32" s="25">
        <f t="shared" si="0"/>
        <v>0.4370767531704256</v>
      </c>
      <c r="Q32" s="25">
        <f t="shared" si="1"/>
        <v>0.4370767531704256</v>
      </c>
      <c r="R32" s="25"/>
      <c r="S32" s="25">
        <f t="shared" ref="S32" si="31">4/3</f>
        <v>1.3333333333333333</v>
      </c>
      <c r="T32" s="25"/>
      <c r="U32" s="24">
        <f t="shared" si="2"/>
        <v>0.5827690042272341</v>
      </c>
      <c r="V32" s="24">
        <f t="shared" si="3"/>
        <v>0.5827690042272341</v>
      </c>
    </row>
    <row r="33" spans="7:22" x14ac:dyDescent="0.2">
      <c r="G33" s="22">
        <f t="shared" si="8"/>
        <v>29</v>
      </c>
      <c r="H33" s="2" cm="1">
        <f t="array" ref="H33:J33">MMULT(H32:J32,m_trtB)</f>
        <v>1.2907081040339725E-2</v>
      </c>
      <c r="I33" s="2">
        <v>0.63319157929936409</v>
      </c>
      <c r="J33" s="2">
        <v>0.35390133966029585</v>
      </c>
      <c r="L33" s="23">
        <v>646.09866033970377</v>
      </c>
      <c r="N33" s="2">
        <v>0.48780076551486279</v>
      </c>
      <c r="P33" s="25">
        <f t="shared" si="0"/>
        <v>0.42434636230138412</v>
      </c>
      <c r="Q33" s="25">
        <f t="shared" si="1"/>
        <v>0.42434636230138412</v>
      </c>
      <c r="R33" s="25"/>
      <c r="S33" s="25">
        <f t="shared" ref="S33" si="32">2/3</f>
        <v>0.66666666666666663</v>
      </c>
      <c r="T33" s="25"/>
      <c r="U33" s="24">
        <f t="shared" si="2"/>
        <v>0.28289757486758937</v>
      </c>
      <c r="V33" s="24">
        <f t="shared" si="3"/>
        <v>0.28289757486758937</v>
      </c>
    </row>
    <row r="34" spans="7:22" x14ac:dyDescent="0.2">
      <c r="G34" s="22">
        <f t="shared" si="8"/>
        <v>30</v>
      </c>
      <c r="H34" s="2" cm="1">
        <f t="array" ref="H34:J34">MMULT(H33:J33,m_trtB)</f>
        <v>1.1109235571648092E-2</v>
      </c>
      <c r="I34" s="2">
        <v>0.62360620045285986</v>
      </c>
      <c r="J34" s="2">
        <v>0.36528456397549175</v>
      </c>
      <c r="L34" s="23">
        <v>634.71543602450799</v>
      </c>
      <c r="N34" s="2">
        <v>0.47881388591129304</v>
      </c>
      <c r="P34" s="25">
        <f t="shared" si="0"/>
        <v>0.41198675951590691</v>
      </c>
      <c r="Q34" s="25">
        <f t="shared" si="1"/>
        <v>0.41198675951590691</v>
      </c>
      <c r="R34" s="25"/>
      <c r="S34" s="25">
        <f t="shared" ref="S34" si="33">4/3</f>
        <v>1.3333333333333333</v>
      </c>
      <c r="T34" s="25"/>
      <c r="U34" s="24">
        <f t="shared" si="2"/>
        <v>0.54931567935454251</v>
      </c>
      <c r="V34" s="24">
        <f t="shared" si="3"/>
        <v>0.54931567935454251</v>
      </c>
    </row>
    <row r="35" spans="7:22" x14ac:dyDescent="0.2">
      <c r="G35" s="22">
        <f t="shared" si="8"/>
        <v>31</v>
      </c>
      <c r="H35" s="2" cm="1">
        <f t="array" ref="H35:J35">MMULT(H34:J34,m_trtB)</f>
        <v>9.5618145265107066E-3</v>
      </c>
      <c r="I35" s="2">
        <v>0.61395361190589037</v>
      </c>
      <c r="J35" s="2">
        <v>0.37648457356759857</v>
      </c>
      <c r="L35" s="23">
        <v>623.51542643240111</v>
      </c>
      <c r="N35" s="2">
        <v>0.47002702345592851</v>
      </c>
      <c r="P35" s="25">
        <f t="shared" si="0"/>
        <v>0.39998714516107459</v>
      </c>
      <c r="Q35" s="25">
        <f t="shared" si="1"/>
        <v>0.39998714516107459</v>
      </c>
      <c r="R35" s="25"/>
      <c r="S35" s="25">
        <f t="shared" ref="S35" si="34">2/3</f>
        <v>0.66666666666666663</v>
      </c>
      <c r="T35" s="25"/>
      <c r="U35" s="24">
        <f t="shared" si="2"/>
        <v>0.26665809677404972</v>
      </c>
      <c r="V35" s="24">
        <f t="shared" si="3"/>
        <v>0.26665809677404972</v>
      </c>
    </row>
    <row r="36" spans="7:22" x14ac:dyDescent="0.2">
      <c r="G36" s="22">
        <f t="shared" si="8"/>
        <v>32</v>
      </c>
      <c r="H36" s="2" cm="1">
        <f t="array" ref="H36:J36">MMULT(H35:J35,m_trtB)</f>
        <v>8.2299359348113523E-3</v>
      </c>
      <c r="I36" s="2">
        <v>0.60426819223587014</v>
      </c>
      <c r="J36" s="2">
        <v>0.38750187182931822</v>
      </c>
      <c r="L36" s="23">
        <v>612.49812817068153</v>
      </c>
      <c r="N36" s="2">
        <v>0.46143108011171396</v>
      </c>
      <c r="P36" s="25">
        <f t="shared" ref="P36:P67" si="35">(1 / ((1 + (d_c)) ^ (G36)))</f>
        <v>0.38833703413696569</v>
      </c>
      <c r="Q36" s="25">
        <f t="shared" ref="Q36:Q67" si="36">(1 / ((1 + (d_e)) ^ (G36)))</f>
        <v>0.38833703413696569</v>
      </c>
      <c r="R36" s="25"/>
      <c r="S36" s="25">
        <f t="shared" ref="S36" si="37">4/3</f>
        <v>1.3333333333333333</v>
      </c>
      <c r="T36" s="25"/>
      <c r="U36" s="24">
        <f t="shared" si="2"/>
        <v>0.51778271218262084</v>
      </c>
      <c r="V36" s="24">
        <f t="shared" si="3"/>
        <v>0.51778271218262084</v>
      </c>
    </row>
    <row r="37" spans="7:22" x14ac:dyDescent="0.2">
      <c r="G37" s="22">
        <f t="shared" si="8"/>
        <v>33</v>
      </c>
      <c r="H37" s="2" cm="1">
        <f t="array" ref="H37:J37">MMULT(H36:J36,m_trtB)</f>
        <v>7.0835765851040705E-3</v>
      </c>
      <c r="I37" s="2">
        <v>0.59457908510515523</v>
      </c>
      <c r="J37" s="2">
        <v>0.39833733830974044</v>
      </c>
      <c r="L37" s="23">
        <v>601.66266169025926</v>
      </c>
      <c r="N37" s="2">
        <v>0.45301789041397045</v>
      </c>
      <c r="P37" s="25">
        <f t="shared" si="35"/>
        <v>0.37702624673491814</v>
      </c>
      <c r="Q37" s="25">
        <f t="shared" si="36"/>
        <v>0.37702624673491814</v>
      </c>
      <c r="R37" s="25"/>
      <c r="S37" s="25">
        <f t="shared" ref="S37" si="38">2/3</f>
        <v>0.66666666666666663</v>
      </c>
      <c r="T37" s="25"/>
      <c r="U37" s="24">
        <f t="shared" si="2"/>
        <v>0.25135083115661205</v>
      </c>
      <c r="V37" s="24">
        <f t="shared" si="3"/>
        <v>0.25135083115661205</v>
      </c>
    </row>
    <row r="38" spans="7:22" x14ac:dyDescent="0.2">
      <c r="G38" s="22">
        <f t="shared" si="8"/>
        <v>34</v>
      </c>
      <c r="H38" s="2" cm="1">
        <f t="array" ref="H38:J38">MMULT(H37:J37,m_trtB)</f>
        <v>6.0968952412853517E-3</v>
      </c>
      <c r="I38" s="2">
        <v>0.58491093640080294</v>
      </c>
      <c r="J38" s="2">
        <v>0.40899216835791136</v>
      </c>
      <c r="L38" s="23">
        <v>591.00783164208826</v>
      </c>
      <c r="N38" s="2">
        <v>0.44478009754188758</v>
      </c>
      <c r="P38" s="25">
        <f t="shared" si="35"/>
        <v>0.36604489974263904</v>
      </c>
      <c r="Q38" s="25">
        <f t="shared" si="36"/>
        <v>0.36604489974263904</v>
      </c>
      <c r="R38" s="25"/>
      <c r="S38" s="25">
        <f t="shared" ref="S38" si="39">4/3</f>
        <v>1.3333333333333333</v>
      </c>
      <c r="T38" s="25"/>
      <c r="U38" s="24">
        <f t="shared" si="2"/>
        <v>0.48805986632351872</v>
      </c>
      <c r="V38" s="24">
        <f t="shared" si="3"/>
        <v>0.48805986632351872</v>
      </c>
    </row>
    <row r="39" spans="7:22" x14ac:dyDescent="0.2">
      <c r="G39" s="22">
        <f t="shared" si="8"/>
        <v>35</v>
      </c>
      <c r="H39" s="2" cm="1">
        <f t="array" ref="H39:J39">MMULT(H38:J38,m_trtB)</f>
        <v>5.2476501293677816E-3</v>
      </c>
      <c r="I39" s="2">
        <v>0.57528452855508017</v>
      </c>
      <c r="J39" s="2">
        <v>0.41946782131555166</v>
      </c>
      <c r="L39" s="23">
        <v>580.53217868444801</v>
      </c>
      <c r="N39" s="2">
        <v>0.43671104654567794</v>
      </c>
      <c r="P39" s="25">
        <f t="shared" si="35"/>
        <v>0.35538339780838735</v>
      </c>
      <c r="Q39" s="25">
        <f t="shared" si="36"/>
        <v>0.35538339780838735</v>
      </c>
      <c r="R39" s="25"/>
      <c r="S39" s="25">
        <f t="shared" ref="S39" si="40">2/3</f>
        <v>0.66666666666666663</v>
      </c>
      <c r="T39" s="25"/>
      <c r="U39" s="24">
        <f t="shared" si="2"/>
        <v>0.23692226520559156</v>
      </c>
      <c r="V39" s="24">
        <f t="shared" si="3"/>
        <v>0.23692226520559156</v>
      </c>
    </row>
    <row r="40" spans="7:22" x14ac:dyDescent="0.2">
      <c r="G40" s="22">
        <f t="shared" si="8"/>
        <v>36</v>
      </c>
      <c r="H40" s="2" cm="1">
        <f t="array" ref="H40:J40">MMULT(H39:J39,m_trtB)</f>
        <v>4.5166975633401489E-3</v>
      </c>
      <c r="I40" s="2">
        <v>0.56571732637109173</v>
      </c>
      <c r="J40" s="2">
        <v>0.42976597606556777</v>
      </c>
      <c r="L40" s="23">
        <v>570.23402393443189</v>
      </c>
      <c r="N40" s="2">
        <v>0.42880469234165897</v>
      </c>
      <c r="P40" s="25">
        <f t="shared" si="35"/>
        <v>0.34503242505668674</v>
      </c>
      <c r="Q40" s="25">
        <f t="shared" si="36"/>
        <v>0.34503242505668674</v>
      </c>
      <c r="R40" s="25"/>
      <c r="S40" s="25">
        <f t="shared" ref="S40" si="41">4/3</f>
        <v>1.3333333333333333</v>
      </c>
      <c r="T40" s="25"/>
      <c r="U40" s="24">
        <f t="shared" si="2"/>
        <v>0.46004323340891562</v>
      </c>
      <c r="V40" s="24">
        <f t="shared" si="3"/>
        <v>0.46004323340891562</v>
      </c>
    </row>
    <row r="41" spans="7:22" x14ac:dyDescent="0.2">
      <c r="G41" s="22">
        <f t="shared" si="8"/>
        <v>37</v>
      </c>
      <c r="H41" s="2" cm="1">
        <f t="array" ref="H41:J41">MMULT(H40:J40,m_trtB)</f>
        <v>3.887560408136551E-3</v>
      </c>
      <c r="I41" s="2">
        <v>0.55622394668259389</v>
      </c>
      <c r="J41" s="2">
        <v>0.43988849290926918</v>
      </c>
      <c r="L41" s="23">
        <v>560.11150709073047</v>
      </c>
      <c r="N41" s="2">
        <v>0.42105552042008199</v>
      </c>
      <c r="P41" s="25">
        <f t="shared" si="35"/>
        <v>0.33498293694823961</v>
      </c>
      <c r="Q41" s="25">
        <f t="shared" si="36"/>
        <v>0.33498293694823961</v>
      </c>
      <c r="R41" s="25"/>
      <c r="S41" s="25">
        <f t="shared" ref="S41" si="42">2/3</f>
        <v>0.66666666666666663</v>
      </c>
      <c r="T41" s="25"/>
      <c r="U41" s="24">
        <f t="shared" si="2"/>
        <v>0.22332195796549306</v>
      </c>
      <c r="V41" s="24">
        <f t="shared" si="3"/>
        <v>0.22332195796549306</v>
      </c>
    </row>
    <row r="42" spans="7:22" x14ac:dyDescent="0.2">
      <c r="G42" s="22">
        <f t="shared" si="8"/>
        <v>38</v>
      </c>
      <c r="H42" s="2" cm="1">
        <f t="array" ref="H42:J42">MMULT(H41:J41,m_trtB)</f>
        <v>3.3460566520053868E-3</v>
      </c>
      <c r="I42" s="2">
        <v>0.54681656245968036</v>
      </c>
      <c r="J42" s="2">
        <v>0.44983738088831388</v>
      </c>
      <c r="L42" s="23">
        <v>550.16261911168567</v>
      </c>
      <c r="N42" s="2">
        <v>0.41345847849676565</v>
      </c>
      <c r="P42" s="25">
        <f t="shared" si="35"/>
        <v>0.3252261523769317</v>
      </c>
      <c r="Q42" s="25">
        <f t="shared" si="36"/>
        <v>0.3252261523769317</v>
      </c>
      <c r="R42" s="25"/>
      <c r="S42" s="25">
        <f t="shared" ref="S42" si="43">4/3</f>
        <v>1.3333333333333333</v>
      </c>
      <c r="T42" s="25"/>
      <c r="U42" s="24">
        <f t="shared" si="2"/>
        <v>0.43363486983590893</v>
      </c>
      <c r="V42" s="24">
        <f t="shared" si="3"/>
        <v>0.43363486983590893</v>
      </c>
    </row>
    <row r="43" spans="7:22" x14ac:dyDescent="0.2">
      <c r="G43" s="22">
        <f t="shared" si="8"/>
        <v>39</v>
      </c>
      <c r="H43" s="2" cm="1">
        <f t="array" ref="H43:J43">MMULT(H42:J42,m_trtB)</f>
        <v>2.8799797155553896E-3</v>
      </c>
      <c r="I43" s="2">
        <v>0.53750525049386699</v>
      </c>
      <c r="J43" s="2">
        <v>0.45961476979057714</v>
      </c>
      <c r="L43" s="23">
        <v>540.38523020942239</v>
      </c>
      <c r="N43" s="2">
        <v>0.40600891758595564</v>
      </c>
      <c r="P43" s="25">
        <f t="shared" si="35"/>
        <v>0.31575354599702099</v>
      </c>
      <c r="Q43" s="25">
        <f t="shared" si="36"/>
        <v>0.31575354599702099</v>
      </c>
      <c r="R43" s="25"/>
      <c r="S43" s="25">
        <f t="shared" ref="S43" si="44">2/3</f>
        <v>0.66666666666666663</v>
      </c>
      <c r="T43" s="25"/>
      <c r="U43" s="24">
        <f t="shared" si="2"/>
        <v>0.21050236399801397</v>
      </c>
      <c r="V43" s="24">
        <f t="shared" si="3"/>
        <v>0.21050236399801397</v>
      </c>
    </row>
    <row r="44" spans="7:22" x14ac:dyDescent="0.2">
      <c r="G44" s="22">
        <f t="shared" si="8"/>
        <v>40</v>
      </c>
      <c r="H44" s="2" cm="1">
        <f t="array" ref="H44:J44">MMULT(H43:J43,m_trtB)</f>
        <v>2.4788232910042045E-3</v>
      </c>
      <c r="I44" s="2">
        <v>0.52829829052383848</v>
      </c>
      <c r="J44" s="2">
        <v>0.46922288618515684</v>
      </c>
      <c r="L44" s="23">
        <v>530.77711381484266</v>
      </c>
      <c r="N44" s="2">
        <v>0.39870254118388304</v>
      </c>
      <c r="P44" s="25">
        <f t="shared" si="35"/>
        <v>0.30655684077380685</v>
      </c>
      <c r="Q44" s="25">
        <f t="shared" si="36"/>
        <v>0.30655684077380685</v>
      </c>
      <c r="R44" s="25"/>
      <c r="S44" s="25">
        <f t="shared" ref="S44" si="45">4/3</f>
        <v>1.3333333333333333</v>
      </c>
      <c r="T44" s="25"/>
      <c r="U44" s="24">
        <f t="shared" si="2"/>
        <v>0.40874245436507578</v>
      </c>
      <c r="V44" s="24">
        <f t="shared" si="3"/>
        <v>0.40874245436507578</v>
      </c>
    </row>
    <row r="45" spans="7:22" x14ac:dyDescent="0.2">
      <c r="G45" s="22">
        <f t="shared" si="8"/>
        <v>41</v>
      </c>
      <c r="H45" s="2" cm="1">
        <f t="array" ref="H45:J45">MMULT(H44:J44,m_trtB)</f>
        <v>2.1335445089549756E-3</v>
      </c>
      <c r="I45" s="2">
        <v>0.51920242256806937</v>
      </c>
      <c r="J45" s="2">
        <v>0.47866403292297516</v>
      </c>
      <c r="L45" s="23">
        <v>521.33596707702429</v>
      </c>
      <c r="N45" s="2">
        <v>0.391535361435007</v>
      </c>
      <c r="P45" s="25">
        <f t="shared" si="35"/>
        <v>0.29762800075126877</v>
      </c>
      <c r="Q45" s="25">
        <f t="shared" si="36"/>
        <v>0.29762800075126877</v>
      </c>
      <c r="R45" s="25"/>
      <c r="S45" s="25">
        <f t="shared" ref="S45" si="46">2/3</f>
        <v>0.66666666666666663</v>
      </c>
      <c r="T45" s="25"/>
      <c r="U45" s="24">
        <f t="shared" si="2"/>
        <v>0.1984186671675125</v>
      </c>
      <c r="V45" s="24">
        <f t="shared" si="3"/>
        <v>0.1984186671675125</v>
      </c>
    </row>
    <row r="46" spans="7:22" x14ac:dyDescent="0.2">
      <c r="G46" s="22">
        <f t="shared" si="8"/>
        <v>42</v>
      </c>
      <c r="H46" s="2" cm="1">
        <f t="array" ref="H46:J46">MMULT(H45:J45,m_trtB)</f>
        <v>1.8363600940056713E-3</v>
      </c>
      <c r="I46" s="2">
        <v>0.51022306828801911</v>
      </c>
      <c r="J46" s="2">
        <v>0.48794057161797472</v>
      </c>
      <c r="L46" s="23">
        <v>512.05942838202486</v>
      </c>
      <c r="N46" s="2">
        <v>0.38450366131002001</v>
      </c>
      <c r="P46" s="25">
        <f t="shared" si="35"/>
        <v>0.28895922403035801</v>
      </c>
      <c r="Q46" s="25">
        <f t="shared" si="36"/>
        <v>0.28895922403035801</v>
      </c>
      <c r="R46" s="25"/>
      <c r="S46" s="25">
        <f t="shared" ref="S46" si="47">4/3</f>
        <v>1.3333333333333333</v>
      </c>
      <c r="T46" s="25"/>
      <c r="U46" s="24">
        <f t="shared" si="2"/>
        <v>0.38527896537381068</v>
      </c>
      <c r="V46" s="24">
        <f t="shared" si="3"/>
        <v>0.38527896537381068</v>
      </c>
    </row>
    <row r="47" spans="7:22" x14ac:dyDescent="0.2">
      <c r="G47" s="22">
        <f t="shared" si="8"/>
        <v>43</v>
      </c>
      <c r="H47" s="2" cm="1">
        <f t="array" ref="H47:J47">MMULT(H46:J46,m_trtB)</f>
        <v>1.5805709141302391E-3</v>
      </c>
      <c r="I47" s="2">
        <v>0.50136452139436394</v>
      </c>
      <c r="J47" s="2">
        <v>0.49705490769150529</v>
      </c>
      <c r="L47" s="23">
        <v>502.94509230849417</v>
      </c>
      <c r="N47" s="2">
        <v>0.3776039619599032</v>
      </c>
      <c r="P47" s="25">
        <f t="shared" si="35"/>
        <v>0.28054293595180391</v>
      </c>
      <c r="Q47" s="25">
        <f t="shared" si="36"/>
        <v>0.28054293595180391</v>
      </c>
      <c r="R47" s="25"/>
      <c r="S47" s="25">
        <f t="shared" ref="S47" si="48">2/3</f>
        <v>0.66666666666666663</v>
      </c>
      <c r="T47" s="25"/>
      <c r="U47" s="24">
        <f t="shared" si="2"/>
        <v>0.18702862396786926</v>
      </c>
      <c r="V47" s="24">
        <f t="shared" si="3"/>
        <v>0.18702862396786926</v>
      </c>
    </row>
    <row r="48" spans="7:22" x14ac:dyDescent="0.2">
      <c r="G48" s="22">
        <f t="shared" si="8"/>
        <v>44</v>
      </c>
      <c r="H48" s="2" cm="1">
        <f t="array" ref="H48:J48">MMULT(H47:J47,m_trtB)</f>
        <v>1.3604109688231901E-3</v>
      </c>
      <c r="I48" s="2">
        <v>0.49263011141050045</v>
      </c>
      <c r="J48" s="2">
        <v>0.50600947762067583</v>
      </c>
      <c r="L48" s="23">
        <v>493.99052237932364</v>
      </c>
      <c r="N48" s="2">
        <v>0.37083299452669849</v>
      </c>
      <c r="P48" s="25">
        <f t="shared" si="35"/>
        <v>0.27237178247747956</v>
      </c>
      <c r="Q48" s="25">
        <f t="shared" si="36"/>
        <v>0.27237178247747956</v>
      </c>
      <c r="R48" s="25"/>
      <c r="S48" s="25">
        <f t="shared" ref="S48" si="49">4/3</f>
        <v>1.3333333333333333</v>
      </c>
      <c r="T48" s="25"/>
      <c r="U48" s="24">
        <f t="shared" si="2"/>
        <v>0.36316237663663942</v>
      </c>
      <c r="V48" s="24">
        <f t="shared" si="3"/>
        <v>0.36316237663663942</v>
      </c>
    </row>
    <row r="49" spans="7:22" x14ac:dyDescent="0.2">
      <c r="G49" s="22">
        <f t="shared" si="8"/>
        <v>45</v>
      </c>
      <c r="H49" s="2" cm="1">
        <f t="array" ref="H49:J49">MMULT(H48:J48,m_trtB)</f>
        <v>1.170917411897883E-3</v>
      </c>
      <c r="I49" s="2">
        <v>0.48402234450657694</v>
      </c>
      <c r="J49" s="2">
        <v>0.51480673808152466</v>
      </c>
      <c r="L49" s="23">
        <v>485.19326191847483</v>
      </c>
      <c r="N49" s="2">
        <v>0.36418767579183059</v>
      </c>
      <c r="P49" s="25">
        <f t="shared" si="35"/>
        <v>0.26443862376454325</v>
      </c>
      <c r="Q49" s="25">
        <f t="shared" si="36"/>
        <v>0.26443862376454325</v>
      </c>
      <c r="R49" s="25"/>
      <c r="S49" s="25">
        <f t="shared" ref="S49" si="50">2/3</f>
        <v>0.66666666666666663</v>
      </c>
      <c r="T49" s="25"/>
      <c r="U49" s="24">
        <f t="shared" si="2"/>
        <v>0.17629241584302882</v>
      </c>
      <c r="V49" s="24">
        <f t="shared" si="3"/>
        <v>0.17629241584302882</v>
      </c>
    </row>
    <row r="50" spans="7:22" x14ac:dyDescent="0.2">
      <c r="G50" s="22">
        <f t="shared" si="8"/>
        <v>46</v>
      </c>
      <c r="H50" s="2" cm="1">
        <f t="array" ref="H50:J50">MMULT(H49:J49,m_trtB)</f>
        <v>1.0078186789920164E-3</v>
      </c>
      <c r="I50" s="2">
        <v>0.47554302460004783</v>
      </c>
      <c r="J50" s="2">
        <v>0.5234491567209596</v>
      </c>
      <c r="L50" s="23">
        <v>476.55084327903984</v>
      </c>
      <c r="N50" s="2">
        <v>0.35766508712902789</v>
      </c>
      <c r="P50" s="25">
        <f t="shared" si="35"/>
        <v>0.25673652792674101</v>
      </c>
      <c r="Q50" s="25">
        <f t="shared" si="36"/>
        <v>0.25673652792674101</v>
      </c>
      <c r="R50" s="25"/>
      <c r="S50" s="25">
        <f t="shared" ref="S50" si="51">4/3</f>
        <v>1.3333333333333333</v>
      </c>
      <c r="T50" s="25"/>
      <c r="U50" s="24">
        <f t="shared" si="2"/>
        <v>0.34231537056898798</v>
      </c>
      <c r="V50" s="24">
        <f t="shared" si="3"/>
        <v>0.34231537056898798</v>
      </c>
    </row>
    <row r="51" spans="7:22" x14ac:dyDescent="0.2">
      <c r="G51" s="22">
        <f t="shared" si="8"/>
        <v>47</v>
      </c>
      <c r="H51" s="2" cm="1">
        <f t="array" ref="H51:J51">MMULT(H50:J50,m_trtB)</f>
        <v>8.6743819795020115E-4</v>
      </c>
      <c r="I51" s="2">
        <v>0.46719335747353319</v>
      </c>
      <c r="J51" s="2">
        <v>0.53193920432851605</v>
      </c>
      <c r="L51" s="23">
        <v>468.06079567148339</v>
      </c>
      <c r="N51" s="2">
        <v>0.3512624563031001</v>
      </c>
      <c r="P51" s="25">
        <f t="shared" si="35"/>
        <v>0.24925876497741845</v>
      </c>
      <c r="Q51" s="25">
        <f t="shared" si="36"/>
        <v>0.24925876497741845</v>
      </c>
      <c r="R51" s="25"/>
      <c r="S51" s="25">
        <f t="shared" ref="S51" si="52">2/3</f>
        <v>0.66666666666666663</v>
      </c>
      <c r="T51" s="25"/>
      <c r="U51" s="24">
        <f t="shared" si="2"/>
        <v>0.16617250998494562</v>
      </c>
      <c r="V51" s="24">
        <f t="shared" si="3"/>
        <v>0.16617250998494562</v>
      </c>
    </row>
    <row r="52" spans="7:22" x14ac:dyDescent="0.2">
      <c r="G52" s="22">
        <f t="shared" si="8"/>
        <v>48</v>
      </c>
      <c r="H52" s="2" cm="1">
        <f t="array" ref="H52:J52">MMULT(H51:J51,m_trtB)</f>
        <v>7.4661151152275178E-4</v>
      </c>
      <c r="I52" s="2">
        <v>0.45897404027756783</v>
      </c>
      <c r="J52" s="2">
        <v>0.54027934821090884</v>
      </c>
      <c r="L52" s="23">
        <v>459.7206517890906</v>
      </c>
      <c r="N52" s="2">
        <v>0.34497714171969862</v>
      </c>
      <c r="P52" s="25">
        <f t="shared" si="35"/>
        <v>0.24199880094894996</v>
      </c>
      <c r="Q52" s="25">
        <f t="shared" si="36"/>
        <v>0.24199880094894996</v>
      </c>
      <c r="R52" s="25"/>
      <c r="S52" s="25">
        <f t="shared" ref="S52" si="53">4/3</f>
        <v>1.3333333333333333</v>
      </c>
      <c r="T52" s="25"/>
      <c r="U52" s="24">
        <f t="shared" si="2"/>
        <v>0.32266506793193328</v>
      </c>
      <c r="V52" s="24">
        <f t="shared" si="3"/>
        <v>0.32266506793193328</v>
      </c>
    </row>
    <row r="53" spans="7:22" x14ac:dyDescent="0.2">
      <c r="G53" s="22">
        <f t="shared" si="8"/>
        <v>49</v>
      </c>
      <c r="H53" s="2" cm="1">
        <f t="array" ref="H53:J53">MMULT(H52:J52,m_trtB)</f>
        <v>6.4261494416030962E-4</v>
      </c>
      <c r="I53" s="2">
        <v>0.45088533845600465</v>
      </c>
      <c r="J53" s="2">
        <v>0.54847204659983451</v>
      </c>
      <c r="L53" s="23">
        <v>451.52795340016496</v>
      </c>
      <c r="N53" s="2">
        <v>0.3388066187861638</v>
      </c>
      <c r="P53" s="25">
        <f t="shared" si="35"/>
        <v>0.2349502921834466</v>
      </c>
      <c r="Q53" s="25">
        <f t="shared" si="36"/>
        <v>0.2349502921834466</v>
      </c>
      <c r="R53" s="25"/>
      <c r="S53" s="25">
        <f t="shared" ref="S53" si="54">2/3</f>
        <v>0.66666666666666663</v>
      </c>
      <c r="T53" s="25"/>
      <c r="U53" s="24">
        <f t="shared" si="2"/>
        <v>0.15663352812229772</v>
      </c>
      <c r="V53" s="24">
        <f t="shared" si="3"/>
        <v>0.15663352812229772</v>
      </c>
    </row>
    <row r="54" spans="7:22" x14ac:dyDescent="0.2">
      <c r="G54" s="22">
        <f t="shared" si="8"/>
        <v>50</v>
      </c>
      <c r="H54" s="2" cm="1">
        <f t="array" ref="H54:J54">MMULT(H53:J53,m_trtB)</f>
        <v>5.5310420491095486E-4</v>
      </c>
      <c r="I54" s="2">
        <v>0.44292715184795667</v>
      </c>
      <c r="J54" s="2">
        <v>0.55651974394713188</v>
      </c>
      <c r="L54" s="23">
        <v>443.48025605286762</v>
      </c>
      <c r="N54" s="2">
        <v>0.33274846809087844</v>
      </c>
      <c r="P54" s="25">
        <f t="shared" si="35"/>
        <v>0.22810707978975397</v>
      </c>
      <c r="Q54" s="25">
        <f t="shared" si="36"/>
        <v>0.22810707978975397</v>
      </c>
      <c r="R54" s="25"/>
      <c r="S54" s="25">
        <f t="shared" ref="S54" si="55">4/3</f>
        <v>1.3333333333333333</v>
      </c>
      <c r="T54" s="25"/>
      <c r="U54" s="24">
        <f t="shared" si="2"/>
        <v>0.3041427730530053</v>
      </c>
      <c r="V54" s="24">
        <f t="shared" si="3"/>
        <v>0.3041427730530053</v>
      </c>
    </row>
    <row r="55" spans="7:22" x14ac:dyDescent="0.2">
      <c r="G55" s="22">
        <f t="shared" si="8"/>
        <v>51</v>
      </c>
      <c r="H55" s="2" cm="1">
        <f t="array" ref="H55:J55">MMULT(H54:J54,m_trtB)</f>
        <v>4.7606154240611981E-4</v>
      </c>
      <c r="I55" s="2">
        <v>0.43509907147582783</v>
      </c>
      <c r="J55" s="2">
        <v>0.56442486698176553</v>
      </c>
      <c r="L55" s="23">
        <v>435.57513301823394</v>
      </c>
      <c r="N55" s="2">
        <v>0.32680036514927696</v>
      </c>
      <c r="P55" s="25">
        <f t="shared" si="35"/>
        <v>0.22146318426189707</v>
      </c>
      <c r="Q55" s="25">
        <f t="shared" si="36"/>
        <v>0.22146318426189707</v>
      </c>
      <c r="R55" s="25"/>
      <c r="S55" s="25">
        <f t="shared" ref="S55" si="56">2/3</f>
        <v>0.66666666666666663</v>
      </c>
      <c r="T55" s="25"/>
      <c r="U55" s="24">
        <f t="shared" si="2"/>
        <v>0.14764212284126471</v>
      </c>
      <c r="V55" s="24">
        <f t="shared" si="3"/>
        <v>0.14764212284126471</v>
      </c>
    </row>
    <row r="56" spans="7:22" x14ac:dyDescent="0.2">
      <c r="G56" s="22">
        <f t="shared" si="8"/>
        <v>52</v>
      </c>
      <c r="H56" s="2" cm="1">
        <f t="array" ref="H56:J56">MMULT(H55:J55,m_trtB)</f>
        <v>4.0975026070282734E-4</v>
      </c>
      <c r="I56" s="2">
        <v>0.42740042831867914</v>
      </c>
      <c r="J56" s="2">
        <v>0.57218982142061747</v>
      </c>
      <c r="L56" s="23">
        <v>427.81017857938195</v>
      </c>
      <c r="N56" s="2">
        <v>0.32096007149971217</v>
      </c>
      <c r="P56" s="25">
        <f t="shared" si="35"/>
        <v>0.215012800254269</v>
      </c>
      <c r="Q56" s="25">
        <f t="shared" si="36"/>
        <v>0.215012800254269</v>
      </c>
      <c r="R56" s="25"/>
      <c r="S56" s="25">
        <f t="shared" ref="S56" si="57">4/3</f>
        <v>1.3333333333333333</v>
      </c>
      <c r="T56" s="25"/>
      <c r="U56" s="24">
        <f t="shared" si="2"/>
        <v>0.28668373367235866</v>
      </c>
      <c r="V56" s="24">
        <f t="shared" si="3"/>
        <v>0.28668373367235866</v>
      </c>
    </row>
    <row r="57" spans="7:22" x14ac:dyDescent="0.2">
      <c r="G57" s="22">
        <f t="shared" si="8"/>
        <v>53</v>
      </c>
      <c r="H57" s="2" cm="1">
        <f t="array" ref="H57:J57">MMULT(H56:J56,m_trtB)</f>
        <v>3.526755706782264E-4</v>
      </c>
      <c r="I57" s="2">
        <v>0.41983033518917007</v>
      </c>
      <c r="J57" s="2">
        <v>0.57981698924015113</v>
      </c>
      <c r="L57" s="23">
        <v>420.18301075984829</v>
      </c>
      <c r="N57" s="2">
        <v>0.31522542696255579</v>
      </c>
      <c r="P57" s="25">
        <f t="shared" si="35"/>
        <v>0.20875029150899907</v>
      </c>
      <c r="Q57" s="25">
        <f t="shared" si="36"/>
        <v>0.20875029150899907</v>
      </c>
      <c r="R57" s="25"/>
      <c r="S57" s="25">
        <f t="shared" ref="S57" si="58">2/3</f>
        <v>0.66666666666666663</v>
      </c>
      <c r="T57" s="25"/>
      <c r="U57" s="24">
        <f t="shared" si="2"/>
        <v>0.13916686100599937</v>
      </c>
      <c r="V57" s="24">
        <f t="shared" si="3"/>
        <v>0.13916686100599937</v>
      </c>
    </row>
    <row r="58" spans="7:22" x14ac:dyDescent="0.2">
      <c r="G58" s="22">
        <f t="shared" si="8"/>
        <v>54</v>
      </c>
      <c r="H58" s="2" cm="1">
        <f t="array" ref="H58:J58">MMULT(H57:J57,m_trtB)</f>
        <v>3.0355089448843496E-4</v>
      </c>
      <c r="I58" s="2">
        <v>0.41238772267651991</v>
      </c>
      <c r="J58" s="2">
        <v>0.58730872642899112</v>
      </c>
      <c r="L58" s="23">
        <v>412.69127357100831</v>
      </c>
      <c r="N58" s="2">
        <v>0.30959434290187837</v>
      </c>
      <c r="P58" s="25">
        <f t="shared" si="35"/>
        <v>0.20267018593106703</v>
      </c>
      <c r="Q58" s="25">
        <f t="shared" si="36"/>
        <v>0.20267018593106703</v>
      </c>
      <c r="R58" s="25"/>
      <c r="S58" s="25">
        <f t="shared" ref="S58" si="59">4/3</f>
        <v>1.3333333333333333</v>
      </c>
      <c r="T58" s="25"/>
      <c r="U58" s="24">
        <f t="shared" si="2"/>
        <v>0.27022691457475601</v>
      </c>
      <c r="V58" s="24">
        <f t="shared" si="3"/>
        <v>0.27022691457475601</v>
      </c>
    </row>
    <row r="59" spans="7:22" x14ac:dyDescent="0.2">
      <c r="G59" s="22">
        <f t="shared" si="8"/>
        <v>55</v>
      </c>
      <c r="H59" s="2" cm="1">
        <f t="array" ref="H59:J59">MMULT(H58:J58,m_trtB)</f>
        <v>2.6126886352669545E-4</v>
      </c>
      <c r="I59" s="2">
        <v>0.40507136998384136</v>
      </c>
      <c r="J59" s="2">
        <v>0.59466736115263141</v>
      </c>
      <c r="L59" s="23">
        <v>405.33263884736806</v>
      </c>
      <c r="N59" s="2">
        <v>0.30406479635140771</v>
      </c>
      <c r="P59" s="25">
        <f t="shared" si="35"/>
        <v>0.19676717080686118</v>
      </c>
      <c r="Q59" s="25">
        <f t="shared" si="36"/>
        <v>0.19676717080686118</v>
      </c>
      <c r="R59" s="25"/>
      <c r="S59" s="25">
        <f t="shared" ref="S59" si="60">2/3</f>
        <v>0.66666666666666663</v>
      </c>
      <c r="T59" s="25"/>
      <c r="U59" s="24">
        <f t="shared" si="2"/>
        <v>0.13117811387124079</v>
      </c>
      <c r="V59" s="24">
        <f t="shared" si="3"/>
        <v>0.13117811387124079</v>
      </c>
    </row>
    <row r="60" spans="7:22" x14ac:dyDescent="0.2">
      <c r="G60" s="22">
        <f t="shared" si="8"/>
        <v>56</v>
      </c>
      <c r="H60" s="2" cm="1">
        <f t="array" ref="H60:J60">MMULT(H59:J59,m_trtB)</f>
        <v>2.2487635611672269E-4</v>
      </c>
      <c r="I60" s="2">
        <v>0.39787993137278393</v>
      </c>
      <c r="J60" s="2">
        <v>0.60189519227109878</v>
      </c>
      <c r="L60" s="23">
        <v>398.10480772890065</v>
      </c>
      <c r="N60" s="2">
        <v>0.2986348248857047</v>
      </c>
      <c r="P60" s="25">
        <f t="shared" si="35"/>
        <v>0.19103608816200118</v>
      </c>
      <c r="Q60" s="25">
        <f t="shared" si="36"/>
        <v>0.19103608816200118</v>
      </c>
      <c r="R60" s="25"/>
      <c r="S60" s="25">
        <f t="shared" ref="S60" si="61">4/3</f>
        <v>1.3333333333333333</v>
      </c>
      <c r="T60" s="25"/>
      <c r="U60" s="24">
        <f t="shared" si="2"/>
        <v>0.25471478421600158</v>
      </c>
      <c r="V60" s="24">
        <f t="shared" si="3"/>
        <v>0.25471478421600158</v>
      </c>
    </row>
    <row r="61" spans="7:22" x14ac:dyDescent="0.2">
      <c r="G61" s="22">
        <f t="shared" si="8"/>
        <v>57</v>
      </c>
      <c r="H61" s="2" cm="1">
        <f t="array" ref="H61:J61">MMULT(H60:J60,m_trtB)</f>
        <v>1.9355301224084859E-4</v>
      </c>
      <c r="I61" s="2">
        <v>0.39081195882908709</v>
      </c>
      <c r="J61" s="2">
        <v>0.60899448815867152</v>
      </c>
      <c r="L61" s="23">
        <v>391.00551184132792</v>
      </c>
      <c r="N61" s="2">
        <v>0.29330252213405617</v>
      </c>
      <c r="P61" s="25">
        <f t="shared" si="35"/>
        <v>0.18547193025437006</v>
      </c>
      <c r="Q61" s="25">
        <f t="shared" si="36"/>
        <v>0.18547193025437006</v>
      </c>
      <c r="R61" s="25"/>
      <c r="S61" s="25">
        <f t="shared" ref="S61" si="62">2/3</f>
        <v>0.66666666666666663</v>
      </c>
      <c r="T61" s="25"/>
      <c r="U61" s="24">
        <f t="shared" si="2"/>
        <v>0.12364795350291337</v>
      </c>
      <c r="V61" s="24">
        <f t="shared" si="3"/>
        <v>0.12364795350291337</v>
      </c>
    </row>
    <row r="62" spans="7:22" x14ac:dyDescent="0.2">
      <c r="G62" s="22">
        <f t="shared" si="8"/>
        <v>58</v>
      </c>
      <c r="H62" s="2" cm="1">
        <f t="array" ref="H62:J62">MMULT(H61:J61,m_trtB)</f>
        <v>1.6659274098189731E-4</v>
      </c>
      <c r="I62" s="2">
        <v>0.38386592147714282</v>
      </c>
      <c r="J62" s="2">
        <v>0.61596748578187477</v>
      </c>
      <c r="L62" s="23">
        <v>384.03251421812473</v>
      </c>
      <c r="N62" s="2">
        <v>0.28806603384883905</v>
      </c>
      <c r="P62" s="25">
        <f t="shared" si="35"/>
        <v>0.18006983519841754</v>
      </c>
      <c r="Q62" s="25">
        <f t="shared" si="36"/>
        <v>0.18006983519841754</v>
      </c>
      <c r="R62" s="25"/>
      <c r="S62" s="25">
        <f t="shared" ref="S62" si="63">4/3</f>
        <v>1.3333333333333333</v>
      </c>
      <c r="T62" s="25"/>
      <c r="U62" s="24">
        <f t="shared" si="2"/>
        <v>0.24009311359789004</v>
      </c>
      <c r="V62" s="24">
        <f t="shared" si="3"/>
        <v>0.24009311359789004</v>
      </c>
    </row>
    <row r="63" spans="7:22" x14ac:dyDescent="0.2">
      <c r="G63" s="22">
        <f>G62+1</f>
        <v>59</v>
      </c>
      <c r="H63" s="2" cm="1">
        <f t="array" ref="H63:J63">MMULT(H62:J62,m_trtB)</f>
        <v>1.4338780381948683E-4</v>
      </c>
      <c r="I63" s="2">
        <v>0.37704022219807759</v>
      </c>
      <c r="J63" s="2">
        <v>0.6228163899981024</v>
      </c>
      <c r="L63" s="23">
        <v>377.18361000189708</v>
      </c>
      <c r="N63" s="2">
        <v>0.28292355445237771</v>
      </c>
      <c r="P63" s="25">
        <f t="shared" si="35"/>
        <v>0.17482508271691022</v>
      </c>
      <c r="Q63" s="25">
        <f t="shared" si="36"/>
        <v>0.17482508271691022</v>
      </c>
      <c r="R63" s="25"/>
      <c r="S63" s="25">
        <f t="shared" ref="S63" si="64">2/3</f>
        <v>0.66666666666666663</v>
      </c>
      <c r="T63" s="25"/>
      <c r="U63" s="24">
        <f t="shared" si="2"/>
        <v>0.11655005514460681</v>
      </c>
      <c r="V63" s="24">
        <f t="shared" si="3"/>
        <v>0.11655005514460681</v>
      </c>
    </row>
    <row r="64" spans="7:22" x14ac:dyDescent="0.2">
      <c r="G64" s="22">
        <f>G63+1</f>
        <v>60</v>
      </c>
      <c r="H64" s="2" cm="1">
        <f t="array" ref="H64:J64">MMULT(H63:J63,m_trtB)</f>
        <v>1.2341511498637137E-4</v>
      </c>
      <c r="I64" s="2">
        <v>0.37033321184252382</v>
      </c>
      <c r="J64" s="2">
        <v>0.62954337304248931</v>
      </c>
      <c r="L64" s="23">
        <v>370.4566269575102</v>
      </c>
      <c r="N64" s="2">
        <v>0.27787332399687925</v>
      </c>
      <c r="P64" s="25">
        <f t="shared" si="35"/>
        <v>0.1697330900164177</v>
      </c>
      <c r="Q64" s="25">
        <f t="shared" si="36"/>
        <v>0.1697330900164177</v>
      </c>
      <c r="R64" s="25"/>
      <c r="S64" s="25">
        <f t="shared" ref="S64" si="65">4/3</f>
        <v>1.3333333333333333</v>
      </c>
      <c r="T64" s="25"/>
      <c r="U64" s="24">
        <f t="shared" si="2"/>
        <v>0.22631078668855692</v>
      </c>
      <c r="V64" s="24">
        <f t="shared" si="3"/>
        <v>0.22631078668855692</v>
      </c>
    </row>
    <row r="65" spans="7:22" x14ac:dyDescent="0.2">
      <c r="G65" s="22">
        <f t="shared" ref="G65:G79" si="66">G64+1</f>
        <v>61</v>
      </c>
      <c r="H65" s="2" cm="1">
        <f t="array" ref="H65:J65">MMULT(H64:J64,m_trtB)</f>
        <v>1.0622445006741425E-4</v>
      </c>
      <c r="I65" s="2">
        <v>0.36374320137473592</v>
      </c>
      <c r="J65" s="2">
        <v>0.63615057417519616</v>
      </c>
      <c r="L65" s="23">
        <v>363.84942582480335</v>
      </c>
      <c r="N65" s="2">
        <v>0.27291362548111936</v>
      </c>
      <c r="P65" s="25">
        <f t="shared" si="35"/>
        <v>0.16478940778292983</v>
      </c>
      <c r="Q65" s="25">
        <f t="shared" si="36"/>
        <v>0.16478940778292983</v>
      </c>
      <c r="R65" s="25"/>
      <c r="S65" s="25">
        <f t="shared" ref="S65" si="67">2/3</f>
        <v>0.66666666666666663</v>
      </c>
      <c r="T65" s="25"/>
      <c r="U65" s="24">
        <f t="shared" si="2"/>
        <v>0.10985960518861988</v>
      </c>
      <c r="V65" s="24">
        <f t="shared" si="3"/>
        <v>0.10985960518861988</v>
      </c>
    </row>
    <row r="66" spans="7:22" x14ac:dyDescent="0.2">
      <c r="G66" s="22">
        <f t="shared" si="66"/>
        <v>62</v>
      </c>
      <c r="H66" s="2" cm="1">
        <f t="array" ref="H66:J66">MMULT(H65:J65,m_trtB)</f>
        <v>9.1428297039391205E-5</v>
      </c>
      <c r="I66" s="2">
        <v>0.35726847223778224</v>
      </c>
      <c r="J66" s="2">
        <v>0.64264009946517786</v>
      </c>
      <c r="L66" s="23">
        <v>357.35990053482163</v>
      </c>
      <c r="N66" s="2">
        <v>0.26804278247537611</v>
      </c>
      <c r="P66" s="25">
        <f t="shared" si="35"/>
        <v>0.15998971629410663</v>
      </c>
      <c r="Q66" s="25">
        <f t="shared" si="36"/>
        <v>0.15998971629410663</v>
      </c>
      <c r="R66" s="25"/>
      <c r="S66" s="25">
        <f t="shared" ref="S66" si="68">4/3</f>
        <v>1.3333333333333333</v>
      </c>
      <c r="T66" s="25"/>
      <c r="U66" s="24">
        <f t="shared" si="2"/>
        <v>0.2133196217254755</v>
      </c>
      <c r="V66" s="24">
        <f t="shared" si="3"/>
        <v>0.2133196217254755</v>
      </c>
    </row>
    <row r="67" spans="7:22" x14ac:dyDescent="0.2">
      <c r="G67" s="22">
        <f t="shared" si="66"/>
        <v>63</v>
      </c>
      <c r="H67" s="2" cm="1">
        <f t="array" ref="H67:J67">MMULT(H66:J66,m_trtB)</f>
        <v>7.8693120973731683E-5</v>
      </c>
      <c r="I67" s="2">
        <v>0.35090728518916159</v>
      </c>
      <c r="J67" s="2">
        <v>0.64901402168986411</v>
      </c>
      <c r="L67" s="23">
        <v>350.98597831013535</v>
      </c>
      <c r="N67" s="2">
        <v>0.26325915701284497</v>
      </c>
      <c r="P67" s="25">
        <f t="shared" si="35"/>
        <v>0.15532982164476369</v>
      </c>
      <c r="Q67" s="25">
        <f t="shared" si="36"/>
        <v>0.15532982164476369</v>
      </c>
      <c r="R67" s="25"/>
      <c r="S67" s="25">
        <f t="shared" ref="S67" si="69">2/3</f>
        <v>0.66666666666666663</v>
      </c>
      <c r="T67" s="25"/>
      <c r="U67" s="24">
        <f t="shared" si="2"/>
        <v>0.10355321442984246</v>
      </c>
      <c r="V67" s="24">
        <f t="shared" si="3"/>
        <v>0.10355321442984246</v>
      </c>
    </row>
    <row r="68" spans="7:22" x14ac:dyDescent="0.2">
      <c r="G68" s="22">
        <f t="shared" si="66"/>
        <v>64</v>
      </c>
      <c r="H68" s="2" cm="1">
        <f t="array" ref="H68:J68">MMULT(H67:J67,m_trtB)</f>
        <v>6.7731845491099231E-5</v>
      </c>
      <c r="I68" s="2">
        <v>0.34465788782143025</v>
      </c>
      <c r="J68" s="2">
        <v>0.65527438033307805</v>
      </c>
      <c r="L68" s="23">
        <v>344.72561966692138</v>
      </c>
      <c r="N68" s="2">
        <v>0.25856114771156374</v>
      </c>
      <c r="P68" s="25">
        <f t="shared" ref="P68:P79" si="70">(1 / ((1 + (d_c)) ^ (G68)))</f>
        <v>0.15080565208229488</v>
      </c>
      <c r="Q68" s="25">
        <f t="shared" ref="Q68:Q79" si="71">(1 / ((1 + (d_e)) ^ (G68)))</f>
        <v>0.15080565208229488</v>
      </c>
      <c r="R68" s="25"/>
      <c r="S68" s="25">
        <f t="shared" ref="S68" si="72">4/3</f>
        <v>1.3333333333333333</v>
      </c>
      <c r="T68" s="25"/>
      <c r="U68" s="24">
        <f t="shared" si="2"/>
        <v>0.20107420277639315</v>
      </c>
      <c r="V68" s="24">
        <f t="shared" si="3"/>
        <v>0.20107420277639315</v>
      </c>
    </row>
    <row r="69" spans="7:22" x14ac:dyDescent="0.2">
      <c r="G69" s="22">
        <f t="shared" si="66"/>
        <v>65</v>
      </c>
      <c r="H69" s="2" cm="1">
        <f t="array" ref="H69:J69">MMULT(H68:J68,m_trtB)</f>
        <v>5.8297381484736298E-5</v>
      </c>
      <c r="I69" s="2">
        <v>0.33851852095250995</v>
      </c>
      <c r="J69" s="2">
        <v>0.66142318166600478</v>
      </c>
      <c r="L69" s="23">
        <v>338.57681833399471</v>
      </c>
      <c r="N69" s="2">
        <v>0.25394718809586719</v>
      </c>
      <c r="P69" s="25">
        <f t="shared" si="70"/>
        <v>0.14641325444882999</v>
      </c>
      <c r="Q69" s="25">
        <f t="shared" si="71"/>
        <v>0.14641325444882999</v>
      </c>
      <c r="R69" s="25"/>
      <c r="S69" s="25">
        <f t="shared" ref="S69" si="73">2/3</f>
        <v>0.66666666666666663</v>
      </c>
      <c r="T69" s="25"/>
      <c r="U69" s="24">
        <f t="shared" ref="U69:U79" si="74">P69*S69</f>
        <v>9.7608836299219986E-2</v>
      </c>
      <c r="V69" s="24">
        <f t="shared" ref="V69:V79" si="75">Q69*S69</f>
        <v>9.7608836299219986E-2</v>
      </c>
    </row>
    <row r="70" spans="7:22" x14ac:dyDescent="0.2">
      <c r="G70" s="22">
        <f t="shared" si="66"/>
        <v>66</v>
      </c>
      <c r="H70" s="2" cm="1">
        <f t="array" ref="H70:J70">MMULT(H69:J69,m_trtB)</f>
        <v>5.0177057237034662E-5</v>
      </c>
      <c r="I70" s="2">
        <v>0.3324874240445968</v>
      </c>
      <c r="J70" s="2">
        <v>0.66746239889816561</v>
      </c>
      <c r="L70" s="23">
        <v>332.53760110183384</v>
      </c>
      <c r="N70" s="2">
        <v>0.24941574509068465</v>
      </c>
      <c r="P70" s="25">
        <f t="shared" si="70"/>
        <v>0.14214879072701941</v>
      </c>
      <c r="Q70" s="25">
        <f t="shared" si="71"/>
        <v>0.14214879072701941</v>
      </c>
      <c r="R70" s="25"/>
      <c r="S70" s="25">
        <f t="shared" ref="S70" si="76">4/3</f>
        <v>1.3333333333333333</v>
      </c>
      <c r="T70" s="25"/>
      <c r="U70" s="24">
        <f t="shared" si="74"/>
        <v>0.18953172096935922</v>
      </c>
      <c r="V70" s="24">
        <f t="shared" si="75"/>
        <v>0.18953172096935922</v>
      </c>
    </row>
    <row r="71" spans="7:22" x14ac:dyDescent="0.2">
      <c r="G71" s="22">
        <f t="shared" si="66"/>
        <v>67</v>
      </c>
      <c r="H71" s="2" cm="1">
        <f t="array" ref="H71:J71">MMULT(H70:J70,m_trtB)</f>
        <v>4.3187824373001366E-5</v>
      </c>
      <c r="I71" s="2">
        <v>0.32656283978842887</v>
      </c>
      <c r="J71" s="2">
        <v>0.67339397238719767</v>
      </c>
      <c r="L71" s="23">
        <v>326.60602761280182</v>
      </c>
      <c r="N71" s="2">
        <v>0.24496531766569468</v>
      </c>
      <c r="P71" s="25">
        <f t="shared" si="70"/>
        <v>0.1380085346864266</v>
      </c>
      <c r="Q71" s="25">
        <f t="shared" si="71"/>
        <v>0.1380085346864266</v>
      </c>
      <c r="R71" s="25"/>
      <c r="S71" s="25">
        <f t="shared" ref="S71" si="77">2/3</f>
        <v>0.66666666666666663</v>
      </c>
      <c r="T71" s="25"/>
      <c r="U71" s="24">
        <f t="shared" si="74"/>
        <v>9.2005689790951056E-2</v>
      </c>
      <c r="V71" s="24">
        <f t="shared" si="75"/>
        <v>9.2005689790951056E-2</v>
      </c>
    </row>
    <row r="72" spans="7:22" x14ac:dyDescent="0.2">
      <c r="G72" s="22">
        <f t="shared" si="66"/>
        <v>68</v>
      </c>
      <c r="H72" s="2" cm="1">
        <f t="array" ref="H72:J72">MMULT(H71:J71,m_trtB)</f>
        <v>3.7172131583207982E-5</v>
      </c>
      <c r="I72" s="2">
        <v>0.32074301797059457</v>
      </c>
      <c r="J72" s="2">
        <v>0.67921980989782171</v>
      </c>
      <c r="L72" s="23">
        <v>320.78019010217776</v>
      </c>
      <c r="N72" s="2">
        <v>0.24059443560952914</v>
      </c>
      <c r="P72" s="25">
        <f t="shared" si="70"/>
        <v>0.13398886862759865</v>
      </c>
      <c r="Q72" s="25">
        <f t="shared" si="71"/>
        <v>0.13398886862759865</v>
      </c>
      <c r="R72" s="25"/>
      <c r="S72" s="25">
        <f t="shared" ref="S72" si="78">4/3</f>
        <v>1.3333333333333333</v>
      </c>
      <c r="T72" s="25"/>
      <c r="U72" s="24">
        <f t="shared" si="74"/>
        <v>0.1786518248367982</v>
      </c>
      <c r="V72" s="24">
        <f t="shared" si="75"/>
        <v>0.1786518248367982</v>
      </c>
    </row>
    <row r="73" spans="7:22" x14ac:dyDescent="0.2">
      <c r="G73" s="22">
        <f t="shared" si="66"/>
        <v>69</v>
      </c>
      <c r="H73" s="2" cm="1">
        <f t="array" ref="H73:J73">MMULT(H72:J72,m_trtB)</f>
        <v>3.1994373101672901E-5</v>
      </c>
      <c r="I73" s="2">
        <v>0.31502621872514752</v>
      </c>
      <c r="J73" s="2">
        <v>0.68494178690175023</v>
      </c>
      <c r="L73" s="23">
        <v>315.05821309824921</v>
      </c>
      <c r="N73" s="2">
        <v>0.2363016584169623</v>
      </c>
      <c r="P73" s="25">
        <f t="shared" si="70"/>
        <v>0.13008628022096957</v>
      </c>
      <c r="Q73" s="25">
        <f t="shared" si="71"/>
        <v>0.13008628022096957</v>
      </c>
      <c r="R73" s="25"/>
      <c r="S73" s="25">
        <f t="shared" ref="S73" si="79">2/3</f>
        <v>0.66666666666666663</v>
      </c>
      <c r="T73" s="25"/>
      <c r="U73" s="24">
        <f t="shared" si="74"/>
        <v>8.6724186813979712E-2</v>
      </c>
      <c r="V73" s="24">
        <f t="shared" si="75"/>
        <v>8.6724186813979712E-2</v>
      </c>
    </row>
    <row r="74" spans="7:22" x14ac:dyDescent="0.2">
      <c r="G74" s="22">
        <f t="shared" si="66"/>
        <v>70</v>
      </c>
      <c r="H74" s="2" cm="1">
        <f t="array" ref="H74:J74">MMULT(H73:J73,m_trtB)</f>
        <v>2.7537831880253709E-5</v>
      </c>
      <c r="I74" s="2">
        <v>0.30941071525666164</v>
      </c>
      <c r="J74" s="2">
        <v>0.69056174691145755</v>
      </c>
      <c r="L74" s="23">
        <v>309.4382530885419</v>
      </c>
      <c r="N74" s="2">
        <v>0.23208557427437648</v>
      </c>
      <c r="P74" s="25">
        <f t="shared" si="70"/>
        <v>0.12629735943783454</v>
      </c>
      <c r="Q74" s="25">
        <f t="shared" si="71"/>
        <v>0.12629735943783454</v>
      </c>
      <c r="R74" s="25"/>
      <c r="S74" s="25">
        <f t="shared" ref="S74" si="80">4/3</f>
        <v>1.3333333333333333</v>
      </c>
      <c r="T74" s="25"/>
      <c r="U74" s="24">
        <f t="shared" si="74"/>
        <v>0.16839647925044604</v>
      </c>
      <c r="V74" s="24">
        <f t="shared" si="75"/>
        <v>0.16839647925044604</v>
      </c>
    </row>
    <row r="75" spans="7:22" x14ac:dyDescent="0.2">
      <c r="G75" s="22">
        <f t="shared" si="66"/>
        <v>71</v>
      </c>
      <c r="H75" s="2" cm="1">
        <f t="array" ref="H75:J75">MMULT(H74:J74,m_trtB)</f>
        <v>2.3702048552577087E-5</v>
      </c>
      <c r="I75" s="2">
        <v>0.3038947961097001</v>
      </c>
      <c r="J75" s="2">
        <v>0.69608150184174677</v>
      </c>
      <c r="L75" s="23">
        <v>303.9184981582527</v>
      </c>
      <c r="N75" s="2">
        <v>0.22794479913082766</v>
      </c>
      <c r="P75" s="25">
        <f t="shared" si="70"/>
        <v>0.12261879557071313</v>
      </c>
      <c r="Q75" s="25">
        <f t="shared" si="71"/>
        <v>0.12261879557071313</v>
      </c>
      <c r="R75" s="25"/>
      <c r="S75" s="25">
        <f t="shared" ref="S75" si="81">2/3</f>
        <v>0.66666666666666663</v>
      </c>
      <c r="T75" s="25"/>
      <c r="U75" s="24">
        <f t="shared" si="74"/>
        <v>8.174586371380875E-2</v>
      </c>
      <c r="V75" s="24">
        <f t="shared" si="75"/>
        <v>8.174586371380875E-2</v>
      </c>
    </row>
    <row r="76" spans="7:22" x14ac:dyDescent="0.2">
      <c r="G76" s="22">
        <f t="shared" si="66"/>
        <v>72</v>
      </c>
      <c r="H76" s="2" cm="1">
        <f t="array" ref="H76:J76">MMULT(H75:J75,m_trtB)</f>
        <v>2.0400556878682847E-5</v>
      </c>
      <c r="I76" s="2">
        <v>0.29847676704920428</v>
      </c>
      <c r="J76" s="2">
        <v>0.70150283239391642</v>
      </c>
      <c r="L76" s="23">
        <v>298.49716760608294</v>
      </c>
      <c r="N76" s="2">
        <v>0.22387797584378188</v>
      </c>
      <c r="P76" s="25">
        <f t="shared" si="70"/>
        <v>0.1190473743404982</v>
      </c>
      <c r="Q76" s="25">
        <f t="shared" si="71"/>
        <v>0.1190473743404982</v>
      </c>
      <c r="R76" s="25"/>
      <c r="S76" s="25">
        <f t="shared" ref="S76" si="82">4/3</f>
        <v>1.3333333333333333</v>
      </c>
      <c r="T76" s="25"/>
      <c r="U76" s="24">
        <f t="shared" si="74"/>
        <v>0.15872983245399758</v>
      </c>
      <c r="V76" s="24">
        <f t="shared" si="75"/>
        <v>0.15872983245399758</v>
      </c>
    </row>
    <row r="77" spans="7:22" x14ac:dyDescent="0.2">
      <c r="G77" s="22">
        <f t="shared" si="66"/>
        <v>73</v>
      </c>
      <c r="H77" s="2" cm="1">
        <f t="array" ref="H77:J77">MMULT(H76:J76,m_trtB)</f>
        <v>1.7558934622768003E-5</v>
      </c>
      <c r="I77" s="2">
        <v>0.29315495260729912</v>
      </c>
      <c r="J77" s="2">
        <v>0.70682748845807741</v>
      </c>
      <c r="L77" s="23">
        <v>293.17251154192189</v>
      </c>
      <c r="N77" s="2">
        <v>0.2198837733900971</v>
      </c>
      <c r="P77" s="25">
        <f t="shared" si="70"/>
        <v>0.11557997508786232</v>
      </c>
      <c r="Q77" s="25">
        <f t="shared" si="71"/>
        <v>0.11557997508786232</v>
      </c>
      <c r="R77" s="25"/>
      <c r="S77" s="25">
        <f t="shared" ref="S77" si="83">2/3</f>
        <v>0.66666666666666663</v>
      </c>
      <c r="T77" s="25"/>
      <c r="U77" s="24">
        <f t="shared" si="74"/>
        <v>7.7053316725241544E-2</v>
      </c>
      <c r="V77" s="24">
        <f t="shared" si="75"/>
        <v>7.7053316725241544E-2</v>
      </c>
    </row>
    <row r="78" spans="7:22" x14ac:dyDescent="0.2">
      <c r="G78" s="22">
        <f t="shared" si="66"/>
        <v>74</v>
      </c>
      <c r="H78" s="2" cm="1">
        <f t="array" ref="H78:J78">MMULT(H77:J77,m_trtB)</f>
        <v>1.5113125926910834E-5</v>
      </c>
      <c r="I78" s="2">
        <v>0.2879276973442591</v>
      </c>
      <c r="J78" s="2">
        <v>0.71205718952981323</v>
      </c>
      <c r="L78" s="23">
        <v>287.94281047018603</v>
      </c>
      <c r="N78" s="2">
        <v>0.21596088613412126</v>
      </c>
      <c r="P78" s="25">
        <f t="shared" si="70"/>
        <v>0.11221356804646829</v>
      </c>
      <c r="Q78" s="25">
        <f t="shared" si="71"/>
        <v>0.11221356804646829</v>
      </c>
      <c r="R78" s="25"/>
      <c r="S78" s="25">
        <f t="shared" ref="S78" si="84">4/3</f>
        <v>1.3333333333333333</v>
      </c>
      <c r="T78" s="25"/>
      <c r="U78" s="24">
        <f t="shared" si="74"/>
        <v>0.14961809072862436</v>
      </c>
      <c r="V78" s="24">
        <f t="shared" si="75"/>
        <v>0.14961809072862436</v>
      </c>
    </row>
    <row r="79" spans="7:22" x14ac:dyDescent="0.2">
      <c r="G79" s="22">
        <f t="shared" si="66"/>
        <v>75</v>
      </c>
      <c r="H79" s="2" cm="1">
        <f t="array" ref="H79:J79">MMULT(H78:J78,m_trtB)</f>
        <v>1.3007997363718089E-5</v>
      </c>
      <c r="I79" s="2">
        <v>0.28279336686470513</v>
      </c>
      <c r="J79" s="2">
        <v>0.71719362513793039</v>
      </c>
      <c r="L79" s="23">
        <v>282.80637486206888</v>
      </c>
      <c r="N79" s="2">
        <v>0.21210803314589258</v>
      </c>
      <c r="P79" s="25">
        <f t="shared" si="70"/>
        <v>0.10894521169560026</v>
      </c>
      <c r="Q79" s="25">
        <f t="shared" si="71"/>
        <v>0.10894521169560026</v>
      </c>
      <c r="R79" s="25"/>
      <c r="S79" s="25">
        <f>1/3</f>
        <v>0.33333333333333331</v>
      </c>
      <c r="T79" s="26"/>
      <c r="U79" s="24">
        <f t="shared" si="74"/>
        <v>3.6315070565200086E-2</v>
      </c>
      <c r="V79" s="24">
        <f t="shared" si="75"/>
        <v>3.6315070565200086E-2</v>
      </c>
    </row>
  </sheetData>
  <mergeCells count="2">
    <mergeCell ref="G1:J1"/>
    <mergeCell ref="P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42C8-08CB-4545-AEFF-F9ED0D6FE665}">
  <dimension ref="A1:Y79"/>
  <sheetViews>
    <sheetView topLeftCell="I1" zoomScale="193" zoomScaleNormal="193" workbookViewId="0">
      <selection activeCell="L4" sqref="L4"/>
    </sheetView>
  </sheetViews>
  <sheetFormatPr baseColWidth="10" defaultRowHeight="16" x14ac:dyDescent="0.2"/>
  <cols>
    <col min="1" max="1" width="6.33203125" style="2" customWidth="1"/>
    <col min="2" max="6" width="10.83203125" style="2"/>
    <col min="7" max="7" width="10.83203125" style="22"/>
    <col min="8" max="10" width="10.83203125" style="2"/>
    <col min="11" max="11" width="1.83203125" style="2" customWidth="1"/>
    <col min="12" max="12" width="10.83203125" style="2"/>
    <col min="13" max="13" width="2.83203125" style="2" customWidth="1"/>
    <col min="14" max="14" width="10.83203125" style="2"/>
    <col min="15" max="15" width="2.83203125" style="2" customWidth="1"/>
    <col min="16" max="17" width="10.83203125" style="2"/>
    <col min="18" max="18" width="2.33203125" style="2" customWidth="1"/>
    <col min="19" max="19" width="10.83203125" style="2"/>
    <col min="20" max="20" width="2.6640625" style="2" customWidth="1"/>
    <col min="21" max="22" width="10.83203125" style="2"/>
    <col min="23" max="23" width="2.5" style="2" customWidth="1"/>
    <col min="24" max="24" width="15.83203125" style="2" customWidth="1"/>
    <col min="25" max="16384" width="10.83203125" style="2"/>
  </cols>
  <sheetData>
    <row r="1" spans="1:25" ht="51" x14ac:dyDescent="0.2">
      <c r="G1" s="81" t="s">
        <v>71</v>
      </c>
      <c r="H1" s="81"/>
      <c r="I1" s="81"/>
      <c r="J1" s="81"/>
      <c r="K1" s="12"/>
      <c r="L1" s="13" t="s">
        <v>72</v>
      </c>
      <c r="M1" s="14"/>
      <c r="N1" s="13" t="s">
        <v>73</v>
      </c>
      <c r="O1" s="15"/>
      <c r="P1" s="81" t="s">
        <v>74</v>
      </c>
      <c r="Q1" s="81"/>
      <c r="R1" s="12"/>
      <c r="S1" s="13" t="s">
        <v>75</v>
      </c>
      <c r="T1" s="15"/>
      <c r="U1" s="13" t="s">
        <v>76</v>
      </c>
      <c r="V1" s="13" t="s">
        <v>77</v>
      </c>
      <c r="W1" s="14"/>
    </row>
    <row r="2" spans="1:25" x14ac:dyDescent="0.2">
      <c r="G2" s="16"/>
      <c r="H2" s="16"/>
      <c r="I2" s="16"/>
      <c r="J2" s="16"/>
      <c r="K2" s="16"/>
      <c r="X2" s="11" t="s">
        <v>78</v>
      </c>
      <c r="Y2" s="2" cm="1">
        <f t="array" ref="Y2">MMULT(TRANSPOSE(w_c_trtC),tot_cost_trtC)</f>
        <v>33443.28196994379</v>
      </c>
    </row>
    <row r="3" spans="1:25" ht="17" thickBot="1" x14ac:dyDescent="0.25">
      <c r="G3" s="18" t="s">
        <v>81</v>
      </c>
      <c r="H3" s="17" t="s">
        <v>51</v>
      </c>
      <c r="I3" s="17" t="s">
        <v>56</v>
      </c>
      <c r="J3" s="17" t="s">
        <v>60</v>
      </c>
      <c r="K3" s="11"/>
      <c r="L3" s="17" t="s">
        <v>254</v>
      </c>
      <c r="N3" s="17" t="s">
        <v>236</v>
      </c>
      <c r="P3" s="17" t="s">
        <v>237</v>
      </c>
      <c r="Q3" s="17" t="s">
        <v>238</v>
      </c>
      <c r="R3" s="11"/>
      <c r="S3" s="17" t="s">
        <v>239</v>
      </c>
      <c r="T3" s="11"/>
      <c r="U3" s="72" t="s">
        <v>207</v>
      </c>
      <c r="V3" s="72" t="s">
        <v>208</v>
      </c>
      <c r="X3" s="11" t="s">
        <v>84</v>
      </c>
      <c r="Y3" s="2" cm="1">
        <f t="array" ref="Y3">MMULT(TRANSPOSE(w_e_trtC),tot_qaly_trtC)</f>
        <v>17.579511263630753</v>
      </c>
    </row>
    <row r="4" spans="1:25" x14ac:dyDescent="0.2">
      <c r="A4" s="11" t="s">
        <v>85</v>
      </c>
      <c r="G4" s="22">
        <v>0</v>
      </c>
      <c r="H4" s="2">
        <v>1</v>
      </c>
      <c r="I4" s="2">
        <v>0</v>
      </c>
      <c r="J4" s="2">
        <v>0</v>
      </c>
      <c r="L4" s="23" cm="1">
        <f t="array" ref="L4:L79">MMULT(H4:J79,D6:D8)</f>
        <v>3100</v>
      </c>
      <c r="N4" s="2" cm="1">
        <f t="array" ref="N4:N79">MMULT(H4:J79,E6:E8)</f>
        <v>1</v>
      </c>
      <c r="P4" s="25">
        <f t="shared" ref="P4:P35" si="0">(1 / ((1 + (d_c)) ^ (G4)))</f>
        <v>1</v>
      </c>
      <c r="Q4" s="25">
        <f t="shared" ref="Q4:Q35" si="1">(1 / ((1 + (d_e)) ^ (G4)))</f>
        <v>1</v>
      </c>
      <c r="R4" s="25"/>
      <c r="S4" s="26">
        <f>1/3</f>
        <v>0.33333333333333331</v>
      </c>
      <c r="T4" s="26"/>
      <c r="U4" s="24">
        <f>P4*S4</f>
        <v>0.33333333333333331</v>
      </c>
      <c r="V4" s="24">
        <f>Q4*S4</f>
        <v>0.33333333333333331</v>
      </c>
    </row>
    <row r="5" spans="1:25" ht="17" thickBot="1" x14ac:dyDescent="0.25">
      <c r="B5" s="17" t="s">
        <v>79</v>
      </c>
      <c r="C5" s="17" t="s">
        <v>80</v>
      </c>
      <c r="D5" s="17" t="s">
        <v>86</v>
      </c>
      <c r="E5" s="17" t="s">
        <v>87</v>
      </c>
      <c r="G5" s="22">
        <f>G4+1</f>
        <v>1</v>
      </c>
      <c r="H5" s="2" cm="1">
        <f t="array" ref="H5:J5">MMULT(H4:J4,m_trtC)</f>
        <v>0.87109909941399999</v>
      </c>
      <c r="I5" s="2">
        <v>0.12216812625600001</v>
      </c>
      <c r="J5" s="2">
        <v>6.7327743299999999E-3</v>
      </c>
      <c r="L5" s="23">
        <v>2822.5753344394002</v>
      </c>
      <c r="N5" s="2">
        <v>0.96272519410599999</v>
      </c>
      <c r="P5" s="25">
        <f t="shared" si="0"/>
        <v>0.970873786407767</v>
      </c>
      <c r="Q5" s="25">
        <f t="shared" si="1"/>
        <v>0.970873786407767</v>
      </c>
      <c r="R5" s="25"/>
      <c r="S5" s="25">
        <f>2/3</f>
        <v>0.66666666666666663</v>
      </c>
      <c r="T5" s="25"/>
      <c r="U5" s="24">
        <f t="shared" ref="U5:U68" si="2">P5*S5</f>
        <v>0.6472491909385113</v>
      </c>
      <c r="V5" s="24">
        <f t="shared" ref="V5:V68" si="3">Q5*S5</f>
        <v>0.6472491909385113</v>
      </c>
    </row>
    <row r="6" spans="1:25" x14ac:dyDescent="0.2">
      <c r="B6" s="19" t="s">
        <v>132</v>
      </c>
      <c r="C6" s="19" t="s">
        <v>51</v>
      </c>
      <c r="D6" s="19">
        <f>c_H_trtC</f>
        <v>3100</v>
      </c>
      <c r="E6" s="19">
        <f>u_H_trtC</f>
        <v>1</v>
      </c>
      <c r="G6" s="22">
        <f t="shared" ref="G6:G7" si="4">G5+1</f>
        <v>2</v>
      </c>
      <c r="H6" s="2" cm="1">
        <f t="array" ref="H6:J6">MMULT(H5:J5,m_trtC)</f>
        <v>0.7588136409998818</v>
      </c>
      <c r="I6" s="2">
        <v>0.22640931776548762</v>
      </c>
      <c r="J6" s="2">
        <v>1.4777041234630563E-2</v>
      </c>
      <c r="L6" s="23">
        <v>2578.7316048651214</v>
      </c>
      <c r="N6" s="2">
        <v>0.92862062932399758</v>
      </c>
      <c r="P6" s="25">
        <f t="shared" si="0"/>
        <v>0.94259590913375435</v>
      </c>
      <c r="Q6" s="25">
        <f t="shared" si="1"/>
        <v>0.94259590913375435</v>
      </c>
      <c r="R6" s="25"/>
      <c r="S6" s="25">
        <f>4/3</f>
        <v>1.3333333333333333</v>
      </c>
      <c r="T6" s="25"/>
      <c r="U6" s="24">
        <f t="shared" si="2"/>
        <v>1.2567945455116725</v>
      </c>
      <c r="V6" s="24">
        <f t="shared" si="3"/>
        <v>1.2567945455116725</v>
      </c>
    </row>
    <row r="7" spans="1:25" x14ac:dyDescent="0.2">
      <c r="B7" s="27" t="s">
        <v>132</v>
      </c>
      <c r="C7" s="27" t="s">
        <v>56</v>
      </c>
      <c r="D7" s="27">
        <f>c_S_trtC</f>
        <v>1000</v>
      </c>
      <c r="E7" s="27">
        <f>u_S_trtC</f>
        <v>0.75</v>
      </c>
      <c r="G7" s="22">
        <f t="shared" si="4"/>
        <v>3</v>
      </c>
      <c r="H7" s="2" cm="1">
        <f t="array" ref="H7:J7">MMULT(H6:J6,m_trtC)</f>
        <v>0.66100187929805532</v>
      </c>
      <c r="I7" s="2">
        <v>0.31507324997409297</v>
      </c>
      <c r="J7" s="2">
        <v>2.3924870727851683E-2</v>
      </c>
      <c r="L7" s="23">
        <v>2364.1790757980643</v>
      </c>
      <c r="N7" s="2">
        <v>0.89730681677862512</v>
      </c>
      <c r="P7" s="25">
        <f t="shared" si="0"/>
        <v>0.91514165935315961</v>
      </c>
      <c r="Q7" s="25">
        <f t="shared" si="1"/>
        <v>0.91514165935315961</v>
      </c>
      <c r="R7" s="25"/>
      <c r="S7" s="25">
        <f t="shared" ref="S7" si="5">2/3</f>
        <v>0.66666666666666663</v>
      </c>
      <c r="T7" s="25"/>
      <c r="U7" s="24">
        <f t="shared" si="2"/>
        <v>0.61009443956877307</v>
      </c>
      <c r="V7" s="24">
        <f t="shared" si="3"/>
        <v>0.61009443956877307</v>
      </c>
    </row>
    <row r="8" spans="1:25" x14ac:dyDescent="0.2">
      <c r="B8" s="27" t="s">
        <v>132</v>
      </c>
      <c r="C8" s="27" t="s">
        <v>60</v>
      </c>
      <c r="D8" s="27">
        <f>c_D_trtC</f>
        <v>0</v>
      </c>
      <c r="E8" s="27">
        <f>u_D_trtC</f>
        <v>0</v>
      </c>
      <c r="G8" s="22">
        <f>G7+1</f>
        <v>4</v>
      </c>
      <c r="H8" s="2" cm="1">
        <f t="array" ref="H8:J8">MMULT(H7:J7,m_trtC)</f>
        <v>0.57579814176749755</v>
      </c>
      <c r="I8" s="2">
        <v>0.39020602951352462</v>
      </c>
      <c r="J8" s="2">
        <v>3.3995828718977841E-2</v>
      </c>
      <c r="L8" s="23">
        <v>2175.1802689927672</v>
      </c>
      <c r="N8" s="2">
        <v>0.86845266390264109</v>
      </c>
      <c r="P8" s="25">
        <f t="shared" si="0"/>
        <v>0.888487047915689</v>
      </c>
      <c r="Q8" s="25">
        <f t="shared" si="1"/>
        <v>0.888487047915689</v>
      </c>
      <c r="R8" s="25"/>
      <c r="S8" s="25">
        <f t="shared" ref="S8" si="6">4/3</f>
        <v>1.3333333333333333</v>
      </c>
      <c r="T8" s="25"/>
      <c r="U8" s="24">
        <f t="shared" si="2"/>
        <v>1.1846493972209187</v>
      </c>
      <c r="V8" s="24">
        <f t="shared" si="3"/>
        <v>1.1846493972209187</v>
      </c>
    </row>
    <row r="9" spans="1:25" x14ac:dyDescent="0.2">
      <c r="G9" s="22">
        <f>G8+1</f>
        <v>5</v>
      </c>
      <c r="H9" s="2" cm="1">
        <f t="array" ref="H9:J9">MMULT(H8:J8,m_trtC)</f>
        <v>0.50157724273792181</v>
      </c>
      <c r="I9" s="2">
        <v>0.45358933686698472</v>
      </c>
      <c r="J9" s="2">
        <v>4.4833420395093512E-2</v>
      </c>
      <c r="L9" s="23">
        <v>2008.4787893545424</v>
      </c>
      <c r="N9" s="2">
        <v>0.84176924538816034</v>
      </c>
      <c r="P9" s="25">
        <f t="shared" si="0"/>
        <v>0.86260878438416411</v>
      </c>
      <c r="Q9" s="25">
        <f t="shared" si="1"/>
        <v>0.86260878438416411</v>
      </c>
      <c r="R9" s="25"/>
      <c r="S9" s="25">
        <f t="shared" ref="S9" si="7">2/3</f>
        <v>0.66666666666666663</v>
      </c>
      <c r="T9" s="25"/>
      <c r="U9" s="24">
        <f t="shared" si="2"/>
        <v>0.575072522922776</v>
      </c>
      <c r="V9" s="24">
        <f t="shared" si="3"/>
        <v>0.575072522922776</v>
      </c>
    </row>
    <row r="10" spans="1:25" x14ac:dyDescent="0.2">
      <c r="G10" s="22">
        <f t="shared" ref="G10:G62" si="8">G9+1</f>
        <v>6</v>
      </c>
      <c r="H10" s="2" cm="1">
        <f t="array" ref="H10:J10">MMULT(H9:J9,m_trtC)</f>
        <v>0.43692348443556095</v>
      </c>
      <c r="I10" s="2">
        <v>0.50677452328905859</v>
      </c>
      <c r="J10" s="2">
        <v>5.6301992275380519E-2</v>
      </c>
      <c r="L10" s="23">
        <v>1861.2373250392975</v>
      </c>
      <c r="N10" s="2">
        <v>0.81700437690235495</v>
      </c>
      <c r="P10" s="25">
        <f t="shared" si="0"/>
        <v>0.83748425668365445</v>
      </c>
      <c r="Q10" s="25">
        <f t="shared" si="1"/>
        <v>0.83748425668365445</v>
      </c>
      <c r="R10" s="25"/>
      <c r="S10" s="25">
        <f t="shared" ref="S10" si="9">4/3</f>
        <v>1.3333333333333333</v>
      </c>
      <c r="T10" s="25"/>
      <c r="U10" s="24">
        <f t="shared" si="2"/>
        <v>1.1166456755782059</v>
      </c>
      <c r="V10" s="24">
        <f t="shared" si="3"/>
        <v>1.1166456755782059</v>
      </c>
    </row>
    <row r="11" spans="1:25" x14ac:dyDescent="0.2">
      <c r="G11" s="22">
        <f t="shared" si="8"/>
        <v>7</v>
      </c>
      <c r="H11" s="2" cm="1">
        <f t="array" ref="H11:J11">MMULT(H10:J10,m_trtC)</f>
        <v>0.380603653804644</v>
      </c>
      <c r="I11" s="2">
        <v>0.55111231238515856</v>
      </c>
      <c r="J11" s="2">
        <v>6.8284033810197514E-2</v>
      </c>
      <c r="L11" s="23">
        <v>1730.9836391795552</v>
      </c>
      <c r="N11" s="2">
        <v>0.79393788809351296</v>
      </c>
      <c r="P11" s="25">
        <f t="shared" si="0"/>
        <v>0.81309151134335378</v>
      </c>
      <c r="Q11" s="25">
        <f t="shared" si="1"/>
        <v>0.81309151134335378</v>
      </c>
      <c r="R11" s="25"/>
      <c r="S11" s="25">
        <f t="shared" ref="S11" si="10">2/3</f>
        <v>0.66666666666666663</v>
      </c>
      <c r="T11" s="25"/>
      <c r="U11" s="24">
        <f t="shared" si="2"/>
        <v>0.54206100756223585</v>
      </c>
      <c r="V11" s="24">
        <f t="shared" si="3"/>
        <v>0.54206100756223585</v>
      </c>
    </row>
    <row r="12" spans="1:25" x14ac:dyDescent="0.2">
      <c r="G12" s="22">
        <f t="shared" si="8"/>
        <v>8</v>
      </c>
      <c r="H12" s="2" cm="1">
        <f t="array" ref="H12:J12">MMULT(H11:J11,m_trtC)</f>
        <v>0.33154350006290323</v>
      </c>
      <c r="I12" s="2">
        <v>0.58777867291773034</v>
      </c>
      <c r="J12" s="2">
        <v>8.0677827019366474E-2</v>
      </c>
      <c r="L12" s="23">
        <v>1615.5635231127303</v>
      </c>
      <c r="N12" s="2">
        <v>0.77237750475120093</v>
      </c>
      <c r="P12" s="25">
        <f t="shared" si="0"/>
        <v>0.78940923431393573</v>
      </c>
      <c r="Q12" s="25">
        <f t="shared" si="1"/>
        <v>0.78940923431393573</v>
      </c>
      <c r="R12" s="25"/>
      <c r="S12" s="25">
        <f t="shared" ref="S12" si="11">4/3</f>
        <v>1.3333333333333333</v>
      </c>
      <c r="T12" s="25"/>
      <c r="U12" s="24">
        <f t="shared" si="2"/>
        <v>1.0525456457519142</v>
      </c>
      <c r="V12" s="24">
        <f t="shared" si="3"/>
        <v>1.0525456457519142</v>
      </c>
    </row>
    <row r="13" spans="1:25" x14ac:dyDescent="0.2">
      <c r="G13" s="22">
        <f t="shared" si="8"/>
        <v>9</v>
      </c>
      <c r="H13" s="2" cm="1">
        <f t="array" ref="H13:J13">MMULT(H12:J12,m_trtC)</f>
        <v>0.28880724432136046</v>
      </c>
      <c r="I13" s="2">
        <v>0.61779735637533861</v>
      </c>
      <c r="J13" s="2">
        <v>9.3395399303300985E-2</v>
      </c>
      <c r="L13" s="23">
        <v>1513.099813771556</v>
      </c>
      <c r="N13" s="2">
        <v>0.75215526160286439</v>
      </c>
      <c r="P13" s="25">
        <f t="shared" si="0"/>
        <v>0.76641673234362695</v>
      </c>
      <c r="Q13" s="25">
        <f t="shared" si="1"/>
        <v>0.76641673234362695</v>
      </c>
      <c r="R13" s="25"/>
      <c r="S13" s="25">
        <f t="shared" ref="S13" si="12">2/3</f>
        <v>0.66666666666666663</v>
      </c>
      <c r="T13" s="25"/>
      <c r="U13" s="24">
        <f t="shared" si="2"/>
        <v>0.51094448822908456</v>
      </c>
      <c r="V13" s="24">
        <f t="shared" si="3"/>
        <v>0.51094448822908456</v>
      </c>
    </row>
    <row r="14" spans="1:25" x14ac:dyDescent="0.2">
      <c r="G14" s="22">
        <f t="shared" si="8"/>
        <v>10</v>
      </c>
      <c r="H14" s="2" cm="1">
        <f t="array" ref="H14:J14">MMULT(H13:J13,m_trtC)</f>
        <v>0.25157973043257614</v>
      </c>
      <c r="I14" s="2">
        <v>0.6420595292234299</v>
      </c>
      <c r="J14" s="2">
        <v>0.10636074034399393</v>
      </c>
      <c r="L14" s="23">
        <v>1421.9566935644159</v>
      </c>
      <c r="N14" s="2">
        <v>0.73312437735014857</v>
      </c>
      <c r="P14" s="25">
        <f t="shared" si="0"/>
        <v>0.74409391489672516</v>
      </c>
      <c r="Q14" s="25">
        <f t="shared" si="1"/>
        <v>0.74409391489672516</v>
      </c>
      <c r="R14" s="25"/>
      <c r="S14" s="25">
        <f t="shared" ref="S14" si="13">4/3</f>
        <v>1.3333333333333333</v>
      </c>
      <c r="T14" s="25"/>
      <c r="U14" s="24">
        <f t="shared" si="2"/>
        <v>0.99212521986230018</v>
      </c>
      <c r="V14" s="24">
        <f t="shared" si="3"/>
        <v>0.99212521986230018</v>
      </c>
    </row>
    <row r="15" spans="1:25" x14ac:dyDescent="0.2">
      <c r="G15" s="22">
        <f t="shared" si="8"/>
        <v>11</v>
      </c>
      <c r="H15" s="2" cm="1">
        <f t="array" ref="H15:J15">MMULT(H14:J14,m_trtC)</f>
        <v>0.21915087661063395</v>
      </c>
      <c r="I15" s="2">
        <v>0.66134087433858579</v>
      </c>
      <c r="J15" s="2">
        <v>0.11950824905078027</v>
      </c>
      <c r="L15" s="23">
        <v>1340.7085918315511</v>
      </c>
      <c r="N15" s="2">
        <v>0.71515653236457333</v>
      </c>
      <c r="P15" s="25">
        <f t="shared" si="0"/>
        <v>0.72242127659876232</v>
      </c>
      <c r="Q15" s="25">
        <f t="shared" si="1"/>
        <v>0.72242127659876232</v>
      </c>
      <c r="R15" s="25"/>
      <c r="S15" s="25">
        <f t="shared" ref="S15" si="14">2/3</f>
        <v>0.66666666666666663</v>
      </c>
      <c r="T15" s="25"/>
      <c r="U15" s="24">
        <f t="shared" si="2"/>
        <v>0.48161418439917486</v>
      </c>
      <c r="V15" s="24">
        <f t="shared" si="3"/>
        <v>0.48161418439917486</v>
      </c>
    </row>
    <row r="16" spans="1:25" x14ac:dyDescent="0.2">
      <c r="G16" s="22">
        <f t="shared" si="8"/>
        <v>12</v>
      </c>
      <c r="H16" s="2" cm="1">
        <f t="array" ref="H16:J16">MMULT(H15:J15,m_trtC)</f>
        <v>0.19090213125131186</v>
      </c>
      <c r="I16" s="2">
        <v>0.67631648785439025</v>
      </c>
      <c r="J16" s="2">
        <v>0.13278138089429792</v>
      </c>
      <c r="L16" s="23">
        <v>1268.113094733457</v>
      </c>
      <c r="N16" s="2">
        <v>0.69813949714210455</v>
      </c>
      <c r="P16" s="25">
        <f t="shared" si="0"/>
        <v>0.70137988019297326</v>
      </c>
      <c r="Q16" s="25">
        <f t="shared" si="1"/>
        <v>0.70137988019297326</v>
      </c>
      <c r="R16" s="25"/>
      <c r="S16" s="25">
        <f t="shared" ref="S16" si="15">4/3</f>
        <v>1.3333333333333333</v>
      </c>
      <c r="T16" s="25"/>
      <c r="U16" s="24">
        <f t="shared" si="2"/>
        <v>0.93517317359063101</v>
      </c>
      <c r="V16" s="24">
        <f t="shared" si="3"/>
        <v>0.93517317359063101</v>
      </c>
    </row>
    <row r="17" spans="7:22" x14ac:dyDescent="0.2">
      <c r="G17" s="22">
        <f t="shared" si="8"/>
        <v>13</v>
      </c>
      <c r="H17" s="2" cm="1">
        <f t="array" ref="H17:J17">MMULT(H16:J16,m_trtC)</f>
        <v>0.16629467460923097</v>
      </c>
      <c r="I17" s="2">
        <v>0.68757385559587558</v>
      </c>
      <c r="J17" s="2">
        <v>0.14613146979489353</v>
      </c>
      <c r="L17" s="23">
        <v>1203.0873468844916</v>
      </c>
      <c r="N17" s="2">
        <v>0.68197506630613769</v>
      </c>
      <c r="P17" s="25">
        <f t="shared" si="0"/>
        <v>0.68095133999317792</v>
      </c>
      <c r="Q17" s="25">
        <f t="shared" si="1"/>
        <v>0.68095133999317792</v>
      </c>
      <c r="R17" s="25"/>
      <c r="S17" s="25">
        <f t="shared" ref="S17" si="16">2/3</f>
        <v>0.66666666666666663</v>
      </c>
      <c r="T17" s="25"/>
      <c r="U17" s="24">
        <f t="shared" si="2"/>
        <v>0.45396755999545191</v>
      </c>
      <c r="V17" s="24">
        <f t="shared" si="3"/>
        <v>0.45396755999545191</v>
      </c>
    </row>
    <row r="18" spans="7:22" x14ac:dyDescent="0.2">
      <c r="G18" s="22">
        <f t="shared" si="8"/>
        <v>14</v>
      </c>
      <c r="H18" s="2" cm="1">
        <f t="array" ref="H18:J18">MMULT(H17:J17,m_trtC)</f>
        <v>0.14485914128944527</v>
      </c>
      <c r="I18" s="2">
        <v>0.69562415664877775</v>
      </c>
      <c r="J18" s="2">
        <v>0.15951670206177709</v>
      </c>
      <c r="L18" s="23">
        <v>1144.687494646058</v>
      </c>
      <c r="N18" s="2">
        <v>0.66657725877602858</v>
      </c>
      <c r="P18" s="25">
        <f t="shared" si="0"/>
        <v>0.66111780581861923</v>
      </c>
      <c r="Q18" s="25">
        <f t="shared" si="1"/>
        <v>0.66111780581861923</v>
      </c>
      <c r="R18" s="25"/>
      <c r="S18" s="25">
        <f t="shared" ref="S18" si="17">4/3</f>
        <v>1.3333333333333333</v>
      </c>
      <c r="T18" s="25"/>
      <c r="U18" s="24">
        <f t="shared" si="2"/>
        <v>0.8814904077581589</v>
      </c>
      <c r="V18" s="24">
        <f t="shared" si="3"/>
        <v>0.8814904077581589</v>
      </c>
    </row>
    <row r="19" spans="7:22" x14ac:dyDescent="0.2">
      <c r="G19" s="22">
        <f t="shared" si="8"/>
        <v>15</v>
      </c>
      <c r="H19" s="2" cm="1">
        <f t="array" ref="H19:J19">MMULT(H18:J18,m_trtC)</f>
        <v>0.12618666751912117</v>
      </c>
      <c r="I19" s="2">
        <v>0.70091210970084128</v>
      </c>
      <c r="J19" s="2">
        <v>0.17290122278003761</v>
      </c>
      <c r="L19" s="23">
        <v>1092.0907790101169</v>
      </c>
      <c r="N19" s="2">
        <v>0.65187074979475224</v>
      </c>
      <c r="P19" s="25">
        <f t="shared" si="0"/>
        <v>0.64186194739671765</v>
      </c>
      <c r="Q19" s="25">
        <f t="shared" si="1"/>
        <v>0.64186194739671765</v>
      </c>
      <c r="R19" s="25"/>
      <c r="S19" s="25">
        <f t="shared" ref="S19" si="18">2/3</f>
        <v>0.66666666666666663</v>
      </c>
      <c r="T19" s="25"/>
      <c r="U19" s="24">
        <f t="shared" si="2"/>
        <v>0.42790796493114508</v>
      </c>
      <c r="V19" s="24">
        <f t="shared" si="3"/>
        <v>0.42790796493114508</v>
      </c>
    </row>
    <row r="20" spans="7:22" x14ac:dyDescent="0.2">
      <c r="G20" s="22">
        <f t="shared" si="8"/>
        <v>16</v>
      </c>
      <c r="H20" s="2" cm="1">
        <f t="array" ref="H20:J20">MMULT(H19:J19,m_trtC)</f>
        <v>0.1099210924339603</v>
      </c>
      <c r="I20" s="2">
        <v>0.70382454999651656</v>
      </c>
      <c r="J20" s="2">
        <v>0.18625435756952327</v>
      </c>
      <c r="L20" s="23">
        <v>1044.5799365417934</v>
      </c>
      <c r="N20" s="2">
        <v>0.63778950493134767</v>
      </c>
      <c r="P20" s="25">
        <f t="shared" si="0"/>
        <v>0.62316693922011435</v>
      </c>
      <c r="Q20" s="25">
        <f t="shared" si="1"/>
        <v>0.62316693922011435</v>
      </c>
      <c r="R20" s="25"/>
      <c r="S20" s="25">
        <f t="shared" ref="S20" si="19">4/3</f>
        <v>1.3333333333333333</v>
      </c>
      <c r="T20" s="25"/>
      <c r="U20" s="24">
        <f t="shared" si="2"/>
        <v>0.83088925229348576</v>
      </c>
      <c r="V20" s="24">
        <f t="shared" si="3"/>
        <v>0.83088925229348576</v>
      </c>
    </row>
    <row r="21" spans="7:22" x14ac:dyDescent="0.2">
      <c r="G21" s="22">
        <f t="shared" si="8"/>
        <v>17</v>
      </c>
      <c r="H21" s="2" cm="1">
        <f t="array" ref="H21:J21">MMULT(H20:J20,m_trtC)</f>
        <v>9.5752164625825864E-2</v>
      </c>
      <c r="I21" s="2">
        <v>0.70469790053341419</v>
      </c>
      <c r="J21" s="2">
        <v>0.19954993484076008</v>
      </c>
      <c r="L21" s="23">
        <v>1001.5296108734744</v>
      </c>
      <c r="N21" s="2">
        <v>0.62427559002588651</v>
      </c>
      <c r="P21" s="25">
        <f t="shared" si="0"/>
        <v>0.60501644584477121</v>
      </c>
      <c r="Q21" s="25">
        <f t="shared" si="1"/>
        <v>0.60501644584477121</v>
      </c>
      <c r="R21" s="25"/>
      <c r="S21" s="25">
        <f t="shared" ref="S21" si="20">2/3</f>
        <v>0.66666666666666663</v>
      </c>
      <c r="T21" s="25"/>
      <c r="U21" s="24">
        <f t="shared" si="2"/>
        <v>0.40334429722984744</v>
      </c>
      <c r="V21" s="24">
        <f t="shared" si="3"/>
        <v>0.40334429722984744</v>
      </c>
    </row>
    <row r="22" spans="7:22" x14ac:dyDescent="0.2">
      <c r="G22" s="22">
        <f t="shared" si="8"/>
        <v>18</v>
      </c>
      <c r="H22" s="2" cm="1">
        <f t="array" ref="H22:J22">MMULT(H21:J21,m_trtC)</f>
        <v>8.3409624372497979E-2</v>
      </c>
      <c r="I22" s="2">
        <v>0.70382468003698162</v>
      </c>
      <c r="J22" s="2">
        <v>0.21276569559052053</v>
      </c>
      <c r="L22" s="23">
        <v>962.39451559172539</v>
      </c>
      <c r="N22" s="2">
        <v>0.61127813440023426</v>
      </c>
      <c r="P22" s="25">
        <f t="shared" si="0"/>
        <v>0.5873946076162827</v>
      </c>
      <c r="Q22" s="25">
        <f t="shared" si="1"/>
        <v>0.5873946076162827</v>
      </c>
      <c r="R22" s="25"/>
      <c r="S22" s="25">
        <f t="shared" ref="S22" si="21">4/3</f>
        <v>1.3333333333333333</v>
      </c>
      <c r="T22" s="25"/>
      <c r="U22" s="24">
        <f t="shared" si="2"/>
        <v>0.78319281015504361</v>
      </c>
      <c r="V22" s="24">
        <f t="shared" si="3"/>
        <v>0.78319281015504361</v>
      </c>
    </row>
    <row r="23" spans="7:22" x14ac:dyDescent="0.2">
      <c r="G23" s="22">
        <f t="shared" si="8"/>
        <v>19</v>
      </c>
      <c r="H23" s="2" cm="1">
        <f t="array" ref="H23:J23">MMULT(H22:J22,m_trtC)</f>
        <v>7.2658048673343009E-2</v>
      </c>
      <c r="I23" s="2">
        <v>0.70145917187672702</v>
      </c>
      <c r="J23" s="2">
        <v>0.22588277944993015</v>
      </c>
      <c r="L23" s="23">
        <v>926.69912276409036</v>
      </c>
      <c r="N23" s="2">
        <v>0.59875242758088831</v>
      </c>
      <c r="P23" s="25">
        <f t="shared" si="0"/>
        <v>0.57028602681192497</v>
      </c>
      <c r="Q23" s="25">
        <f t="shared" si="1"/>
        <v>0.57028602681192497</v>
      </c>
      <c r="R23" s="25"/>
      <c r="S23" s="25">
        <f t="shared" ref="S23" si="22">2/3</f>
        <v>0.66666666666666663</v>
      </c>
      <c r="T23" s="25"/>
      <c r="U23" s="24">
        <f t="shared" si="2"/>
        <v>0.3801906845412833</v>
      </c>
      <c r="V23" s="24">
        <f t="shared" si="3"/>
        <v>0.3801906845412833</v>
      </c>
    </row>
    <row r="24" spans="7:22" x14ac:dyDescent="0.2">
      <c r="G24" s="22">
        <f t="shared" si="8"/>
        <v>20</v>
      </c>
      <c r="H24" s="2" cm="1">
        <f t="array" ref="H24:J24">MMULT(H23:J23,m_trtC)</f>
        <v>6.3292360764527669E-2</v>
      </c>
      <c r="I24" s="2">
        <v>0.69782236208249693</v>
      </c>
      <c r="J24" s="2">
        <v>0.23888527715297564</v>
      </c>
      <c r="L24" s="23">
        <v>894.02868045253274</v>
      </c>
      <c r="N24" s="2">
        <v>0.58665913232640043</v>
      </c>
      <c r="P24" s="25">
        <f t="shared" si="0"/>
        <v>0.55367575418633497</v>
      </c>
      <c r="Q24" s="25">
        <f t="shared" si="1"/>
        <v>0.55367575418633497</v>
      </c>
      <c r="R24" s="25"/>
      <c r="S24" s="25">
        <f t="shared" ref="S24" si="23">4/3</f>
        <v>1.3333333333333333</v>
      </c>
      <c r="T24" s="25"/>
      <c r="U24" s="24">
        <f t="shared" si="2"/>
        <v>0.73823433891511325</v>
      </c>
      <c r="V24" s="24">
        <f t="shared" si="3"/>
        <v>0.73823433891511325</v>
      </c>
    </row>
    <row r="25" spans="7:22" x14ac:dyDescent="0.2">
      <c r="G25" s="22">
        <f t="shared" si="8"/>
        <v>21</v>
      </c>
      <c r="H25" s="2" cm="1">
        <f t="array" ref="H25:J25">MMULT(H24:J24,m_trtC)</f>
        <v>5.5133918461766039E-2</v>
      </c>
      <c r="I25" s="2">
        <v>0.69310624067752957</v>
      </c>
      <c r="J25" s="2">
        <v>0.25175984086070469</v>
      </c>
      <c r="L25" s="23">
        <v>864.02138790900437</v>
      </c>
      <c r="N25" s="2">
        <v>0.57496359896991323</v>
      </c>
      <c r="P25" s="25">
        <f t="shared" si="0"/>
        <v>0.5375492759090631</v>
      </c>
      <c r="Q25" s="25">
        <f t="shared" si="1"/>
        <v>0.5375492759090631</v>
      </c>
      <c r="R25" s="25"/>
      <c r="S25" s="25">
        <f t="shared" ref="S25" si="24">2/3</f>
        <v>0.66666666666666663</v>
      </c>
      <c r="T25" s="25"/>
      <c r="U25" s="24">
        <f t="shared" si="2"/>
        <v>0.35836618393937536</v>
      </c>
      <c r="V25" s="24">
        <f t="shared" si="3"/>
        <v>0.35836618393937536</v>
      </c>
    </row>
    <row r="26" spans="7:22" x14ac:dyDescent="0.2">
      <c r="G26" s="22">
        <f t="shared" si="8"/>
        <v>22</v>
      </c>
      <c r="H26" s="2" cm="1">
        <f t="array" ref="H26:J26">MMULT(H25:J25,m_trtC)</f>
        <v>4.8027106719209303E-2</v>
      </c>
      <c r="I26" s="2">
        <v>0.6874775484003296</v>
      </c>
      <c r="J26" s="2">
        <v>0.26449534488046139</v>
      </c>
      <c r="L26" s="23">
        <v>836.36157922987843</v>
      </c>
      <c r="N26" s="2">
        <v>0.56363526801945651</v>
      </c>
      <c r="P26" s="25">
        <f t="shared" si="0"/>
        <v>0.52189250088258554</v>
      </c>
      <c r="Q26" s="25">
        <f t="shared" si="1"/>
        <v>0.52189250088258554</v>
      </c>
      <c r="R26" s="25"/>
      <c r="S26" s="25">
        <f t="shared" ref="S26" si="25">4/3</f>
        <v>1.3333333333333333</v>
      </c>
      <c r="T26" s="25"/>
      <c r="U26" s="24">
        <f t="shared" si="2"/>
        <v>0.69585666784344735</v>
      </c>
      <c r="V26" s="24">
        <f t="shared" si="3"/>
        <v>0.69585666784344735</v>
      </c>
    </row>
    <row r="27" spans="7:22" x14ac:dyDescent="0.2">
      <c r="G27" s="22">
        <f t="shared" si="8"/>
        <v>23</v>
      </c>
      <c r="H27" s="2" cm="1">
        <f t="array" ref="H27:J27">MMULT(H26:J26,m_trtC)</f>
        <v>4.183636941056329E-2</v>
      </c>
      <c r="I27" s="2">
        <v>0.68108104030819705</v>
      </c>
      <c r="J27" s="2">
        <v>0.27708259028123999</v>
      </c>
      <c r="L27" s="23">
        <v>810.77378548094327</v>
      </c>
      <c r="N27" s="2">
        <v>0.55264714964171113</v>
      </c>
      <c r="P27" s="25">
        <f t="shared" si="0"/>
        <v>0.50669174842969467</v>
      </c>
      <c r="Q27" s="25">
        <f t="shared" si="1"/>
        <v>0.50669174842969467</v>
      </c>
      <c r="R27" s="25"/>
      <c r="S27" s="25">
        <f t="shared" ref="S27" si="26">2/3</f>
        <v>0.66666666666666663</v>
      </c>
      <c r="T27" s="25"/>
      <c r="U27" s="24">
        <f t="shared" si="2"/>
        <v>0.33779449895312974</v>
      </c>
      <c r="V27" s="24">
        <f t="shared" si="3"/>
        <v>0.33779449895312974</v>
      </c>
    </row>
    <row r="28" spans="7:22" x14ac:dyDescent="0.2">
      <c r="G28" s="22">
        <f t="shared" si="8"/>
        <v>24</v>
      </c>
      <c r="H28" s="2" cm="1">
        <f t="array" ref="H28:J28">MMULT(H27:J27,m_trtC)</f>
        <v>3.6443623716293103E-2</v>
      </c>
      <c r="I28" s="2">
        <v>0.67404232853969903</v>
      </c>
      <c r="J28" s="2">
        <v>0.28951404774400818</v>
      </c>
      <c r="L28" s="23">
        <v>787.01756206020764</v>
      </c>
      <c r="N28" s="2">
        <v>0.54197537012106733</v>
      </c>
      <c r="P28" s="25">
        <f t="shared" si="0"/>
        <v>0.49193373633950943</v>
      </c>
      <c r="Q28" s="25">
        <f t="shared" si="1"/>
        <v>0.49193373633950943</v>
      </c>
      <c r="R28" s="25"/>
      <c r="S28" s="25">
        <f t="shared" ref="S28" si="27">4/3</f>
        <v>1.3333333333333333</v>
      </c>
      <c r="T28" s="25"/>
      <c r="U28" s="24">
        <f t="shared" si="2"/>
        <v>0.65591164845267924</v>
      </c>
      <c r="V28" s="24">
        <f t="shared" si="3"/>
        <v>0.65591164845267924</v>
      </c>
    </row>
    <row r="29" spans="7:22" x14ac:dyDescent="0.2">
      <c r="G29" s="22">
        <f t="shared" si="8"/>
        <v>25</v>
      </c>
      <c r="H29" s="2" cm="1">
        <f t="array" ref="H29:J29">MMULT(H28:J28,m_trtC)</f>
        <v>3.1746007798645615E-2</v>
      </c>
      <c r="I29" s="2">
        <v>0.66647035848572389</v>
      </c>
      <c r="J29" s="2">
        <v>0.30178363371563077</v>
      </c>
      <c r="L29" s="23">
        <v>764.88298266152526</v>
      </c>
      <c r="N29" s="2">
        <v>0.53159877666293853</v>
      </c>
      <c r="P29" s="25">
        <f t="shared" si="0"/>
        <v>0.47760556926165965</v>
      </c>
      <c r="Q29" s="25">
        <f t="shared" si="1"/>
        <v>0.47760556926165965</v>
      </c>
      <c r="R29" s="25"/>
      <c r="S29" s="25">
        <f t="shared" ref="S29" si="28">2/3</f>
        <v>0.66666666666666663</v>
      </c>
      <c r="T29" s="25"/>
      <c r="U29" s="24">
        <f t="shared" si="2"/>
        <v>0.31840371284110641</v>
      </c>
      <c r="V29" s="24">
        <f t="shared" si="3"/>
        <v>0.31840371284110641</v>
      </c>
    </row>
    <row r="30" spans="7:22" x14ac:dyDescent="0.2">
      <c r="G30" s="22">
        <f t="shared" si="8"/>
        <v>26</v>
      </c>
      <c r="H30" s="2" cm="1">
        <f t="array" ref="H30:J30">MMULT(H29:J29,m_trtC)</f>
        <v>2.7653918803390014E-2</v>
      </c>
      <c r="I30" s="2">
        <v>0.65845956562587726</v>
      </c>
      <c r="J30" s="2">
        <v>0.31388651557073294</v>
      </c>
      <c r="L30" s="23">
        <v>744.18671391638634</v>
      </c>
      <c r="N30" s="2">
        <v>0.52149859302279788</v>
      </c>
      <c r="P30" s="25">
        <f t="shared" si="0"/>
        <v>0.46369472743850448</v>
      </c>
      <c r="Q30" s="25">
        <f t="shared" si="1"/>
        <v>0.46369472743850448</v>
      </c>
      <c r="R30" s="25"/>
      <c r="S30" s="25">
        <f t="shared" ref="S30" si="29">4/3</f>
        <v>1.3333333333333333</v>
      </c>
      <c r="T30" s="25"/>
      <c r="U30" s="24">
        <f t="shared" si="2"/>
        <v>0.61825963658467264</v>
      </c>
      <c r="V30" s="24">
        <f t="shared" si="3"/>
        <v>0.61825963658467264</v>
      </c>
    </row>
    <row r="31" spans="7:22" x14ac:dyDescent="0.2">
      <c r="G31" s="22">
        <f t="shared" si="8"/>
        <v>27</v>
      </c>
      <c r="H31" s="2" cm="1">
        <f t="array" ref="H31:J31">MMULT(H30:J30,m_trtC)</f>
        <v>2.408930376490092E-2</v>
      </c>
      <c r="I31" s="2">
        <v>0.65009175419549292</v>
      </c>
      <c r="J31" s="2">
        <v>0.32581894203960637</v>
      </c>
      <c r="L31" s="23">
        <v>724.76859586668581</v>
      </c>
      <c r="N31" s="2">
        <v>0.51165811941152062</v>
      </c>
      <c r="P31" s="25">
        <f t="shared" si="0"/>
        <v>0.45018905576553836</v>
      </c>
      <c r="Q31" s="25">
        <f t="shared" si="1"/>
        <v>0.45018905576553836</v>
      </c>
      <c r="R31" s="25"/>
      <c r="S31" s="25">
        <f t="shared" ref="S31" si="30">2/3</f>
        <v>0.66666666666666663</v>
      </c>
      <c r="T31" s="25"/>
      <c r="U31" s="24">
        <f t="shared" si="2"/>
        <v>0.30012603717702557</v>
      </c>
      <c r="V31" s="24">
        <f t="shared" si="3"/>
        <v>0.30012603717702557</v>
      </c>
    </row>
    <row r="32" spans="7:22" x14ac:dyDescent="0.2">
      <c r="G32" s="22">
        <f t="shared" si="8"/>
        <v>28</v>
      </c>
      <c r="H32" s="2" cm="1">
        <f t="array" ref="H32:J32">MMULT(H31:J31,m_trtC)</f>
        <v>2.0984170815115472E-2</v>
      </c>
      <c r="I32" s="2">
        <v>0.64143773354223954</v>
      </c>
      <c r="J32" s="2">
        <v>0.33757809564264524</v>
      </c>
      <c r="L32" s="23">
        <v>706.48866306909758</v>
      </c>
      <c r="N32" s="2">
        <v>0.50206247097179513</v>
      </c>
      <c r="P32" s="25">
        <f t="shared" si="0"/>
        <v>0.4370767531704256</v>
      </c>
      <c r="Q32" s="25">
        <f t="shared" si="1"/>
        <v>0.4370767531704256</v>
      </c>
      <c r="R32" s="25"/>
      <c r="S32" s="25">
        <f t="shared" ref="S32" si="31">4/3</f>
        <v>1.3333333333333333</v>
      </c>
      <c r="T32" s="25"/>
      <c r="U32" s="24">
        <f t="shared" si="2"/>
        <v>0.5827690042272341</v>
      </c>
      <c r="V32" s="24">
        <f t="shared" si="3"/>
        <v>0.5827690042272341</v>
      </c>
    </row>
    <row r="33" spans="7:22" x14ac:dyDescent="0.2">
      <c r="G33" s="22">
        <f t="shared" si="8"/>
        <v>29</v>
      </c>
      <c r="H33" s="2" cm="1">
        <f t="array" ref="H33:J33">MMULT(H32:J32,m_trtC)</f>
        <v>1.8279292298996629E-2</v>
      </c>
      <c r="I33" s="2">
        <v>0.6325587434090032</v>
      </c>
      <c r="J33" s="2">
        <v>0.34916196429200042</v>
      </c>
      <c r="L33" s="23">
        <v>689.22454953589272</v>
      </c>
      <c r="N33" s="2">
        <v>0.49269834985574901</v>
      </c>
      <c r="P33" s="25">
        <f t="shared" si="0"/>
        <v>0.42434636230138412</v>
      </c>
      <c r="Q33" s="25">
        <f t="shared" si="1"/>
        <v>0.42434636230138412</v>
      </c>
      <c r="R33" s="25"/>
      <c r="S33" s="25">
        <f t="shared" ref="S33" si="32">2/3</f>
        <v>0.66666666666666663</v>
      </c>
      <c r="T33" s="25"/>
      <c r="U33" s="24">
        <f t="shared" si="2"/>
        <v>0.28289757486758937</v>
      </c>
      <c r="V33" s="24">
        <f t="shared" si="3"/>
        <v>0.28289757486758937</v>
      </c>
    </row>
    <row r="34" spans="7:22" x14ac:dyDescent="0.2">
      <c r="G34" s="22">
        <f t="shared" si="8"/>
        <v>30</v>
      </c>
      <c r="H34" s="2" cm="1">
        <f t="array" ref="H34:J34">MMULT(H33:J33,m_trtC)</f>
        <v>1.5923075059581227E-2</v>
      </c>
      <c r="I34" s="2">
        <v>0.62350769535324091</v>
      </c>
      <c r="J34" s="2">
        <v>0.36056922958717813</v>
      </c>
      <c r="L34" s="23">
        <v>672.86922803794278</v>
      </c>
      <c r="N34" s="2">
        <v>0.48355384657451195</v>
      </c>
      <c r="P34" s="25">
        <f t="shared" si="0"/>
        <v>0.41198675951590691</v>
      </c>
      <c r="Q34" s="25">
        <f t="shared" si="1"/>
        <v>0.41198675951590691</v>
      </c>
      <c r="R34" s="25"/>
      <c r="S34" s="25">
        <f t="shared" ref="S34" si="33">4/3</f>
        <v>1.3333333333333333</v>
      </c>
      <c r="T34" s="25"/>
      <c r="U34" s="24">
        <f t="shared" si="2"/>
        <v>0.54931567935454251</v>
      </c>
      <c r="V34" s="24">
        <f t="shared" si="3"/>
        <v>0.54931567935454251</v>
      </c>
    </row>
    <row r="35" spans="7:22" x14ac:dyDescent="0.2">
      <c r="G35" s="22">
        <f t="shared" si="8"/>
        <v>31</v>
      </c>
      <c r="H35" s="2" cm="1">
        <f t="array" ref="H35:J35">MMULT(H34:J34,m_trtC)</f>
        <v>1.3870576344302731E-2</v>
      </c>
      <c r="I35" s="2">
        <v>0.6143302540055352</v>
      </c>
      <c r="J35" s="2">
        <v>0.3717991696501623</v>
      </c>
      <c r="L35" s="23">
        <v>657.32904067287359</v>
      </c>
      <c r="N35" s="2">
        <v>0.47461826684845415</v>
      </c>
      <c r="P35" s="25">
        <f t="shared" si="0"/>
        <v>0.39998714516107459</v>
      </c>
      <c r="Q35" s="25">
        <f t="shared" si="1"/>
        <v>0.39998714516107459</v>
      </c>
      <c r="R35" s="25"/>
      <c r="S35" s="25">
        <f t="shared" ref="S35" si="34">2/3</f>
        <v>0.66666666666666663</v>
      </c>
      <c r="T35" s="25"/>
      <c r="U35" s="24">
        <f t="shared" si="2"/>
        <v>0.26665809677404972</v>
      </c>
      <c r="V35" s="24">
        <f t="shared" si="3"/>
        <v>0.26665809677404972</v>
      </c>
    </row>
    <row r="36" spans="7:22" x14ac:dyDescent="0.2">
      <c r="G36" s="22">
        <f t="shared" si="8"/>
        <v>32</v>
      </c>
      <c r="H36" s="2" cm="1">
        <f t="array" ref="H36:J36">MMULT(H35:J35,m_trtC)</f>
        <v>1.2082646561875241E-2</v>
      </c>
      <c r="I36" s="2">
        <v>0.60506577881473234</v>
      </c>
      <c r="J36" s="2">
        <v>0.38285157462339264</v>
      </c>
      <c r="L36" s="23">
        <v>642.5219831565455</v>
      </c>
      <c r="N36" s="2">
        <v>0.46588198067292447</v>
      </c>
      <c r="P36" s="25">
        <f t="shared" ref="P36:P67" si="35">(1 / ((1 + (d_c)) ^ (G36)))</f>
        <v>0.38833703413696569</v>
      </c>
      <c r="Q36" s="25">
        <f t="shared" ref="Q36:Q67" si="36">(1 / ((1 + (d_e)) ^ (G36)))</f>
        <v>0.38833703413696569</v>
      </c>
      <c r="R36" s="25"/>
      <c r="S36" s="25">
        <f t="shared" ref="S36" si="37">4/3</f>
        <v>1.3333333333333333</v>
      </c>
      <c r="T36" s="25"/>
      <c r="U36" s="24">
        <f t="shared" si="2"/>
        <v>0.51778271218262084</v>
      </c>
      <c r="V36" s="24">
        <f t="shared" si="3"/>
        <v>0.51778271218262084</v>
      </c>
    </row>
    <row r="37" spans="7:22" x14ac:dyDescent="0.2">
      <c r="G37" s="22">
        <f t="shared" si="8"/>
        <v>33</v>
      </c>
      <c r="H37" s="2" cm="1">
        <f t="array" ref="H37:J37">MMULT(H36:J36,m_trtC)</f>
        <v>1.0525182538587186E-2</v>
      </c>
      <c r="I37" s="2">
        <v>0.59574814426553369</v>
      </c>
      <c r="J37" s="2">
        <v>0.3937266731958794</v>
      </c>
      <c r="L37" s="23">
        <v>628.376210135154</v>
      </c>
      <c r="N37" s="2">
        <v>0.45733629073773746</v>
      </c>
      <c r="P37" s="25">
        <f t="shared" si="35"/>
        <v>0.37702624673491814</v>
      </c>
      <c r="Q37" s="25">
        <f t="shared" si="36"/>
        <v>0.37702624673491814</v>
      </c>
      <c r="R37" s="25"/>
      <c r="S37" s="25">
        <f t="shared" ref="S37" si="38">2/3</f>
        <v>0.66666666666666663</v>
      </c>
      <c r="T37" s="25"/>
      <c r="U37" s="24">
        <f t="shared" si="2"/>
        <v>0.25135083115661205</v>
      </c>
      <c r="V37" s="24">
        <f t="shared" si="3"/>
        <v>0.25135083115661205</v>
      </c>
    </row>
    <row r="38" spans="7:22" x14ac:dyDescent="0.2">
      <c r="G38" s="22">
        <f t="shared" si="8"/>
        <v>34</v>
      </c>
      <c r="H38" s="2" cm="1">
        <f t="array" ref="H38:J38">MMULT(H37:J37,m_trtC)</f>
        <v>9.1684770305312559E-3</v>
      </c>
      <c r="I38" s="2">
        <v>0.58640645423597282</v>
      </c>
      <c r="J38" s="2">
        <v>0.40442506873349621</v>
      </c>
      <c r="L38" s="23">
        <v>614.82873303061967</v>
      </c>
      <c r="N38" s="2">
        <v>0.44897331770751087</v>
      </c>
      <c r="P38" s="25">
        <f t="shared" si="35"/>
        <v>0.36604489974263904</v>
      </c>
      <c r="Q38" s="25">
        <f t="shared" si="36"/>
        <v>0.36604489974263904</v>
      </c>
      <c r="R38" s="25"/>
      <c r="S38" s="25">
        <f t="shared" ref="S38" si="39">4/3</f>
        <v>1.3333333333333333</v>
      </c>
      <c r="T38" s="25"/>
      <c r="U38" s="24">
        <f t="shared" si="2"/>
        <v>0.48805986632351872</v>
      </c>
      <c r="V38" s="24">
        <f t="shared" si="3"/>
        <v>0.48805986632351872</v>
      </c>
    </row>
    <row r="39" spans="7:22" x14ac:dyDescent="0.2">
      <c r="G39" s="22">
        <f t="shared" si="8"/>
        <v>35</v>
      </c>
      <c r="H39" s="2" cm="1">
        <f t="array" ref="H39:J39">MMULT(H38:J38,m_trtC)</f>
        <v>7.9866520842937216E-3</v>
      </c>
      <c r="I39" s="2">
        <v>0.57706566414262095</v>
      </c>
      <c r="J39" s="2">
        <v>0.41494768377308555</v>
      </c>
      <c r="L39" s="23">
        <v>601.82428560393146</v>
      </c>
      <c r="N39" s="2">
        <v>0.44078590019125941</v>
      </c>
      <c r="P39" s="25">
        <f t="shared" si="35"/>
        <v>0.35538339780838735</v>
      </c>
      <c r="Q39" s="25">
        <f t="shared" si="36"/>
        <v>0.35538339780838735</v>
      </c>
      <c r="R39" s="25"/>
      <c r="S39" s="25">
        <f t="shared" ref="S39" si="40">2/3</f>
        <v>0.66666666666666663</v>
      </c>
      <c r="T39" s="25"/>
      <c r="U39" s="24">
        <f t="shared" si="2"/>
        <v>0.23692226520559156</v>
      </c>
      <c r="V39" s="24">
        <f t="shared" si="3"/>
        <v>0.23692226520559156</v>
      </c>
    </row>
    <row r="40" spans="7:22" x14ac:dyDescent="0.2">
      <c r="G40" s="22">
        <f t="shared" si="8"/>
        <v>36</v>
      </c>
      <c r="H40" s="2" cm="1">
        <f t="array" ref="H40:J40">MMULT(H39:J39,m_trtC)</f>
        <v>6.9571654379612068E-3</v>
      </c>
      <c r="I40" s="2">
        <v>0.56774712276210126</v>
      </c>
      <c r="J40" s="2">
        <v>0.42529571179993775</v>
      </c>
      <c r="L40" s="23">
        <v>589.31433561978099</v>
      </c>
      <c r="N40" s="2">
        <v>0.43276750750953719</v>
      </c>
      <c r="P40" s="25">
        <f t="shared" si="35"/>
        <v>0.34503242505668674</v>
      </c>
      <c r="Q40" s="25">
        <f t="shared" si="36"/>
        <v>0.34503242505668674</v>
      </c>
      <c r="R40" s="25"/>
      <c r="S40" s="25">
        <f t="shared" ref="S40" si="41">4/3</f>
        <v>1.3333333333333333</v>
      </c>
      <c r="T40" s="25"/>
      <c r="U40" s="24">
        <f t="shared" si="2"/>
        <v>0.46004323340891562</v>
      </c>
      <c r="V40" s="24">
        <f t="shared" si="3"/>
        <v>0.46004323340891562</v>
      </c>
    </row>
    <row r="41" spans="7:22" x14ac:dyDescent="0.2">
      <c r="G41" s="22">
        <f t="shared" si="8"/>
        <v>37</v>
      </c>
      <c r="H41" s="2" cm="1">
        <f t="array" ref="H41:J41">MMULT(H40:J40,m_trtC)</f>
        <v>6.0603805474822138E-3</v>
      </c>
      <c r="I41" s="2">
        <v>0.55846904408500231</v>
      </c>
      <c r="J41" s="2">
        <v>0.43547057536751577</v>
      </c>
      <c r="L41" s="23">
        <v>577.25622378219725</v>
      </c>
      <c r="N41" s="2">
        <v>0.42491216361123391</v>
      </c>
      <c r="P41" s="25">
        <f t="shared" si="35"/>
        <v>0.33498293694823961</v>
      </c>
      <c r="Q41" s="25">
        <f t="shared" si="36"/>
        <v>0.33498293694823961</v>
      </c>
      <c r="R41" s="25"/>
      <c r="S41" s="25">
        <f t="shared" ref="S41" si="42">2/3</f>
        <v>0.66666666666666663</v>
      </c>
      <c r="T41" s="25"/>
      <c r="U41" s="24">
        <f t="shared" si="2"/>
        <v>0.22332195796549306</v>
      </c>
      <c r="V41" s="24">
        <f t="shared" si="3"/>
        <v>0.22332195796549306</v>
      </c>
    </row>
    <row r="42" spans="7:22" x14ac:dyDescent="0.2">
      <c r="G42" s="22">
        <f t="shared" si="8"/>
        <v>38</v>
      </c>
      <c r="H42" s="2" cm="1">
        <f t="array" ref="H42:J42">MMULT(H41:J41,m_trtC)</f>
        <v>5.2791920370178803E-3</v>
      </c>
      <c r="I42" s="2">
        <v>0.54924691822333094</v>
      </c>
      <c r="J42" s="2">
        <v>0.44547388973965141</v>
      </c>
      <c r="L42" s="23">
        <v>565.61241353808634</v>
      </c>
      <c r="N42" s="2">
        <v>0.41721438070451611</v>
      </c>
      <c r="P42" s="25">
        <f t="shared" si="35"/>
        <v>0.3252261523769317</v>
      </c>
      <c r="Q42" s="25">
        <f t="shared" si="36"/>
        <v>0.3252261523769317</v>
      </c>
      <c r="R42" s="25"/>
      <c r="S42" s="25">
        <f t="shared" ref="S42" si="43">4/3</f>
        <v>1.3333333333333333</v>
      </c>
      <c r="T42" s="25"/>
      <c r="U42" s="24">
        <f t="shared" si="2"/>
        <v>0.43363486983590893</v>
      </c>
      <c r="V42" s="24">
        <f t="shared" si="3"/>
        <v>0.43363486983590893</v>
      </c>
    </row>
    <row r="43" spans="7:22" x14ac:dyDescent="0.2">
      <c r="G43" s="22">
        <f t="shared" si="8"/>
        <v>39</v>
      </c>
      <c r="H43" s="2" cm="1">
        <f t="array" ref="H43:J43">MMULT(H42:J42,m_trtC)</f>
        <v>4.5986994290798354E-3</v>
      </c>
      <c r="I43" s="2">
        <v>0.54009386922977276</v>
      </c>
      <c r="J43" s="2">
        <v>0.45530743134114765</v>
      </c>
      <c r="L43" s="23">
        <v>554.3498374599202</v>
      </c>
      <c r="N43" s="2">
        <v>0.40966910135140938</v>
      </c>
      <c r="P43" s="25">
        <f t="shared" si="35"/>
        <v>0.31575354599702099</v>
      </c>
      <c r="Q43" s="25">
        <f t="shared" si="36"/>
        <v>0.31575354599702099</v>
      </c>
      <c r="R43" s="25"/>
      <c r="S43" s="25">
        <f t="shared" ref="S43" si="44">2/3</f>
        <v>0.66666666666666663</v>
      </c>
      <c r="T43" s="25"/>
      <c r="U43" s="24">
        <f t="shared" si="2"/>
        <v>0.21050236399801397</v>
      </c>
      <c r="V43" s="24">
        <f t="shared" si="3"/>
        <v>0.21050236399801397</v>
      </c>
    </row>
    <row r="44" spans="7:22" x14ac:dyDescent="0.2">
      <c r="G44" s="22">
        <f t="shared" si="8"/>
        <v>40</v>
      </c>
      <c r="H44" s="2" cm="1">
        <f t="array" ref="H44:J44">MMULT(H43:J43,m_trtC)</f>
        <v>4.0059229311471206E-3</v>
      </c>
      <c r="I44" s="2">
        <v>0.53102096667404697</v>
      </c>
      <c r="J44" s="2">
        <v>0.46497311039480616</v>
      </c>
      <c r="L44" s="23">
        <v>543.43932776060296</v>
      </c>
      <c r="N44" s="2">
        <v>0.40227164793668235</v>
      </c>
      <c r="P44" s="25">
        <f t="shared" si="35"/>
        <v>0.30655684077380685</v>
      </c>
      <c r="Q44" s="25">
        <f t="shared" si="36"/>
        <v>0.30655684077380685</v>
      </c>
      <c r="R44" s="25"/>
      <c r="S44" s="25">
        <f t="shared" ref="S44" si="45">4/3</f>
        <v>1.3333333333333333</v>
      </c>
      <c r="T44" s="25"/>
      <c r="U44" s="24">
        <f t="shared" si="2"/>
        <v>0.40874245436507578</v>
      </c>
      <c r="V44" s="24">
        <f t="shared" si="3"/>
        <v>0.40874245436507578</v>
      </c>
    </row>
    <row r="45" spans="7:22" x14ac:dyDescent="0.2">
      <c r="G45" s="22">
        <f t="shared" si="8"/>
        <v>41</v>
      </c>
      <c r="H45" s="2" cm="1">
        <f t="array" ref="H45:J45">MMULT(H44:J44,m_trtC)</f>
        <v>3.4895558576441481E-3</v>
      </c>
      <c r="I45" s="2">
        <v>0.5220374969392455</v>
      </c>
      <c r="J45" s="2">
        <v>0.47447294720311051</v>
      </c>
      <c r="L45" s="23">
        <v>532.8551200979424</v>
      </c>
      <c r="N45" s="2">
        <v>0.39501767856207831</v>
      </c>
      <c r="P45" s="25">
        <f t="shared" si="35"/>
        <v>0.29762800075126877</v>
      </c>
      <c r="Q45" s="25">
        <f t="shared" si="36"/>
        <v>0.29762800075126877</v>
      </c>
      <c r="R45" s="25"/>
      <c r="S45" s="25">
        <f t="shared" ref="S45" si="46">2/3</f>
        <v>0.66666666666666663</v>
      </c>
      <c r="T45" s="25"/>
      <c r="U45" s="24">
        <f t="shared" si="2"/>
        <v>0.1984186671675125</v>
      </c>
      <c r="V45" s="24">
        <f t="shared" si="3"/>
        <v>0.1984186671675125</v>
      </c>
    </row>
    <row r="46" spans="7:22" x14ac:dyDescent="0.2">
      <c r="G46" s="22">
        <f t="shared" si="8"/>
        <v>42</v>
      </c>
      <c r="H46" s="2" cm="1">
        <f t="array" ref="H46:J46">MMULT(H45:J45,m_trtC)</f>
        <v>3.0397489649486658E-3</v>
      </c>
      <c r="I46" s="2">
        <v>0.51315119943238219</v>
      </c>
      <c r="J46" s="2">
        <v>0.48380905160266924</v>
      </c>
      <c r="L46" s="23">
        <v>522.57442122372311</v>
      </c>
      <c r="N46" s="2">
        <v>0.3879031485392353</v>
      </c>
      <c r="P46" s="25">
        <f t="shared" si="35"/>
        <v>0.28895922403035801</v>
      </c>
      <c r="Q46" s="25">
        <f t="shared" si="36"/>
        <v>0.28895922403035801</v>
      </c>
      <c r="R46" s="25"/>
      <c r="S46" s="25">
        <f t="shared" ref="S46" si="47">4/3</f>
        <v>1.3333333333333333</v>
      </c>
      <c r="T46" s="25"/>
      <c r="U46" s="24">
        <f t="shared" si="2"/>
        <v>0.38527896537381068</v>
      </c>
      <c r="V46" s="24">
        <f t="shared" si="3"/>
        <v>0.38527896537381068</v>
      </c>
    </row>
    <row r="47" spans="7:22" x14ac:dyDescent="0.2">
      <c r="G47" s="22">
        <f t="shared" si="8"/>
        <v>43</v>
      </c>
      <c r="H47" s="2" cm="1">
        <f t="array" ref="H47:J47">MMULT(H46:J46,m_trtC)</f>
        <v>2.6479225858114215E-3</v>
      </c>
      <c r="I47" s="2">
        <v>0.50436847223380121</v>
      </c>
      <c r="J47" s="2">
        <v>0.49298360518038742</v>
      </c>
      <c r="L47" s="23">
        <v>512.57703224981663</v>
      </c>
      <c r="N47" s="2">
        <v>0.38092427676116231</v>
      </c>
      <c r="P47" s="25">
        <f t="shared" si="35"/>
        <v>0.28054293595180391</v>
      </c>
      <c r="Q47" s="25">
        <f t="shared" si="36"/>
        <v>0.28054293595180391</v>
      </c>
      <c r="R47" s="25"/>
      <c r="S47" s="25">
        <f t="shared" ref="S47" si="48">2/3</f>
        <v>0.66666666666666663</v>
      </c>
      <c r="T47" s="25"/>
      <c r="U47" s="24">
        <f t="shared" si="2"/>
        <v>0.18702862396786926</v>
      </c>
      <c r="V47" s="24">
        <f t="shared" si="3"/>
        <v>0.18702862396786926</v>
      </c>
    </row>
    <row r="48" spans="7:22" x14ac:dyDescent="0.2">
      <c r="G48" s="22">
        <f t="shared" si="8"/>
        <v>44</v>
      </c>
      <c r="H48" s="2" cm="1">
        <f t="array" ref="H48:J48">MMULT(H47:J47,m_trtC)</f>
        <v>2.3066029798183194E-3</v>
      </c>
      <c r="I48" s="2">
        <v>0.49569455112682687</v>
      </c>
      <c r="J48" s="2">
        <v>0.50199884589335486</v>
      </c>
      <c r="L48" s="23">
        <v>502.84502036426363</v>
      </c>
      <c r="N48" s="2">
        <v>0.37407751632493846</v>
      </c>
      <c r="P48" s="25">
        <f t="shared" si="35"/>
        <v>0.27237178247747956</v>
      </c>
      <c r="Q48" s="25">
        <f t="shared" si="36"/>
        <v>0.27237178247747956</v>
      </c>
      <c r="R48" s="25"/>
      <c r="S48" s="25">
        <f t="shared" ref="S48" si="49">4/3</f>
        <v>1.3333333333333333</v>
      </c>
      <c r="T48" s="25"/>
      <c r="U48" s="24">
        <f t="shared" si="2"/>
        <v>0.36316237663663942</v>
      </c>
      <c r="V48" s="24">
        <f t="shared" si="3"/>
        <v>0.36316237663663942</v>
      </c>
    </row>
    <row r="49" spans="7:22" x14ac:dyDescent="0.2">
      <c r="G49" s="22">
        <f t="shared" si="8"/>
        <v>45</v>
      </c>
      <c r="H49" s="2" cm="1">
        <f t="array" ref="H49:J49">MMULT(H48:J48,m_trtC)</f>
        <v>2.0092797784253867E-3</v>
      </c>
      <c r="I49" s="2">
        <v>0.48713366544095171</v>
      </c>
      <c r="J49" s="2">
        <v>0.51085705478062293</v>
      </c>
      <c r="L49" s="23">
        <v>493.36243275407037</v>
      </c>
      <c r="N49" s="2">
        <v>0.36735952885913919</v>
      </c>
      <c r="P49" s="25">
        <f t="shared" si="35"/>
        <v>0.26443862376454325</v>
      </c>
      <c r="Q49" s="25">
        <f t="shared" si="36"/>
        <v>0.26443862376454325</v>
      </c>
      <c r="R49" s="25"/>
      <c r="S49" s="25">
        <f t="shared" ref="S49" si="50">2/3</f>
        <v>0.66666666666666663</v>
      </c>
      <c r="T49" s="25"/>
      <c r="U49" s="24">
        <f t="shared" si="2"/>
        <v>0.17629241584302882</v>
      </c>
      <c r="V49" s="24">
        <f t="shared" si="3"/>
        <v>0.17629241584302882</v>
      </c>
    </row>
    <row r="50" spans="7:22" x14ac:dyDescent="0.2">
      <c r="G50" s="22">
        <f t="shared" si="8"/>
        <v>46</v>
      </c>
      <c r="H50" s="2" cm="1">
        <f t="array" ref="H50:J50">MMULT(H49:J49,m_trtC)</f>
        <v>1.7502818054571157E-3</v>
      </c>
      <c r="I50" s="2">
        <v>0.47868917369927011</v>
      </c>
      <c r="J50" s="2">
        <v>0.51956054449527278</v>
      </c>
      <c r="L50" s="23">
        <v>484.11504729618719</v>
      </c>
      <c r="N50" s="2">
        <v>0.36076716207990966</v>
      </c>
      <c r="P50" s="25">
        <f t="shared" si="35"/>
        <v>0.25673652792674101</v>
      </c>
      <c r="Q50" s="25">
        <f t="shared" si="36"/>
        <v>0.25673652792674101</v>
      </c>
      <c r="R50" s="25"/>
      <c r="S50" s="25">
        <f t="shared" ref="S50" si="51">4/3</f>
        <v>1.3333333333333333</v>
      </c>
      <c r="T50" s="25"/>
      <c r="U50" s="24">
        <f t="shared" si="2"/>
        <v>0.34231537056898798</v>
      </c>
      <c r="V50" s="24">
        <f t="shared" si="3"/>
        <v>0.34231537056898798</v>
      </c>
    </row>
    <row r="51" spans="7:22" x14ac:dyDescent="0.2">
      <c r="G51" s="22">
        <f t="shared" si="8"/>
        <v>47</v>
      </c>
      <c r="H51" s="2" cm="1">
        <f t="array" ref="H51:J51">MMULT(H50:J50,m_trtC)</f>
        <v>1.5246689044544034E-3</v>
      </c>
      <c r="I51" s="2">
        <v>0.47036368167532477</v>
      </c>
      <c r="J51" s="2">
        <v>0.52811164942022082</v>
      </c>
      <c r="L51" s="23">
        <v>475.0901552791334</v>
      </c>
      <c r="N51" s="2">
        <v>0.354297430160948</v>
      </c>
      <c r="P51" s="25">
        <f t="shared" si="35"/>
        <v>0.24925876497741845</v>
      </c>
      <c r="Q51" s="25">
        <f t="shared" si="36"/>
        <v>0.24925876497741845</v>
      </c>
      <c r="R51" s="25"/>
      <c r="S51" s="25">
        <f t="shared" ref="S51" si="52">2/3</f>
        <v>0.66666666666666663</v>
      </c>
      <c r="T51" s="25"/>
      <c r="U51" s="24">
        <f t="shared" si="2"/>
        <v>0.16617250998494562</v>
      </c>
      <c r="V51" s="24">
        <f t="shared" si="3"/>
        <v>0.16617250998494562</v>
      </c>
    </row>
    <row r="52" spans="7:22" x14ac:dyDescent="0.2">
      <c r="G52" s="22">
        <f t="shared" si="8"/>
        <v>48</v>
      </c>
      <c r="H52" s="2" cm="1">
        <f t="array" ref="H52:J52">MMULT(H51:J51,m_trtC)</f>
        <v>1.3281377095747608E-3</v>
      </c>
      <c r="I52" s="2">
        <v>0.46215914512869044</v>
      </c>
      <c r="J52" s="2">
        <v>0.53651271716173476</v>
      </c>
      <c r="L52" s="23">
        <v>466.27637202837224</v>
      </c>
      <c r="N52" s="2">
        <v>0.34794749655609258</v>
      </c>
      <c r="P52" s="25">
        <f t="shared" si="35"/>
        <v>0.24199880094894996</v>
      </c>
      <c r="Q52" s="25">
        <f t="shared" si="36"/>
        <v>0.24199880094894996</v>
      </c>
      <c r="R52" s="25"/>
      <c r="S52" s="25">
        <f t="shared" ref="S52" si="53">4/3</f>
        <v>1.3333333333333333</v>
      </c>
      <c r="T52" s="25"/>
      <c r="U52" s="24">
        <f t="shared" si="2"/>
        <v>0.32266506793193328</v>
      </c>
      <c r="V52" s="24">
        <f t="shared" si="3"/>
        <v>0.32266506793193328</v>
      </c>
    </row>
    <row r="53" spans="7:22" x14ac:dyDescent="0.2">
      <c r="G53" s="22">
        <f t="shared" si="8"/>
        <v>49</v>
      </c>
      <c r="H53" s="2" cm="1">
        <f t="array" ref="H53:J53">MMULT(H52:J52,m_trtC)</f>
        <v>1.1569395627083468E-3</v>
      </c>
      <c r="I53" s="2">
        <v>0.45407695919606855</v>
      </c>
      <c r="J53" s="2">
        <v>0.54476610124122304</v>
      </c>
      <c r="L53" s="23">
        <v>457.66347184046447</v>
      </c>
      <c r="N53" s="2">
        <v>0.34171465895975978</v>
      </c>
      <c r="P53" s="25">
        <f t="shared" si="35"/>
        <v>0.2349502921834466</v>
      </c>
      <c r="Q53" s="25">
        <f t="shared" si="36"/>
        <v>0.2349502921834466</v>
      </c>
      <c r="R53" s="25"/>
      <c r="S53" s="25">
        <f t="shared" ref="S53" si="54">2/3</f>
        <v>0.66666666666666663</v>
      </c>
      <c r="T53" s="25"/>
      <c r="U53" s="24">
        <f t="shared" si="2"/>
        <v>0.15663352812229772</v>
      </c>
      <c r="V53" s="24">
        <f t="shared" si="3"/>
        <v>0.15663352812229772</v>
      </c>
    </row>
    <row r="54" spans="7:22" x14ac:dyDescent="0.2">
      <c r="G54" s="22">
        <f t="shared" si="8"/>
        <v>50</v>
      </c>
      <c r="H54" s="2" cm="1">
        <f t="array" ref="H54:J54">MMULT(H53:J53,m_trtC)</f>
        <v>1.0078090111516678E-3</v>
      </c>
      <c r="I54" s="2">
        <v>0.44611803615982487</v>
      </c>
      <c r="J54" s="2">
        <v>0.55287415482902336</v>
      </c>
      <c r="L54" s="23">
        <v>449.24224409439506</v>
      </c>
      <c r="N54" s="2">
        <v>0.3355963361310203</v>
      </c>
      <c r="P54" s="25">
        <f t="shared" si="35"/>
        <v>0.22810707978975397</v>
      </c>
      <c r="Q54" s="25">
        <f t="shared" si="36"/>
        <v>0.22810707978975397</v>
      </c>
      <c r="R54" s="25"/>
      <c r="S54" s="25">
        <f t="shared" ref="S54" si="55">4/3</f>
        <v>1.3333333333333333</v>
      </c>
      <c r="T54" s="25"/>
      <c r="U54" s="24">
        <f t="shared" si="2"/>
        <v>0.3041427730530053</v>
      </c>
      <c r="V54" s="24">
        <f t="shared" si="3"/>
        <v>0.3041427730530053</v>
      </c>
    </row>
    <row r="55" spans="7:22" x14ac:dyDescent="0.2">
      <c r="G55" s="22">
        <f t="shared" si="8"/>
        <v>51</v>
      </c>
      <c r="H55" s="2" cm="1">
        <f t="array" ref="H55:J55">MMULT(H54:J54,m_trtC)</f>
        <v>8.779015219955317E-4</v>
      </c>
      <c r="I55" s="2">
        <v>0.43828287309391134</v>
      </c>
      <c r="J55" s="2">
        <v>0.56083922538409303</v>
      </c>
      <c r="L55" s="23">
        <v>441.00436781209748</v>
      </c>
      <c r="N55" s="2">
        <v>0.32959005634242899</v>
      </c>
      <c r="P55" s="25">
        <f t="shared" si="35"/>
        <v>0.22146318426189707</v>
      </c>
      <c r="Q55" s="25">
        <f t="shared" si="36"/>
        <v>0.22146318426189707</v>
      </c>
      <c r="R55" s="25"/>
      <c r="S55" s="25">
        <f t="shared" ref="S55" si="56">2/3</f>
        <v>0.66666666666666663</v>
      </c>
      <c r="T55" s="25"/>
      <c r="U55" s="24">
        <f t="shared" si="2"/>
        <v>0.14764212284126471</v>
      </c>
      <c r="V55" s="24">
        <f t="shared" si="3"/>
        <v>0.14764212284126471</v>
      </c>
    </row>
    <row r="56" spans="7:22" x14ac:dyDescent="0.2">
      <c r="G56" s="22">
        <f t="shared" si="8"/>
        <v>52</v>
      </c>
      <c r="H56" s="2" cm="1">
        <f t="array" ref="H56:J56">MMULT(H55:J55,m_trtC)</f>
        <v>7.6473922518448755E-4</v>
      </c>
      <c r="I56" s="2">
        <v>0.43057161069373828</v>
      </c>
      <c r="J56" s="2">
        <v>0.56866365008107711</v>
      </c>
      <c r="L56" s="23">
        <v>432.94230229181022</v>
      </c>
      <c r="N56" s="2">
        <v>0.32369344724548821</v>
      </c>
      <c r="P56" s="25">
        <f t="shared" si="35"/>
        <v>0.215012800254269</v>
      </c>
      <c r="Q56" s="25">
        <f t="shared" si="36"/>
        <v>0.215012800254269</v>
      </c>
      <c r="R56" s="25"/>
      <c r="S56" s="25">
        <f t="shared" ref="S56" si="57">4/3</f>
        <v>1.3333333333333333</v>
      </c>
      <c r="T56" s="25"/>
      <c r="U56" s="24">
        <f t="shared" si="2"/>
        <v>0.28668373367235866</v>
      </c>
      <c r="V56" s="24">
        <f t="shared" si="3"/>
        <v>0.28668373367235866</v>
      </c>
    </row>
    <row r="57" spans="7:22" x14ac:dyDescent="0.2">
      <c r="G57" s="22">
        <f t="shared" si="8"/>
        <v>53</v>
      </c>
      <c r="H57" s="2" cm="1">
        <f t="array" ref="H57:J57">MMULT(H56:J56,m_trtC)</f>
        <v>6.6616365034476729E-4</v>
      </c>
      <c r="I57" s="2">
        <v>0.4229840844281133</v>
      </c>
      <c r="J57" s="2">
        <v>0.57634975192154181</v>
      </c>
      <c r="L57" s="23">
        <v>425.04919174418211</v>
      </c>
      <c r="N57" s="2">
        <v>0.31790422697142973</v>
      </c>
      <c r="P57" s="25">
        <f t="shared" si="35"/>
        <v>0.20875029150899907</v>
      </c>
      <c r="Q57" s="25">
        <f t="shared" si="36"/>
        <v>0.20875029150899907</v>
      </c>
      <c r="R57" s="25"/>
      <c r="S57" s="25">
        <f t="shared" ref="S57" si="58">2/3</f>
        <v>0.66666666666666663</v>
      </c>
      <c r="T57" s="25"/>
      <c r="U57" s="24">
        <f t="shared" si="2"/>
        <v>0.13916686100599937</v>
      </c>
      <c r="V57" s="24">
        <f t="shared" si="3"/>
        <v>0.13916686100599937</v>
      </c>
    </row>
    <row r="58" spans="7:22" x14ac:dyDescent="0.2">
      <c r="G58" s="22">
        <f t="shared" si="8"/>
        <v>54</v>
      </c>
      <c r="H58" s="2" cm="1">
        <f t="array" ref="H58:J58">MMULT(H57:J57,m_trtC)</f>
        <v>5.802945558776696E-4</v>
      </c>
      <c r="I58" s="2">
        <v>0.41551986900462939</v>
      </c>
      <c r="J58" s="2">
        <v>0.58389983643949284</v>
      </c>
      <c r="L58" s="23">
        <v>417.31878212785017</v>
      </c>
      <c r="N58" s="2">
        <v>0.31222019630934972</v>
      </c>
      <c r="P58" s="25">
        <f t="shared" si="35"/>
        <v>0.20267018593106703</v>
      </c>
      <c r="Q58" s="25">
        <f t="shared" si="36"/>
        <v>0.20267018593106703</v>
      </c>
      <c r="R58" s="25"/>
      <c r="S58" s="25">
        <f t="shared" ref="S58" si="59">4/3</f>
        <v>1.3333333333333333</v>
      </c>
      <c r="T58" s="25"/>
      <c r="U58" s="24">
        <f t="shared" si="2"/>
        <v>0.27022691457475601</v>
      </c>
      <c r="V58" s="24">
        <f t="shared" si="3"/>
        <v>0.27022691457475601</v>
      </c>
    </row>
    <row r="59" spans="7:22" x14ac:dyDescent="0.2">
      <c r="G59" s="22">
        <f t="shared" si="8"/>
        <v>55</v>
      </c>
      <c r="H59" s="2" cm="1">
        <f t="array" ref="H59:J59">MMULT(H58:J58,m_trtC)</f>
        <v>5.0549406501988509E-4</v>
      </c>
      <c r="I59" s="2">
        <v>0.4081783170120642</v>
      </c>
      <c r="J59" s="2">
        <v>0.59131618892291582</v>
      </c>
      <c r="L59" s="23">
        <v>409.74534861362588</v>
      </c>
      <c r="N59" s="2">
        <v>0.30663923182406805</v>
      </c>
      <c r="P59" s="25">
        <f t="shared" si="35"/>
        <v>0.19676717080686118</v>
      </c>
      <c r="Q59" s="25">
        <f t="shared" si="36"/>
        <v>0.19676717080686118</v>
      </c>
      <c r="R59" s="25"/>
      <c r="S59" s="25">
        <f t="shared" ref="S59" si="60">2/3</f>
        <v>0.66666666666666663</v>
      </c>
      <c r="T59" s="25"/>
      <c r="U59" s="24">
        <f t="shared" si="2"/>
        <v>0.13117811387124079</v>
      </c>
      <c r="V59" s="24">
        <f t="shared" si="3"/>
        <v>0.13117811387124079</v>
      </c>
    </row>
    <row r="60" spans="7:22" x14ac:dyDescent="0.2">
      <c r="G60" s="22">
        <f t="shared" si="8"/>
        <v>56</v>
      </c>
      <c r="H60" s="2" cm="1">
        <f t="array" ref="H60:J60">MMULT(H59:J59,m_trtC)</f>
        <v>4.4033542479794387E-4</v>
      </c>
      <c r="I60" s="2">
        <v>0.40095859249200783</v>
      </c>
      <c r="J60" s="2">
        <v>0.59860107208319413</v>
      </c>
      <c r="L60" s="23">
        <v>402.32363230888143</v>
      </c>
      <c r="N60" s="2">
        <v>0.3011592797938038</v>
      </c>
      <c r="P60" s="25">
        <f t="shared" si="35"/>
        <v>0.19103608816200118</v>
      </c>
      <c r="Q60" s="25">
        <f t="shared" si="36"/>
        <v>0.19103608816200118</v>
      </c>
      <c r="R60" s="25"/>
      <c r="S60" s="25">
        <f t="shared" ref="S60" si="61">4/3</f>
        <v>1.3333333333333333</v>
      </c>
      <c r="T60" s="25"/>
      <c r="U60" s="24">
        <f t="shared" si="2"/>
        <v>0.25471478421600158</v>
      </c>
      <c r="V60" s="24">
        <f t="shared" si="3"/>
        <v>0.25471478421600158</v>
      </c>
    </row>
    <row r="61" spans="7:22" x14ac:dyDescent="0.2">
      <c r="G61" s="22">
        <f t="shared" si="8"/>
        <v>57</v>
      </c>
      <c r="H61" s="2" cm="1">
        <f t="array" ref="H61:J61">MMULT(H60:J60,m_trtC)</f>
        <v>3.8357579198157005E-4</v>
      </c>
      <c r="I61" s="2">
        <v>0.39385970009494808</v>
      </c>
      <c r="J61" s="2">
        <v>0.60575672411307024</v>
      </c>
      <c r="L61" s="23">
        <v>395.04878505009094</v>
      </c>
      <c r="N61" s="2">
        <v>0.2957783508631926</v>
      </c>
      <c r="P61" s="25">
        <f t="shared" si="35"/>
        <v>0.18547193025437006</v>
      </c>
      <c r="Q61" s="25">
        <f t="shared" si="36"/>
        <v>0.18547193025437006</v>
      </c>
      <c r="R61" s="25"/>
      <c r="S61" s="25">
        <f t="shared" ref="S61" si="62">2/3</f>
        <v>0.66666666666666663</v>
      </c>
      <c r="T61" s="25"/>
      <c r="U61" s="24">
        <f t="shared" si="2"/>
        <v>0.12364795350291337</v>
      </c>
      <c r="V61" s="24">
        <f t="shared" si="3"/>
        <v>0.12364795350291337</v>
      </c>
    </row>
    <row r="62" spans="7:22" x14ac:dyDescent="0.2">
      <c r="G62" s="22">
        <f t="shared" si="8"/>
        <v>58</v>
      </c>
      <c r="H62" s="2" cm="1">
        <f t="array" ref="H62:J62">MMULT(H61:J61,m_trtC)</f>
        <v>3.3413252695215748E-4</v>
      </c>
      <c r="I62" s="2">
        <v>0.38688051039155175</v>
      </c>
      <c r="J62" s="2">
        <v>0.61278535708149595</v>
      </c>
      <c r="L62" s="23">
        <v>387.91632122510345</v>
      </c>
      <c r="N62" s="2">
        <v>0.29049451532061593</v>
      </c>
      <c r="P62" s="25">
        <f t="shared" si="35"/>
        <v>0.18006983519841754</v>
      </c>
      <c r="Q62" s="25">
        <f t="shared" si="36"/>
        <v>0.18006983519841754</v>
      </c>
      <c r="R62" s="25"/>
      <c r="S62" s="25">
        <f t="shared" ref="S62" si="63">4/3</f>
        <v>1.3333333333333333</v>
      </c>
      <c r="T62" s="25"/>
      <c r="U62" s="24">
        <f t="shared" si="2"/>
        <v>0.24009311359789004</v>
      </c>
      <c r="V62" s="24">
        <f t="shared" si="3"/>
        <v>0.24009311359789004</v>
      </c>
    </row>
    <row r="63" spans="7:22" x14ac:dyDescent="0.2">
      <c r="G63" s="22">
        <f>G62+1</f>
        <v>59</v>
      </c>
      <c r="H63" s="2" cm="1">
        <f t="array" ref="H63:J63">MMULT(H62:J62,m_trtC)</f>
        <v>2.9106254331294848E-4</v>
      </c>
      <c r="I63" s="2">
        <v>0.38001978183628538</v>
      </c>
      <c r="J63" s="2">
        <v>0.6196891556204015</v>
      </c>
      <c r="L63" s="23">
        <v>380.92207572055548</v>
      </c>
      <c r="N63" s="2">
        <v>0.28530589892052699</v>
      </c>
      <c r="P63" s="25">
        <f t="shared" si="35"/>
        <v>0.17482508271691022</v>
      </c>
      <c r="Q63" s="25">
        <f t="shared" si="36"/>
        <v>0.17482508271691022</v>
      </c>
      <c r="R63" s="25"/>
      <c r="S63" s="25">
        <f t="shared" ref="S63" si="64">2/3</f>
        <v>0.66666666666666663</v>
      </c>
      <c r="T63" s="25"/>
      <c r="U63" s="24">
        <f t="shared" si="2"/>
        <v>0.11655005514460681</v>
      </c>
      <c r="V63" s="24">
        <f t="shared" si="3"/>
        <v>0.11655005514460681</v>
      </c>
    </row>
    <row r="64" spans="7:22" x14ac:dyDescent="0.2">
      <c r="G64" s="22">
        <f>G63+1</f>
        <v>60</v>
      </c>
      <c r="H64" s="2" cm="1">
        <f t="array" ref="H64:J64">MMULT(H63:J63,m_trtC)</f>
        <v>2.535443193530578E-4</v>
      </c>
      <c r="I64" s="2">
        <v>0.37327617981640809</v>
      </c>
      <c r="J64" s="2">
        <v>0.62647027586423865</v>
      </c>
      <c r="L64" s="23">
        <v>374.06216720640259</v>
      </c>
      <c r="N64" s="2">
        <v>0.28021067918165909</v>
      </c>
      <c r="P64" s="25">
        <f t="shared" si="35"/>
        <v>0.1697330900164177</v>
      </c>
      <c r="Q64" s="25">
        <f t="shared" si="36"/>
        <v>0.1697330900164177</v>
      </c>
      <c r="R64" s="25"/>
      <c r="S64" s="25">
        <f t="shared" ref="S64" si="65">4/3</f>
        <v>1.3333333333333333</v>
      </c>
      <c r="T64" s="25"/>
      <c r="U64" s="24">
        <f t="shared" si="2"/>
        <v>0.22631078668855692</v>
      </c>
      <c r="V64" s="24">
        <f t="shared" si="3"/>
        <v>0.22631078668855692</v>
      </c>
    </row>
    <row r="65" spans="7:22" x14ac:dyDescent="0.2">
      <c r="G65" s="22">
        <f t="shared" ref="G65:G79" si="66">G64+1</f>
        <v>61</v>
      </c>
      <c r="H65" s="2" cm="1">
        <f t="array" ref="H65:J65">MMULT(H64:J64,m_trtC)</f>
        <v>2.2086222824998426E-4</v>
      </c>
      <c r="I65" s="2">
        <v>0.36664829316352449</v>
      </c>
      <c r="J65" s="2">
        <v>0.63313084460822533</v>
      </c>
      <c r="L65" s="23">
        <v>367.33296607109946</v>
      </c>
      <c r="N65" s="2">
        <v>0.27520708210089334</v>
      </c>
      <c r="P65" s="25">
        <f t="shared" si="35"/>
        <v>0.16478940778292983</v>
      </c>
      <c r="Q65" s="25">
        <f t="shared" si="36"/>
        <v>0.16478940778292983</v>
      </c>
      <c r="R65" s="25"/>
      <c r="S65" s="25">
        <f t="shared" ref="S65" si="67">2/3</f>
        <v>0.66666666666666663</v>
      </c>
      <c r="T65" s="25"/>
      <c r="U65" s="24">
        <f t="shared" si="2"/>
        <v>0.10985960518861988</v>
      </c>
      <c r="V65" s="24">
        <f t="shared" si="3"/>
        <v>0.10985960518861988</v>
      </c>
    </row>
    <row r="66" spans="7:22" x14ac:dyDescent="0.2">
      <c r="G66" s="22">
        <f t="shared" si="66"/>
        <v>62</v>
      </c>
      <c r="H66" s="2" cm="1">
        <f t="array" ref="H66:J66">MMULT(H65:J65,m_trtC)</f>
        <v>1.9239288812313059E-4</v>
      </c>
      <c r="I66" s="2">
        <v>0.36013464845623827</v>
      </c>
      <c r="J66" s="2">
        <v>0.63967295865563845</v>
      </c>
      <c r="L66" s="23">
        <v>360.73106640941995</v>
      </c>
      <c r="N66" s="2">
        <v>0.27029337923030183</v>
      </c>
      <c r="P66" s="25">
        <f t="shared" si="35"/>
        <v>0.15998971629410663</v>
      </c>
      <c r="Q66" s="25">
        <f t="shared" si="36"/>
        <v>0.15998971629410663</v>
      </c>
      <c r="R66" s="25"/>
      <c r="S66" s="25">
        <f t="shared" ref="S66" si="68">4/3</f>
        <v>1.3333333333333333</v>
      </c>
      <c r="T66" s="25"/>
      <c r="U66" s="24">
        <f t="shared" si="2"/>
        <v>0.2133196217254755</v>
      </c>
      <c r="V66" s="24">
        <f t="shared" si="3"/>
        <v>0.2133196217254755</v>
      </c>
    </row>
    <row r="67" spans="7:22" x14ac:dyDescent="0.2">
      <c r="G67" s="22">
        <f t="shared" si="66"/>
        <v>63</v>
      </c>
      <c r="H67" s="2" cm="1">
        <f t="array" ref="H67:J67">MMULT(H66:J66,m_trtC)</f>
        <v>1.6759327157771751E-4</v>
      </c>
      <c r="I67" s="2">
        <v>0.35373372240007356</v>
      </c>
      <c r="J67" s="2">
        <v>0.6460986843283486</v>
      </c>
      <c r="L67" s="23">
        <v>354.25326154196443</v>
      </c>
      <c r="N67" s="2">
        <v>0.26546788507163288</v>
      </c>
      <c r="P67" s="25">
        <f t="shared" si="35"/>
        <v>0.15532982164476369</v>
      </c>
      <c r="Q67" s="25">
        <f t="shared" si="36"/>
        <v>0.15532982164476369</v>
      </c>
      <c r="R67" s="25"/>
      <c r="S67" s="25">
        <f t="shared" ref="S67" si="69">2/3</f>
        <v>0.66666666666666663</v>
      </c>
      <c r="T67" s="25"/>
      <c r="U67" s="24">
        <f t="shared" si="2"/>
        <v>0.10355321442984246</v>
      </c>
      <c r="V67" s="24">
        <f t="shared" si="3"/>
        <v>0.10355321442984246</v>
      </c>
    </row>
    <row r="68" spans="7:22" x14ac:dyDescent="0.2">
      <c r="G68" s="22">
        <f t="shared" si="66"/>
        <v>64</v>
      </c>
      <c r="H68" s="2" cm="1">
        <f t="array" ref="H68:J68">MMULT(H67:J67,m_trtC)</f>
        <v>1.4599034793919566E-4</v>
      </c>
      <c r="I68" s="2">
        <v>0.34744395253391591</v>
      </c>
      <c r="J68" s="2">
        <v>0.6524100571181447</v>
      </c>
      <c r="L68" s="23">
        <v>347.89652261252746</v>
      </c>
      <c r="N68" s="2">
        <v>0.26072895474837615</v>
      </c>
      <c r="P68" s="25">
        <f t="shared" ref="P68:P79" si="70">(1 / ((1 + (d_c)) ^ (G68)))</f>
        <v>0.15080565208229488</v>
      </c>
      <c r="Q68" s="25">
        <f t="shared" ref="Q68:Q79" si="71">(1 / ((1 + (d_e)) ^ (G68)))</f>
        <v>0.15080565208229488</v>
      </c>
      <c r="R68" s="25"/>
      <c r="S68" s="25">
        <f t="shared" ref="S68" si="72">4/3</f>
        <v>1.3333333333333333</v>
      </c>
      <c r="T68" s="25"/>
      <c r="U68" s="24">
        <f t="shared" si="2"/>
        <v>0.20107420277639315</v>
      </c>
      <c r="V68" s="24">
        <f t="shared" si="3"/>
        <v>0.20107420277639315</v>
      </c>
    </row>
    <row r="69" spans="7:22" x14ac:dyDescent="0.2">
      <c r="G69" s="22">
        <f t="shared" si="66"/>
        <v>65</v>
      </c>
      <c r="H69" s="2" cm="1">
        <f t="array" ref="H69:J69">MMULT(H68:J68,m_trtC)</f>
        <v>1.2717206061296985E-4</v>
      </c>
      <c r="I69" s="2">
        <v>0.34126374648007307</v>
      </c>
      <c r="J69" s="2">
        <v>0.65860908145931374</v>
      </c>
      <c r="L69" s="23">
        <v>341.65797986797327</v>
      </c>
      <c r="N69" s="2">
        <v>0.2560749819206678</v>
      </c>
      <c r="P69" s="25">
        <f t="shared" si="70"/>
        <v>0.14641325444882999</v>
      </c>
      <c r="Q69" s="25">
        <f t="shared" si="71"/>
        <v>0.14641325444882999</v>
      </c>
      <c r="R69" s="25"/>
      <c r="S69" s="25">
        <f t="shared" ref="S69" si="73">2/3</f>
        <v>0.66666666666666663</v>
      </c>
      <c r="T69" s="25"/>
      <c r="U69" s="24">
        <f t="shared" ref="U69:U79" si="74">P69*S69</f>
        <v>9.7608836299219986E-2</v>
      </c>
      <c r="V69" s="24">
        <f t="shared" ref="V69:V79" si="75">Q69*S69</f>
        <v>9.7608836299219986E-2</v>
      </c>
    </row>
    <row r="70" spans="7:22" x14ac:dyDescent="0.2">
      <c r="G70" s="22">
        <f t="shared" si="66"/>
        <v>66</v>
      </c>
      <c r="H70" s="2" cm="1">
        <f t="array" ref="H70:J70">MMULT(H69:J69,m_trtC)</f>
        <v>1.1077946747058066E-4</v>
      </c>
      <c r="I70" s="2">
        <v>0.33519148992704473</v>
      </c>
      <c r="J70" s="2">
        <v>0.66469773060548443</v>
      </c>
      <c r="L70" s="23">
        <v>335.53490627620351</v>
      </c>
      <c r="N70" s="2">
        <v>0.25150439691275411</v>
      </c>
      <c r="P70" s="25">
        <f t="shared" si="70"/>
        <v>0.14214879072701941</v>
      </c>
      <c r="Q70" s="25">
        <f t="shared" si="71"/>
        <v>0.14214879072701941</v>
      </c>
      <c r="R70" s="25"/>
      <c r="S70" s="25">
        <f t="shared" ref="S70" si="76">4/3</f>
        <v>1.3333333333333333</v>
      </c>
      <c r="T70" s="25"/>
      <c r="U70" s="24">
        <f t="shared" si="74"/>
        <v>0.18953172096935922</v>
      </c>
      <c r="V70" s="24">
        <f t="shared" si="75"/>
        <v>0.18953172096935922</v>
      </c>
    </row>
    <row r="71" spans="7:22" x14ac:dyDescent="0.2">
      <c r="G71" s="22">
        <f t="shared" si="66"/>
        <v>67</v>
      </c>
      <c r="H71" s="2" cm="1">
        <f t="array" ref="H71:J71">MMULT(H70:J70,m_trtC)</f>
        <v>9.6499894347185311E-5</v>
      </c>
      <c r="I71" s="2">
        <v>0.32922555350969401</v>
      </c>
      <c r="J71" s="2">
        <v>0.67067794659595859</v>
      </c>
      <c r="L71" s="23">
        <v>329.5247031821703</v>
      </c>
      <c r="N71" s="2">
        <v>0.2470156650266177</v>
      </c>
      <c r="P71" s="25">
        <f t="shared" si="70"/>
        <v>0.1380085346864266</v>
      </c>
      <c r="Q71" s="25">
        <f t="shared" si="71"/>
        <v>0.1380085346864266</v>
      </c>
      <c r="R71" s="25"/>
      <c r="S71" s="25">
        <f t="shared" ref="S71" si="77">2/3</f>
        <v>0.66666666666666663</v>
      </c>
      <c r="T71" s="25"/>
      <c r="U71" s="24">
        <f t="shared" si="74"/>
        <v>9.2005689790951056E-2</v>
      </c>
      <c r="V71" s="24">
        <f t="shared" si="75"/>
        <v>9.2005689790951056E-2</v>
      </c>
    </row>
    <row r="72" spans="7:22" x14ac:dyDescent="0.2">
      <c r="G72" s="22">
        <f t="shared" si="66"/>
        <v>68</v>
      </c>
      <c r="H72" s="2" cm="1">
        <f t="array" ref="H72:J72">MMULT(H71:J71,m_trtC)</f>
        <v>8.4060971059379274E-5</v>
      </c>
      <c r="I72" s="2">
        <v>0.32336429873025896</v>
      </c>
      <c r="J72" s="2">
        <v>0.67655164029868142</v>
      </c>
      <c r="L72" s="23">
        <v>323.62488774054304</v>
      </c>
      <c r="N72" s="2">
        <v>0.24260728501875359</v>
      </c>
      <c r="P72" s="25">
        <f t="shared" si="70"/>
        <v>0.13398886862759865</v>
      </c>
      <c r="Q72" s="25">
        <f t="shared" si="71"/>
        <v>0.13398886862759865</v>
      </c>
      <c r="R72" s="25"/>
      <c r="S72" s="25">
        <f t="shared" ref="S72" si="78">4/3</f>
        <v>1.3333333333333333</v>
      </c>
      <c r="T72" s="25"/>
      <c r="U72" s="24">
        <f t="shared" si="74"/>
        <v>0.1786518248367982</v>
      </c>
      <c r="V72" s="24">
        <f t="shared" si="75"/>
        <v>0.1786518248367982</v>
      </c>
    </row>
    <row r="73" spans="7:22" x14ac:dyDescent="0.2">
      <c r="G73" s="22">
        <f t="shared" si="66"/>
        <v>69</v>
      </c>
      <c r="H73" s="2" cm="1">
        <f t="array" ref="H73:J73">MMULT(H72:J72,m_trtC)</f>
        <v>7.3225436185691601E-5</v>
      </c>
      <c r="I73" s="2">
        <v>0.31760608304513127</v>
      </c>
      <c r="J73" s="2">
        <v>0.6823206915186828</v>
      </c>
      <c r="L73" s="23">
        <v>317.83308189730695</v>
      </c>
      <c r="N73" s="2">
        <v>0.23827778772003413</v>
      </c>
      <c r="P73" s="25">
        <f t="shared" si="70"/>
        <v>0.13008628022096957</v>
      </c>
      <c r="Q73" s="25">
        <f t="shared" si="71"/>
        <v>0.13008628022096957</v>
      </c>
      <c r="R73" s="25"/>
      <c r="S73" s="25">
        <f t="shared" ref="S73" si="79">2/3</f>
        <v>0.66666666666666663</v>
      </c>
      <c r="T73" s="25"/>
      <c r="U73" s="24">
        <f t="shared" si="74"/>
        <v>8.6724186813979712E-2</v>
      </c>
      <c r="V73" s="24">
        <f t="shared" si="75"/>
        <v>8.6724186813979712E-2</v>
      </c>
    </row>
    <row r="74" spans="7:22" x14ac:dyDescent="0.2">
      <c r="G74" s="22">
        <f t="shared" si="66"/>
        <v>70</v>
      </c>
      <c r="H74" s="2" cm="1">
        <f t="array" ref="H74:J74">MMULT(H73:J73,m_trtC)</f>
        <v>6.3786611515553285E-5</v>
      </c>
      <c r="I74" s="2">
        <v>0.31194926422620156</v>
      </c>
      <c r="J74" s="2">
        <v>0.68798694916228265</v>
      </c>
      <c r="L74" s="23">
        <v>312.14700272189975</v>
      </c>
      <c r="N74" s="2">
        <v>0.2340257347811667</v>
      </c>
      <c r="P74" s="25">
        <f t="shared" si="70"/>
        <v>0.12629735943783454</v>
      </c>
      <c r="Q74" s="25">
        <f t="shared" si="71"/>
        <v>0.12629735943783454</v>
      </c>
      <c r="R74" s="25"/>
      <c r="S74" s="25">
        <f t="shared" ref="S74" si="80">4/3</f>
        <v>1.3333333333333333</v>
      </c>
      <c r="T74" s="25"/>
      <c r="U74" s="24">
        <f t="shared" si="74"/>
        <v>0.16839647925044604</v>
      </c>
      <c r="V74" s="24">
        <f t="shared" si="75"/>
        <v>0.16839647925044604</v>
      </c>
    </row>
    <row r="75" spans="7:22" x14ac:dyDescent="0.2">
      <c r="G75" s="22">
        <f t="shared" si="66"/>
        <v>71</v>
      </c>
      <c r="H75" s="2" cm="1">
        <f t="array" ref="H75:J75">MMULT(H74:J74,m_trtC)</f>
        <v>5.5564459845869145E-5</v>
      </c>
      <c r="I75" s="2">
        <v>0.3063922040915249</v>
      </c>
      <c r="J75" s="2">
        <v>0.69355223144862899</v>
      </c>
      <c r="L75" s="23">
        <v>306.5644539170471</v>
      </c>
      <c r="N75" s="2">
        <v>0.22984971752848954</v>
      </c>
      <c r="P75" s="25">
        <f t="shared" si="70"/>
        <v>0.12261879557071313</v>
      </c>
      <c r="Q75" s="25">
        <f t="shared" si="71"/>
        <v>0.12261879557071313</v>
      </c>
      <c r="R75" s="25"/>
      <c r="S75" s="25">
        <f t="shared" ref="S75" si="81">2/3</f>
        <v>0.66666666666666663</v>
      </c>
      <c r="T75" s="25"/>
      <c r="U75" s="24">
        <f t="shared" si="74"/>
        <v>8.174586371380875E-2</v>
      </c>
      <c r="V75" s="24">
        <f t="shared" si="75"/>
        <v>8.174586371380875E-2</v>
      </c>
    </row>
    <row r="76" spans="7:22" x14ac:dyDescent="0.2">
      <c r="G76" s="22">
        <f t="shared" si="66"/>
        <v>72</v>
      </c>
      <c r="H76" s="2" cm="1">
        <f t="array" ref="H76:J76">MMULT(H75:J75,m_trtC)</f>
        <v>4.8402150931161979E-5</v>
      </c>
      <c r="I76" s="2">
        <v>0.30093327168782319</v>
      </c>
      <c r="J76" s="2">
        <v>0.69901832616124537</v>
      </c>
      <c r="L76" s="23">
        <v>301.08331835570982</v>
      </c>
      <c r="N76" s="2">
        <v>0.22574835591679854</v>
      </c>
      <c r="P76" s="25">
        <f t="shared" si="70"/>
        <v>0.1190473743404982</v>
      </c>
      <c r="Q76" s="25">
        <f t="shared" si="71"/>
        <v>0.1190473743404982</v>
      </c>
      <c r="R76" s="25"/>
      <c r="S76" s="25">
        <f t="shared" ref="S76" si="82">4/3</f>
        <v>1.3333333333333333</v>
      </c>
      <c r="T76" s="25"/>
      <c r="U76" s="24">
        <f t="shared" si="74"/>
        <v>0.15872983245399758</v>
      </c>
      <c r="V76" s="24">
        <f t="shared" si="75"/>
        <v>0.15872983245399758</v>
      </c>
    </row>
    <row r="77" spans="7:22" x14ac:dyDescent="0.2">
      <c r="G77" s="22">
        <f t="shared" si="66"/>
        <v>73</v>
      </c>
      <c r="H77" s="2" cm="1">
        <f t="array" ref="H77:J77">MMULT(H76:J76,m_trtC)</f>
        <v>4.2163070085835704E-5</v>
      </c>
      <c r="I77" s="2">
        <v>0.29557084599668387</v>
      </c>
      <c r="J77" s="2">
        <v>0.70438699093322998</v>
      </c>
      <c r="L77" s="23">
        <v>295.70155151394999</v>
      </c>
      <c r="N77" s="2">
        <v>0.22172029756759873</v>
      </c>
      <c r="P77" s="25">
        <f t="shared" si="70"/>
        <v>0.11557997508786232</v>
      </c>
      <c r="Q77" s="25">
        <f t="shared" si="71"/>
        <v>0.11557997508786232</v>
      </c>
      <c r="R77" s="25"/>
      <c r="S77" s="25">
        <f t="shared" ref="S77" si="83">2/3</f>
        <v>0.66666666666666663</v>
      </c>
      <c r="T77" s="25"/>
      <c r="U77" s="24">
        <f t="shared" si="74"/>
        <v>7.7053316725241544E-2</v>
      </c>
      <c r="V77" s="24">
        <f t="shared" si="75"/>
        <v>7.7053316725241544E-2</v>
      </c>
    </row>
    <row r="78" spans="7:22" x14ac:dyDescent="0.2">
      <c r="G78" s="22">
        <f t="shared" si="66"/>
        <v>74</v>
      </c>
      <c r="H78" s="2" cm="1">
        <f t="array" ref="H78:J78">MMULT(H77:J77,m_trtC)</f>
        <v>3.6728212380300844E-5</v>
      </c>
      <c r="I78" s="2">
        <v>0.29030331822702921</v>
      </c>
      <c r="J78" s="2">
        <v>0.7096599535605902</v>
      </c>
      <c r="L78" s="23">
        <v>290.41717568540815</v>
      </c>
      <c r="N78" s="2">
        <v>0.21776421688265221</v>
      </c>
      <c r="P78" s="25">
        <f t="shared" si="70"/>
        <v>0.11221356804646829</v>
      </c>
      <c r="Q78" s="25">
        <f t="shared" si="71"/>
        <v>0.11221356804646829</v>
      </c>
      <c r="R78" s="25"/>
      <c r="S78" s="25">
        <f t="shared" ref="S78" si="84">4/3</f>
        <v>1.3333333333333333</v>
      </c>
      <c r="T78" s="25"/>
      <c r="U78" s="24">
        <f t="shared" si="74"/>
        <v>0.14961809072862436</v>
      </c>
      <c r="V78" s="24">
        <f t="shared" si="75"/>
        <v>0.14961809072862436</v>
      </c>
    </row>
    <row r="79" spans="7:22" x14ac:dyDescent="0.2">
      <c r="G79" s="22">
        <f t="shared" si="66"/>
        <v>75</v>
      </c>
      <c r="H79" s="2" cm="1">
        <f t="array" ref="H79:J79">MMULT(H78:J78,m_trtC)</f>
        <v>3.1993912727566192E-5</v>
      </c>
      <c r="I79" s="2">
        <v>0.28512909374834405</v>
      </c>
      <c r="J79" s="2">
        <v>0.71483891233892805</v>
      </c>
      <c r="L79" s="23">
        <v>285.22827487779955</v>
      </c>
      <c r="N79" s="2">
        <v>0.21387881422398561</v>
      </c>
      <c r="P79" s="25">
        <f t="shared" si="70"/>
        <v>0.10894521169560026</v>
      </c>
      <c r="Q79" s="25">
        <f t="shared" si="71"/>
        <v>0.10894521169560026</v>
      </c>
      <c r="R79" s="25"/>
      <c r="S79" s="25">
        <f>1/3</f>
        <v>0.33333333333333331</v>
      </c>
      <c r="T79" s="26"/>
      <c r="U79" s="24">
        <f t="shared" si="74"/>
        <v>3.6315070565200086E-2</v>
      </c>
      <c r="V79" s="24">
        <f t="shared" si="75"/>
        <v>3.6315070565200086E-2</v>
      </c>
    </row>
  </sheetData>
  <mergeCells count="2">
    <mergeCell ref="G1:J1"/>
    <mergeCell ref="P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671-64F2-0E47-95FF-DE3AEF63DC3F}">
  <dimension ref="A1:Y79"/>
  <sheetViews>
    <sheetView topLeftCell="I1" zoomScale="193" zoomScaleNormal="193" workbookViewId="0">
      <selection activeCell="S6" sqref="S6"/>
    </sheetView>
  </sheetViews>
  <sheetFormatPr baseColWidth="10" defaultRowHeight="16" x14ac:dyDescent="0.2"/>
  <cols>
    <col min="1" max="1" width="6.33203125" style="2" customWidth="1"/>
    <col min="2" max="6" width="10.83203125" style="2"/>
    <col min="7" max="7" width="10.83203125" style="22"/>
    <col min="8" max="10" width="10.83203125" style="2"/>
    <col min="11" max="11" width="1.83203125" style="2" customWidth="1"/>
    <col min="12" max="12" width="10.83203125" style="2"/>
    <col min="13" max="13" width="2.83203125" style="2" customWidth="1"/>
    <col min="14" max="14" width="10.83203125" style="2"/>
    <col min="15" max="15" width="2.83203125" style="2" customWidth="1"/>
    <col min="16" max="17" width="10.83203125" style="2"/>
    <col min="18" max="18" width="2.33203125" style="2" customWidth="1"/>
    <col min="19" max="19" width="10.83203125" style="2"/>
    <col min="20" max="20" width="2.6640625" style="2" customWidth="1"/>
    <col min="21" max="22" width="10.83203125" style="2"/>
    <col min="23" max="23" width="2.5" style="2" customWidth="1"/>
    <col min="24" max="24" width="15.83203125" style="2" customWidth="1"/>
    <col min="25" max="16384" width="10.83203125" style="2"/>
  </cols>
  <sheetData>
    <row r="1" spans="1:25" ht="51" x14ac:dyDescent="0.2">
      <c r="G1" s="81" t="s">
        <v>71</v>
      </c>
      <c r="H1" s="81"/>
      <c r="I1" s="81"/>
      <c r="J1" s="81"/>
      <c r="K1" s="12"/>
      <c r="L1" s="13" t="s">
        <v>72</v>
      </c>
      <c r="M1" s="14"/>
      <c r="N1" s="13" t="s">
        <v>73</v>
      </c>
      <c r="O1" s="15"/>
      <c r="P1" s="81" t="s">
        <v>74</v>
      </c>
      <c r="Q1" s="81"/>
      <c r="R1" s="12"/>
      <c r="S1" s="13" t="s">
        <v>75</v>
      </c>
      <c r="T1" s="15"/>
      <c r="U1" s="13" t="s">
        <v>76</v>
      </c>
      <c r="V1" s="13" t="s">
        <v>77</v>
      </c>
      <c r="W1" s="14"/>
    </row>
    <row r="2" spans="1:25" x14ac:dyDescent="0.2">
      <c r="G2" s="16"/>
      <c r="H2" s="16"/>
      <c r="I2" s="16"/>
      <c r="J2" s="16"/>
      <c r="K2" s="16"/>
      <c r="X2" s="11" t="s">
        <v>78</v>
      </c>
      <c r="Y2" s="2" cm="1">
        <f t="array" ref="Y2">MMULT(TRANSPOSE(w_c_trtD),tot_cost_trtD)</f>
        <v>24504.093412430298</v>
      </c>
    </row>
    <row r="3" spans="1:25" ht="17" thickBot="1" x14ac:dyDescent="0.25">
      <c r="G3" s="18" t="s">
        <v>81</v>
      </c>
      <c r="H3" s="17" t="s">
        <v>51</v>
      </c>
      <c r="I3" s="17" t="s">
        <v>56</v>
      </c>
      <c r="J3" s="17" t="s">
        <v>60</v>
      </c>
      <c r="K3" s="11"/>
      <c r="L3" s="17" t="s">
        <v>209</v>
      </c>
      <c r="N3" s="17" t="s">
        <v>210</v>
      </c>
      <c r="P3" s="17" t="s">
        <v>211</v>
      </c>
      <c r="Q3" s="17" t="s">
        <v>212</v>
      </c>
      <c r="R3" s="11"/>
      <c r="S3" s="17" t="s">
        <v>213</v>
      </c>
      <c r="T3" s="11"/>
      <c r="U3" s="72" t="s">
        <v>214</v>
      </c>
      <c r="V3" s="72" t="s">
        <v>215</v>
      </c>
      <c r="X3" s="11" t="s">
        <v>84</v>
      </c>
      <c r="Y3" s="2" cm="1">
        <f t="array" ref="Y3">MMULT(TRANSPOSE(w_e_trtD),tot_qaly_trtD)</f>
        <v>17.491260092821058</v>
      </c>
    </row>
    <row r="4" spans="1:25" x14ac:dyDescent="0.2">
      <c r="A4" s="11" t="s">
        <v>85</v>
      </c>
      <c r="G4" s="22">
        <v>0</v>
      </c>
      <c r="H4" s="2">
        <v>1</v>
      </c>
      <c r="I4" s="2">
        <v>0</v>
      </c>
      <c r="J4" s="2">
        <v>0</v>
      </c>
      <c r="L4" s="23" cm="1">
        <f t="array" ref="L4:L79">MMULT(H4:J79,D6:D8)</f>
        <v>1550</v>
      </c>
      <c r="N4" s="2" cm="1">
        <f t="array" ref="N4:N79">MMULT(H4:J79,E6:E8)</f>
        <v>1</v>
      </c>
      <c r="P4" s="25">
        <f t="shared" ref="P4:P35" si="0">(1 / ((1 + (d_c)) ^ (G4)))</f>
        <v>1</v>
      </c>
      <c r="Q4" s="25">
        <f t="shared" ref="Q4:Q35" si="1">(1 / ((1 + (d_e)) ^ (G4)))</f>
        <v>1</v>
      </c>
      <c r="R4" s="25"/>
      <c r="S4" s="26">
        <f>1/3</f>
        <v>0.33333333333333331</v>
      </c>
      <c r="T4" s="26"/>
      <c r="U4" s="24">
        <f>P4*S4</f>
        <v>0.33333333333333331</v>
      </c>
      <c r="V4" s="24">
        <f>Q4*S4</f>
        <v>0.33333333333333331</v>
      </c>
    </row>
    <row r="5" spans="1:25" ht="17" thickBot="1" x14ac:dyDescent="0.25">
      <c r="B5" s="17" t="s">
        <v>79</v>
      </c>
      <c r="C5" s="17" t="s">
        <v>80</v>
      </c>
      <c r="D5" s="17" t="s">
        <v>86</v>
      </c>
      <c r="E5" s="17" t="s">
        <v>87</v>
      </c>
      <c r="G5" s="22">
        <f>G4+1</f>
        <v>1</v>
      </c>
      <c r="H5" s="2" cm="1">
        <f t="array" ref="H5:J5">MMULT(H4:J4,m_trtD)</f>
        <v>0.86588825190400009</v>
      </c>
      <c r="I5" s="2">
        <v>0.12734637861000001</v>
      </c>
      <c r="J5" s="2">
        <v>6.765369486E-3</v>
      </c>
      <c r="L5" s="23">
        <v>1469.4731690612002</v>
      </c>
      <c r="N5" s="2">
        <v>0.96139803586150008</v>
      </c>
      <c r="P5" s="25">
        <f t="shared" si="0"/>
        <v>0.970873786407767</v>
      </c>
      <c r="Q5" s="25">
        <f t="shared" si="1"/>
        <v>0.970873786407767</v>
      </c>
      <c r="R5" s="25"/>
      <c r="S5" s="25">
        <f>2/3</f>
        <v>0.66666666666666663</v>
      </c>
      <c r="T5" s="25"/>
      <c r="U5" s="24">
        <f t="shared" ref="U5:U68" si="2">P5*S5</f>
        <v>0.6472491909385113</v>
      </c>
      <c r="V5" s="24">
        <f t="shared" ref="V5:V68" si="3">Q5*S5</f>
        <v>0.6472491909385113</v>
      </c>
    </row>
    <row r="6" spans="1:25" x14ac:dyDescent="0.2">
      <c r="B6" s="19" t="s">
        <v>151</v>
      </c>
      <c r="C6" s="19" t="s">
        <v>51</v>
      </c>
      <c r="D6" s="19">
        <f>c_H_trtD</f>
        <v>1550</v>
      </c>
      <c r="E6" s="19">
        <f>u_H_trtD</f>
        <v>1</v>
      </c>
      <c r="G6" s="22">
        <f t="shared" ref="G6:G7" si="4">G5+1</f>
        <v>2</v>
      </c>
      <c r="H6" s="2" cm="1">
        <f t="array" ref="H6:J6">MMULT(H5:J5,m_trtD)</f>
        <v>0.74976246478536512</v>
      </c>
      <c r="I6" s="2">
        <v>0.23534238384560574</v>
      </c>
      <c r="J6" s="2">
        <v>1.4895151369029334E-2</v>
      </c>
      <c r="L6" s="23">
        <v>1397.4742042629218</v>
      </c>
      <c r="N6" s="2">
        <v>0.9262692526695695</v>
      </c>
      <c r="P6" s="25">
        <f t="shared" si="0"/>
        <v>0.94259590913375435</v>
      </c>
      <c r="Q6" s="25">
        <f t="shared" si="1"/>
        <v>0.94259590913375435</v>
      </c>
      <c r="R6" s="25"/>
      <c r="S6" s="25">
        <f>4/3</f>
        <v>1.3333333333333333</v>
      </c>
      <c r="T6" s="25"/>
      <c r="U6" s="24">
        <f t="shared" si="2"/>
        <v>1.2567945455116725</v>
      </c>
      <c r="V6" s="24">
        <f t="shared" si="3"/>
        <v>1.2567945455116725</v>
      </c>
    </row>
    <row r="7" spans="1:25" x14ac:dyDescent="0.2">
      <c r="B7" s="27" t="s">
        <v>151</v>
      </c>
      <c r="C7" s="27" t="s">
        <v>56</v>
      </c>
      <c r="D7" s="27">
        <f>c_S_trtD</f>
        <v>1000</v>
      </c>
      <c r="E7" s="27">
        <f>u_S_trtD</f>
        <v>0.75</v>
      </c>
      <c r="G7" s="22">
        <f t="shared" si="4"/>
        <v>3</v>
      </c>
      <c r="H7" s="2" cm="1">
        <f t="array" ref="H7:J7">MMULT(H6:J6,m_trtD)</f>
        <v>0.6492105099762342</v>
      </c>
      <c r="I7" s="2">
        <v>0.32662365338728222</v>
      </c>
      <c r="J7" s="2">
        <v>2.416583663648382E-2</v>
      </c>
      <c r="L7" s="23">
        <v>1332.8999438504452</v>
      </c>
      <c r="N7" s="2">
        <v>0.89417825001669593</v>
      </c>
      <c r="P7" s="25">
        <f t="shared" si="0"/>
        <v>0.91514165935315961</v>
      </c>
      <c r="Q7" s="25">
        <f t="shared" si="1"/>
        <v>0.91514165935315961</v>
      </c>
      <c r="R7" s="25"/>
      <c r="S7" s="25">
        <f t="shared" ref="S7" si="5">2/3</f>
        <v>0.66666666666666663</v>
      </c>
      <c r="T7" s="25"/>
      <c r="U7" s="24">
        <f t="shared" si="2"/>
        <v>0.61009443956877307</v>
      </c>
      <c r="V7" s="24">
        <f t="shared" si="3"/>
        <v>0.61009443956877307</v>
      </c>
    </row>
    <row r="8" spans="1:25" x14ac:dyDescent="0.2">
      <c r="B8" s="27" t="s">
        <v>151</v>
      </c>
      <c r="C8" s="27" t="s">
        <v>60</v>
      </c>
      <c r="D8" s="27">
        <f>c_D_trtD</f>
        <v>0</v>
      </c>
      <c r="E8" s="27">
        <f>u_D_trtD</f>
        <v>0</v>
      </c>
      <c r="G8" s="22">
        <f>G7+1</f>
        <v>4</v>
      </c>
      <c r="H8" s="2" cm="1">
        <f t="array" ref="H8:J8">MMULT(H7:J7,m_trtD)</f>
        <v>0.56214375360102586</v>
      </c>
      <c r="I8" s="2">
        <v>0.40347163200964536</v>
      </c>
      <c r="J8" s="2">
        <v>3.4384614389329105E-2</v>
      </c>
      <c r="L8" s="23">
        <v>1274.7944500912354</v>
      </c>
      <c r="N8" s="2">
        <v>0.86474747760825987</v>
      </c>
      <c r="P8" s="25">
        <f t="shared" si="0"/>
        <v>0.888487047915689</v>
      </c>
      <c r="Q8" s="25">
        <f t="shared" si="1"/>
        <v>0.888487047915689</v>
      </c>
      <c r="R8" s="25"/>
      <c r="S8" s="25">
        <f t="shared" ref="S8" si="6">4/3</f>
        <v>1.3333333333333333</v>
      </c>
      <c r="T8" s="25"/>
      <c r="U8" s="24">
        <f t="shared" si="2"/>
        <v>1.1846493972209187</v>
      </c>
      <c r="V8" s="24">
        <f t="shared" si="3"/>
        <v>1.1846493972209187</v>
      </c>
    </row>
    <row r="9" spans="1:25" x14ac:dyDescent="0.2">
      <c r="G9" s="22">
        <f>G8+1</f>
        <v>5</v>
      </c>
      <c r="H9" s="2" cm="1">
        <f t="array" ref="H9:J9">MMULT(H8:J8,m_trtD)</f>
        <v>0.48675367212434523</v>
      </c>
      <c r="I9" s="2">
        <v>0.46786108590753872</v>
      </c>
      <c r="J9" s="2">
        <v>4.5385241968116441E-2</v>
      </c>
      <c r="L9" s="23">
        <v>1222.3292777002739</v>
      </c>
      <c r="N9" s="2">
        <v>0.83764948655499927</v>
      </c>
      <c r="P9" s="25">
        <f t="shared" si="0"/>
        <v>0.86260878438416411</v>
      </c>
      <c r="Q9" s="25">
        <f t="shared" si="1"/>
        <v>0.86260878438416411</v>
      </c>
      <c r="R9" s="25"/>
      <c r="S9" s="25">
        <f t="shared" ref="S9" si="7">2/3</f>
        <v>0.66666666666666663</v>
      </c>
      <c r="T9" s="25"/>
      <c r="U9" s="24">
        <f t="shared" si="2"/>
        <v>0.575072522922776</v>
      </c>
      <c r="V9" s="24">
        <f t="shared" si="3"/>
        <v>0.575072522922776</v>
      </c>
    </row>
    <row r="10" spans="1:25" x14ac:dyDescent="0.2">
      <c r="G10" s="22">
        <f t="shared" ref="G10:G62" si="8">G9+1</f>
        <v>6</v>
      </c>
      <c r="H10" s="2" cm="1">
        <f t="array" ref="H10:J10">MMULT(H9:J9,m_trtD)</f>
        <v>0.42147428626360212</v>
      </c>
      <c r="I10" s="2">
        <v>0.52150124456272362</v>
      </c>
      <c r="J10" s="2">
        <v>5.7024469173674722E-2</v>
      </c>
      <c r="L10" s="23">
        <v>1174.7863882713068</v>
      </c>
      <c r="N10" s="2">
        <v>0.81260021968564478</v>
      </c>
      <c r="P10" s="25">
        <f t="shared" si="0"/>
        <v>0.83748425668365445</v>
      </c>
      <c r="Q10" s="25">
        <f t="shared" si="1"/>
        <v>0.83748425668365445</v>
      </c>
      <c r="R10" s="25"/>
      <c r="S10" s="25">
        <f t="shared" ref="S10" si="9">4/3</f>
        <v>1.3333333333333333</v>
      </c>
      <c r="T10" s="25"/>
      <c r="U10" s="24">
        <f t="shared" si="2"/>
        <v>1.1166456755782059</v>
      </c>
      <c r="V10" s="24">
        <f t="shared" si="3"/>
        <v>1.1166456755782059</v>
      </c>
    </row>
    <row r="11" spans="1:25" x14ac:dyDescent="0.2">
      <c r="G11" s="22">
        <f t="shared" si="8"/>
        <v>7</v>
      </c>
      <c r="H11" s="2" cm="1">
        <f t="array" ref="H11:J11">MMULT(H10:J10,m_trtD)</f>
        <v>0.36494963295527655</v>
      </c>
      <c r="I11" s="2">
        <v>0.56587142477695462</v>
      </c>
      <c r="J11" s="2">
        <v>6.9178942267769258E-2</v>
      </c>
      <c r="L11" s="23">
        <v>1131.5433558576333</v>
      </c>
      <c r="N11" s="2">
        <v>0.78935320153799249</v>
      </c>
      <c r="P11" s="25">
        <f t="shared" si="0"/>
        <v>0.81309151134335378</v>
      </c>
      <c r="Q11" s="25">
        <f t="shared" si="1"/>
        <v>0.81309151134335378</v>
      </c>
      <c r="R11" s="25"/>
      <c r="S11" s="25">
        <f t="shared" ref="S11" si="10">2/3</f>
        <v>0.66666666666666663</v>
      </c>
      <c r="T11" s="25"/>
      <c r="U11" s="24">
        <f t="shared" si="2"/>
        <v>0.54206100756223585</v>
      </c>
      <c r="V11" s="24">
        <f t="shared" si="3"/>
        <v>0.54206100756223585</v>
      </c>
    </row>
    <row r="12" spans="1:25" x14ac:dyDescent="0.2">
      <c r="G12" s="22">
        <f t="shared" si="8"/>
        <v>8</v>
      </c>
      <c r="H12" s="2" cm="1">
        <f t="array" ref="H12:J12">MMULT(H11:J11,m_trtD)</f>
        <v>0.31600559971265085</v>
      </c>
      <c r="I12" s="2">
        <v>0.60225187688178317</v>
      </c>
      <c r="J12" s="2">
        <v>8.174252340556637E-2</v>
      </c>
      <c r="L12" s="23">
        <v>1092.0605564363918</v>
      </c>
      <c r="N12" s="2">
        <v>0.76769450737398826</v>
      </c>
      <c r="P12" s="25">
        <f t="shared" si="0"/>
        <v>0.78940923431393573</v>
      </c>
      <c r="Q12" s="25">
        <f t="shared" si="1"/>
        <v>0.78940923431393573</v>
      </c>
      <c r="R12" s="25"/>
      <c r="S12" s="25">
        <f t="shared" ref="S12" si="11">4/3</f>
        <v>1.3333333333333333</v>
      </c>
      <c r="T12" s="25"/>
      <c r="U12" s="24">
        <f t="shared" si="2"/>
        <v>1.0525456457519142</v>
      </c>
      <c r="V12" s="24">
        <f t="shared" si="3"/>
        <v>1.0525456457519142</v>
      </c>
    </row>
    <row r="13" spans="1:25" x14ac:dyDescent="0.2">
      <c r="G13" s="22">
        <f t="shared" si="8"/>
        <v>9</v>
      </c>
      <c r="H13" s="2" cm="1">
        <f t="array" ref="H13:J13">MMULT(H12:J12,m_trtD)</f>
        <v>0.27362553632706244</v>
      </c>
      <c r="I13" s="2">
        <v>0.63175049389127858</v>
      </c>
      <c r="J13" s="2">
        <v>9.4623969781659337E-2</v>
      </c>
      <c r="L13" s="23">
        <v>1055.8700751982253</v>
      </c>
      <c r="N13" s="2">
        <v>0.74743840674552131</v>
      </c>
      <c r="P13" s="25">
        <f t="shared" si="0"/>
        <v>0.76641673234362695</v>
      </c>
      <c r="Q13" s="25">
        <f t="shared" si="1"/>
        <v>0.76641673234362695</v>
      </c>
      <c r="R13" s="25"/>
      <c r="S13" s="25">
        <f t="shared" ref="S13" si="12">2/3</f>
        <v>0.66666666666666663</v>
      </c>
      <c r="T13" s="25"/>
      <c r="U13" s="24">
        <f t="shared" si="2"/>
        <v>0.51094448822908456</v>
      </c>
      <c r="V13" s="24">
        <f t="shared" si="3"/>
        <v>0.51094448822908456</v>
      </c>
    </row>
    <row r="14" spans="1:25" x14ac:dyDescent="0.2">
      <c r="G14" s="22">
        <f t="shared" si="8"/>
        <v>10</v>
      </c>
      <c r="H14" s="2" cm="1">
        <f t="array" ref="H14:J14">MMULT(H13:J13,m_trtD)</f>
        <v>0.23692913732653456</v>
      </c>
      <c r="I14" s="2">
        <v>0.65532593842951292</v>
      </c>
      <c r="J14" s="2">
        <v>0.10774492424395286</v>
      </c>
      <c r="L14" s="23">
        <v>1022.5661012856415</v>
      </c>
      <c r="N14" s="2">
        <v>0.72842359114866928</v>
      </c>
      <c r="P14" s="25">
        <f t="shared" si="0"/>
        <v>0.74409391489672516</v>
      </c>
      <c r="Q14" s="25">
        <f t="shared" si="1"/>
        <v>0.74409391489672516</v>
      </c>
      <c r="R14" s="25"/>
      <c r="S14" s="25">
        <f t="shared" ref="S14" si="13">4/3</f>
        <v>1.3333333333333333</v>
      </c>
      <c r="T14" s="25"/>
      <c r="U14" s="24">
        <f t="shared" si="2"/>
        <v>0.99212521986230018</v>
      </c>
      <c r="V14" s="24">
        <f t="shared" si="3"/>
        <v>0.99212521986230018</v>
      </c>
    </row>
    <row r="15" spans="1:25" x14ac:dyDescent="0.2">
      <c r="G15" s="22">
        <f t="shared" si="8"/>
        <v>11</v>
      </c>
      <c r="H15" s="2" cm="1">
        <f t="array" ref="H15:J15">MMULT(H14:J14,m_trtD)</f>
        <v>0.2051541565447958</v>
      </c>
      <c r="I15" s="2">
        <v>0.67380766785511637</v>
      </c>
      <c r="J15" s="2">
        <v>0.12103817560008825</v>
      </c>
      <c r="L15" s="23">
        <v>991.79661049954984</v>
      </c>
      <c r="N15" s="2">
        <v>0.71050990743613318</v>
      </c>
      <c r="P15" s="25">
        <f t="shared" si="0"/>
        <v>0.72242127659876232</v>
      </c>
      <c r="Q15" s="25">
        <f t="shared" si="1"/>
        <v>0.72242127659876232</v>
      </c>
      <c r="R15" s="25"/>
      <c r="S15" s="25">
        <f t="shared" ref="S15" si="14">2/3</f>
        <v>0.66666666666666663</v>
      </c>
      <c r="T15" s="25"/>
      <c r="U15" s="24">
        <f t="shared" si="2"/>
        <v>0.48161418439917486</v>
      </c>
      <c r="V15" s="24">
        <f t="shared" si="3"/>
        <v>0.48161418439917486</v>
      </c>
    </row>
    <row r="16" spans="1:25" x14ac:dyDescent="0.2">
      <c r="G16" s="22">
        <f t="shared" si="8"/>
        <v>12</v>
      </c>
      <c r="H16" s="2" cm="1">
        <f t="array" ref="H16:J16">MMULT(H15:J15,m_trtD)</f>
        <v>0.17764057398141281</v>
      </c>
      <c r="I16" s="2">
        <v>0.68791327357486709</v>
      </c>
      <c r="J16" s="2">
        <v>0.13444615244372046</v>
      </c>
      <c r="L16" s="23">
        <v>963.25616324605699</v>
      </c>
      <c r="N16" s="2">
        <v>0.69357552916256315</v>
      </c>
      <c r="P16" s="25">
        <f t="shared" si="0"/>
        <v>0.70137988019297326</v>
      </c>
      <c r="Q16" s="25">
        <f t="shared" si="1"/>
        <v>0.70137988019297326</v>
      </c>
      <c r="R16" s="25"/>
      <c r="S16" s="25">
        <f t="shared" ref="S16" si="15">4/3</f>
        <v>1.3333333333333333</v>
      </c>
      <c r="T16" s="25"/>
      <c r="U16" s="24">
        <f t="shared" si="2"/>
        <v>0.93517317359063101</v>
      </c>
      <c r="V16" s="24">
        <f t="shared" si="3"/>
        <v>0.93517317359063101</v>
      </c>
    </row>
    <row r="17" spans="7:22" x14ac:dyDescent="0.2">
      <c r="G17" s="22">
        <f t="shared" si="8"/>
        <v>13</v>
      </c>
      <c r="H17" s="2" cm="1">
        <f t="array" ref="H17:J17">MMULT(H16:J16,m_trtD)</f>
        <v>0.15381688607198873</v>
      </c>
      <c r="I17" s="2">
        <v>0.698263494748804</v>
      </c>
      <c r="J17" s="2">
        <v>0.14791961917920757</v>
      </c>
      <c r="L17" s="23">
        <v>936.67966816038654</v>
      </c>
      <c r="N17" s="2">
        <v>0.67751450713359174</v>
      </c>
      <c r="P17" s="25">
        <f t="shared" si="0"/>
        <v>0.68095133999317792</v>
      </c>
      <c r="Q17" s="25">
        <f t="shared" si="1"/>
        <v>0.68095133999317792</v>
      </c>
      <c r="R17" s="25"/>
      <c r="S17" s="25">
        <f t="shared" ref="S17" si="16">2/3</f>
        <v>0.66666666666666663</v>
      </c>
      <c r="T17" s="25"/>
      <c r="U17" s="24">
        <f t="shared" si="2"/>
        <v>0.45396755999545191</v>
      </c>
      <c r="V17" s="24">
        <f t="shared" si="3"/>
        <v>0.45396755999545191</v>
      </c>
    </row>
    <row r="18" spans="7:22" x14ac:dyDescent="0.2">
      <c r="G18" s="22">
        <f t="shared" si="8"/>
        <v>14</v>
      </c>
      <c r="H18" s="2" cm="1">
        <f t="array" ref="H18:J18">MMULT(H17:J17,m_trtD)</f>
        <v>0.13318823459419107</v>
      </c>
      <c r="I18" s="2">
        <v>0.70539521828189722</v>
      </c>
      <c r="J18" s="2">
        <v>0.16141654712391207</v>
      </c>
      <c r="L18" s="23">
        <v>911.8369819028934</v>
      </c>
      <c r="N18" s="2">
        <v>0.66223464830561396</v>
      </c>
      <c r="P18" s="25">
        <f t="shared" si="0"/>
        <v>0.66111780581861923</v>
      </c>
      <c r="Q18" s="25">
        <f t="shared" si="1"/>
        <v>0.66111780581861923</v>
      </c>
      <c r="R18" s="25"/>
      <c r="S18" s="25">
        <f t="shared" ref="S18" si="17">4/3</f>
        <v>1.3333333333333333</v>
      </c>
      <c r="T18" s="25"/>
      <c r="U18" s="24">
        <f t="shared" si="2"/>
        <v>0.8814904077581589</v>
      </c>
      <c r="V18" s="24">
        <f t="shared" si="3"/>
        <v>0.8814904077581589</v>
      </c>
    </row>
    <row r="19" spans="7:22" x14ac:dyDescent="0.2">
      <c r="G19" s="22">
        <f t="shared" si="8"/>
        <v>15</v>
      </c>
      <c r="H19" s="2" cm="1">
        <f t="array" ref="H19:J19">MMULT(H18:J18,m_trtD)</f>
        <v>0.11532612762694398</v>
      </c>
      <c r="I19" s="2">
        <v>0.70977273516846062</v>
      </c>
      <c r="J19" s="2">
        <v>0.1749011372045958</v>
      </c>
      <c r="L19" s="23">
        <v>888.52823299022384</v>
      </c>
      <c r="N19" s="2">
        <v>0.64765567900328946</v>
      </c>
      <c r="P19" s="25">
        <f t="shared" si="0"/>
        <v>0.64186194739671765</v>
      </c>
      <c r="Q19" s="25">
        <f t="shared" si="1"/>
        <v>0.64186194739671765</v>
      </c>
      <c r="R19" s="25"/>
      <c r="S19" s="25">
        <f t="shared" ref="S19" si="18">2/3</f>
        <v>0.66666666666666663</v>
      </c>
      <c r="T19" s="25"/>
      <c r="U19" s="24">
        <f t="shared" si="2"/>
        <v>0.42790796493114508</v>
      </c>
      <c r="V19" s="24">
        <f t="shared" si="3"/>
        <v>0.42790796493114508</v>
      </c>
    </row>
    <row r="20" spans="7:22" x14ac:dyDescent="0.2">
      <c r="G20" s="22">
        <f t="shared" si="8"/>
        <v>16</v>
      </c>
      <c r="H20" s="2" cm="1">
        <f t="array" ref="H20:J20">MMULT(H19:J19,m_trtD)</f>
        <v>9.985953904975213E-2</v>
      </c>
      <c r="I20" s="2">
        <v>0.71179748703637902</v>
      </c>
      <c r="J20" s="2">
        <v>0.18834297391386931</v>
      </c>
      <c r="L20" s="23">
        <v>866.57977256349477</v>
      </c>
      <c r="N20" s="2">
        <v>0.63370765432703635</v>
      </c>
      <c r="P20" s="25">
        <f t="shared" si="0"/>
        <v>0.62316693922011435</v>
      </c>
      <c r="Q20" s="25">
        <f t="shared" si="1"/>
        <v>0.62316693922011435</v>
      </c>
      <c r="R20" s="25"/>
      <c r="S20" s="25">
        <f t="shared" ref="S20" si="19">4/3</f>
        <v>1.3333333333333333</v>
      </c>
      <c r="T20" s="25"/>
      <c r="U20" s="24">
        <f t="shared" si="2"/>
        <v>0.83088925229348576</v>
      </c>
      <c r="V20" s="24">
        <f t="shared" si="3"/>
        <v>0.83088925229348576</v>
      </c>
    </row>
    <row r="21" spans="7:22" x14ac:dyDescent="0.2">
      <c r="G21" s="22">
        <f t="shared" si="8"/>
        <v>17</v>
      </c>
      <c r="H21" s="2" cm="1">
        <f t="array" ref="H21:J21">MMULT(H20:J20,m_trtD)</f>
        <v>8.646720170372911E-2</v>
      </c>
      <c r="I21" s="2">
        <v>0.71181650537651864</v>
      </c>
      <c r="J21" s="2">
        <v>0.20171629291975265</v>
      </c>
      <c r="L21" s="23">
        <v>845.84066801729875</v>
      </c>
      <c r="N21" s="2">
        <v>0.6203295807361181</v>
      </c>
      <c r="P21" s="25">
        <f t="shared" si="0"/>
        <v>0.60501644584477121</v>
      </c>
      <c r="Q21" s="25">
        <f t="shared" si="1"/>
        <v>0.60501644584477121</v>
      </c>
      <c r="R21" s="25"/>
      <c r="S21" s="25">
        <f t="shared" ref="S21" si="20">2/3</f>
        <v>0.66666666666666663</v>
      </c>
      <c r="T21" s="25"/>
      <c r="U21" s="24">
        <f t="shared" si="2"/>
        <v>0.40334429722984744</v>
      </c>
      <c r="V21" s="24">
        <f t="shared" si="3"/>
        <v>0.40334429722984744</v>
      </c>
    </row>
    <row r="22" spans="7:22" x14ac:dyDescent="0.2">
      <c r="G22" s="22">
        <f t="shared" si="8"/>
        <v>18</v>
      </c>
      <c r="H22" s="2" cm="1">
        <f t="array" ref="H22:J22">MMULT(H21:J21,m_trtD)</f>
        <v>7.4870934130272584E-2</v>
      </c>
      <c r="I22" s="2">
        <v>0.71012971878696474</v>
      </c>
      <c r="J22" s="2">
        <v>0.21499934708276305</v>
      </c>
      <c r="L22" s="23">
        <v>826.17966668888721</v>
      </c>
      <c r="N22" s="2">
        <v>0.6074682232204961</v>
      </c>
      <c r="P22" s="25">
        <f t="shared" si="0"/>
        <v>0.5873946076162827</v>
      </c>
      <c r="Q22" s="25">
        <f t="shared" si="1"/>
        <v>0.5873946076162827</v>
      </c>
      <c r="R22" s="25"/>
      <c r="S22" s="25">
        <f t="shared" ref="S22" si="21">4/3</f>
        <v>1.3333333333333333</v>
      </c>
      <c r="T22" s="25"/>
      <c r="U22" s="24">
        <f t="shared" si="2"/>
        <v>0.78319281015504361</v>
      </c>
      <c r="V22" s="24">
        <f t="shared" si="3"/>
        <v>0.78319281015504361</v>
      </c>
    </row>
    <row r="23" spans="7:22" x14ac:dyDescent="0.2">
      <c r="G23" s="22">
        <f t="shared" si="8"/>
        <v>19</v>
      </c>
      <c r="H23" s="2" cm="1">
        <f t="array" ref="H23:J23">MMULT(H22:J22,m_trtD)</f>
        <v>6.4829862272481262E-2</v>
      </c>
      <c r="I23" s="2">
        <v>0.7069962800479016</v>
      </c>
      <c r="J23" s="2">
        <v>0.22817385767961745</v>
      </c>
      <c r="L23" s="23">
        <v>807.48256657024751</v>
      </c>
      <c r="N23" s="2">
        <v>0.59507707230840745</v>
      </c>
      <c r="P23" s="25">
        <f t="shared" si="0"/>
        <v>0.57028602681192497</v>
      </c>
      <c r="Q23" s="25">
        <f t="shared" si="1"/>
        <v>0.57028602681192497</v>
      </c>
      <c r="R23" s="25"/>
      <c r="S23" s="25">
        <f t="shared" ref="S23" si="22">2/3</f>
        <v>0.66666666666666663</v>
      </c>
      <c r="T23" s="25"/>
      <c r="U23" s="24">
        <f t="shared" si="2"/>
        <v>0.3801906845412833</v>
      </c>
      <c r="V23" s="24">
        <f t="shared" si="3"/>
        <v>0.3801906845412833</v>
      </c>
    </row>
    <row r="24" spans="7:22" x14ac:dyDescent="0.2">
      <c r="G24" s="22">
        <f t="shared" si="8"/>
        <v>20</v>
      </c>
      <c r="H24" s="2" cm="1">
        <f t="array" ref="H24:J24">MMULT(H23:J23,m_trtD)</f>
        <v>5.6135416114295886E-2</v>
      </c>
      <c r="I24" s="2">
        <v>0.70264004448261019</v>
      </c>
      <c r="J24" s="2">
        <v>0.24122453940309424</v>
      </c>
      <c r="L24" s="23">
        <v>789.6499394597688</v>
      </c>
      <c r="N24" s="2">
        <v>0.58311544947625349</v>
      </c>
      <c r="P24" s="25">
        <f t="shared" si="0"/>
        <v>0.55367575418633497</v>
      </c>
      <c r="Q24" s="25">
        <f t="shared" si="1"/>
        <v>0.55367575418633497</v>
      </c>
      <c r="R24" s="25"/>
      <c r="S24" s="25">
        <f t="shared" ref="S24" si="23">4/3</f>
        <v>1.3333333333333333</v>
      </c>
      <c r="T24" s="25"/>
      <c r="U24" s="24">
        <f t="shared" si="2"/>
        <v>0.73823433891511325</v>
      </c>
      <c r="V24" s="24">
        <f t="shared" si="3"/>
        <v>0.73823433891511325</v>
      </c>
    </row>
    <row r="25" spans="7:22" x14ac:dyDescent="0.2">
      <c r="G25" s="22">
        <f t="shared" si="8"/>
        <v>21</v>
      </c>
      <c r="H25" s="2" cm="1">
        <f t="array" ref="H25:J25">MMULT(H24:J24,m_trtD)</f>
        <v>4.86069973291113E-2</v>
      </c>
      <c r="I25" s="2">
        <v>0.69725431343027477</v>
      </c>
      <c r="J25" s="2">
        <v>0.25413868924061428</v>
      </c>
      <c r="L25" s="23">
        <v>772.59515929039731</v>
      </c>
      <c r="N25" s="2">
        <v>0.57154773240181744</v>
      </c>
      <c r="P25" s="25">
        <f t="shared" si="0"/>
        <v>0.5375492759090631</v>
      </c>
      <c r="Q25" s="25">
        <f t="shared" si="1"/>
        <v>0.5375492759090631</v>
      </c>
      <c r="R25" s="25"/>
      <c r="S25" s="25">
        <f t="shared" ref="S25" si="24">2/3</f>
        <v>0.66666666666666663</v>
      </c>
      <c r="T25" s="25"/>
      <c r="U25" s="24">
        <f t="shared" si="2"/>
        <v>0.35836618393937536</v>
      </c>
      <c r="V25" s="24">
        <f t="shared" si="3"/>
        <v>0.35836618393937536</v>
      </c>
    </row>
    <row r="26" spans="7:22" x14ac:dyDescent="0.2">
      <c r="G26" s="22">
        <f t="shared" si="8"/>
        <v>22</v>
      </c>
      <c r="H26" s="2" cm="1">
        <f t="array" ref="H26:J26">MMULT(H25:J25,m_trtD)</f>
        <v>4.2088227947606582E-2</v>
      </c>
      <c r="I26" s="2">
        <v>0.69100594139087157</v>
      </c>
      <c r="J26" s="2">
        <v>0.26690583066152224</v>
      </c>
      <c r="L26" s="23">
        <v>756.24269470966181</v>
      </c>
      <c r="N26" s="2">
        <v>0.56034268399076026</v>
      </c>
      <c r="P26" s="25">
        <f t="shared" si="0"/>
        <v>0.52189250088258554</v>
      </c>
      <c r="Q26" s="25">
        <f t="shared" si="1"/>
        <v>0.52189250088258554</v>
      </c>
      <c r="R26" s="25"/>
      <c r="S26" s="25">
        <f t="shared" ref="S26" si="25">4/3</f>
        <v>1.3333333333333333</v>
      </c>
      <c r="T26" s="25"/>
      <c r="U26" s="24">
        <f t="shared" si="2"/>
        <v>0.69585666784344735</v>
      </c>
      <c r="V26" s="24">
        <f t="shared" si="3"/>
        <v>0.69585666784344735</v>
      </c>
    </row>
    <row r="27" spans="7:22" x14ac:dyDescent="0.2">
      <c r="G27" s="22">
        <f t="shared" si="8"/>
        <v>23</v>
      </c>
      <c r="H27" s="2" cm="1">
        <f t="array" ref="H27:J27">MMULT(H26:J26,m_trtD)</f>
        <v>3.6443702123290143E-2</v>
      </c>
      <c r="I27" s="2">
        <v>0.68403889218426606</v>
      </c>
      <c r="J27" s="2">
        <v>0.27951740569244421</v>
      </c>
      <c r="L27" s="23">
        <v>740.52663047536578</v>
      </c>
      <c r="N27" s="2">
        <v>0.54947287126148969</v>
      </c>
      <c r="P27" s="25">
        <f t="shared" si="0"/>
        <v>0.50669174842969467</v>
      </c>
      <c r="Q27" s="25">
        <f t="shared" si="1"/>
        <v>0.50669174842969467</v>
      </c>
      <c r="R27" s="25"/>
      <c r="S27" s="25">
        <f t="shared" ref="S27" si="26">2/3</f>
        <v>0.66666666666666663</v>
      </c>
      <c r="T27" s="25"/>
      <c r="U27" s="24">
        <f t="shared" si="2"/>
        <v>0.33779449895312974</v>
      </c>
      <c r="V27" s="24">
        <f t="shared" si="3"/>
        <v>0.33779449895312974</v>
      </c>
    </row>
    <row r="28" spans="7:22" x14ac:dyDescent="0.2">
      <c r="G28" s="22">
        <f t="shared" si="8"/>
        <v>24</v>
      </c>
      <c r="H28" s="2" cm="1">
        <f t="array" ref="H28:J28">MMULT(H27:J27,m_trtD)</f>
        <v>3.1556173524445799E-2</v>
      </c>
      <c r="I28" s="2">
        <v>0.67647731802020861</v>
      </c>
      <c r="J28" s="2">
        <v>0.291966508455346</v>
      </c>
      <c r="L28" s="23">
        <v>725.3893869830996</v>
      </c>
      <c r="N28" s="2">
        <v>0.5389141620396023</v>
      </c>
      <c r="P28" s="25">
        <f t="shared" si="0"/>
        <v>0.49193373633950943</v>
      </c>
      <c r="Q28" s="25">
        <f t="shared" si="1"/>
        <v>0.49193373633950943</v>
      </c>
      <c r="R28" s="25"/>
      <c r="S28" s="25">
        <f t="shared" ref="S28" si="27">4/3</f>
        <v>1.3333333333333333</v>
      </c>
      <c r="T28" s="25"/>
      <c r="U28" s="24">
        <f t="shared" si="2"/>
        <v>0.65591164845267924</v>
      </c>
      <c r="V28" s="24">
        <f t="shared" si="3"/>
        <v>0.65591164845267924</v>
      </c>
    </row>
    <row r="29" spans="7:22" x14ac:dyDescent="0.2">
      <c r="G29" s="22">
        <f t="shared" si="8"/>
        <v>25</v>
      </c>
      <c r="H29" s="2" cm="1">
        <f t="array" ref="H29:J29">MMULT(H28:J28,m_trtD)</f>
        <v>2.7324119929861664E-2</v>
      </c>
      <c r="I29" s="2">
        <v>0.66842822546544967</v>
      </c>
      <c r="J29" s="2">
        <v>0.304247654604689</v>
      </c>
      <c r="L29" s="23">
        <v>710.78061135673533</v>
      </c>
      <c r="N29" s="2">
        <v>0.52864528902894892</v>
      </c>
      <c r="P29" s="25">
        <f t="shared" si="0"/>
        <v>0.47760556926165965</v>
      </c>
      <c r="Q29" s="25">
        <f t="shared" si="1"/>
        <v>0.47760556926165965</v>
      </c>
      <c r="R29" s="25"/>
      <c r="S29" s="25">
        <f t="shared" ref="S29" si="28">2/3</f>
        <v>0.66666666666666663</v>
      </c>
      <c r="T29" s="25"/>
      <c r="U29" s="24">
        <f t="shared" si="2"/>
        <v>0.31840371284110641</v>
      </c>
      <c r="V29" s="24">
        <f t="shared" si="3"/>
        <v>0.31840371284110641</v>
      </c>
    </row>
    <row r="30" spans="7:22" x14ac:dyDescent="0.2">
      <c r="G30" s="22">
        <f t="shared" si="8"/>
        <v>26</v>
      </c>
      <c r="H30" s="2" cm="1">
        <f t="array" ref="H30:J30">MMULT(H29:J29,m_trtD)</f>
        <v>2.3659634440883166E-2</v>
      </c>
      <c r="I30" s="2">
        <v>0.65998378371284006</v>
      </c>
      <c r="J30" s="2">
        <v>0.31635658184627707</v>
      </c>
      <c r="L30" s="23">
        <v>696.65621709620893</v>
      </c>
      <c r="N30" s="2">
        <v>0.51864747222551322</v>
      </c>
      <c r="P30" s="25">
        <f t="shared" si="0"/>
        <v>0.46369472743850448</v>
      </c>
      <c r="Q30" s="25">
        <f t="shared" si="1"/>
        <v>0.46369472743850448</v>
      </c>
      <c r="R30" s="25"/>
      <c r="S30" s="25">
        <f t="shared" ref="S30" si="29">4/3</f>
        <v>1.3333333333333333</v>
      </c>
      <c r="T30" s="25"/>
      <c r="U30" s="24">
        <f t="shared" si="2"/>
        <v>0.61825963658467264</v>
      </c>
      <c r="V30" s="24">
        <f t="shared" si="3"/>
        <v>0.61825963658467264</v>
      </c>
    </row>
    <row r="31" spans="7:22" x14ac:dyDescent="0.2">
      <c r="G31" s="22">
        <f t="shared" si="8"/>
        <v>27</v>
      </c>
      <c r="H31" s="2" cm="1">
        <f t="array" ref="H31:J31">MMULT(H30:J30,m_trtD)</f>
        <v>2.0486599506703999E-2</v>
      </c>
      <c r="I31" s="2">
        <v>0.65122332312678466</v>
      </c>
      <c r="J31" s="2">
        <v>0.32829007736651167</v>
      </c>
      <c r="L31" s="23">
        <v>682.97755236217586</v>
      </c>
      <c r="N31" s="2">
        <v>0.50890409185179242</v>
      </c>
      <c r="P31" s="25">
        <f t="shared" si="0"/>
        <v>0.45018905576553836</v>
      </c>
      <c r="Q31" s="25">
        <f t="shared" si="1"/>
        <v>0.45018905576553836</v>
      </c>
      <c r="R31" s="25"/>
      <c r="S31" s="25">
        <f t="shared" ref="S31" si="30">2/3</f>
        <v>0.66666666666666663</v>
      </c>
      <c r="T31" s="25"/>
      <c r="U31" s="24">
        <f t="shared" si="2"/>
        <v>0.30012603717702557</v>
      </c>
      <c r="V31" s="24">
        <f t="shared" si="3"/>
        <v>0.30012603717702557</v>
      </c>
    </row>
    <row r="32" spans="7:22" x14ac:dyDescent="0.2">
      <c r="G32" s="22">
        <f t="shared" si="8"/>
        <v>28</v>
      </c>
      <c r="H32" s="2" cm="1">
        <f t="array" ref="H32:J32">MMULT(H31:J31,m_trtD)</f>
        <v>1.7739105834317277E-2</v>
      </c>
      <c r="I32" s="2">
        <v>0.64221506560544195</v>
      </c>
      <c r="J32" s="2">
        <v>0.34004582856024107</v>
      </c>
      <c r="L32" s="23">
        <v>669.71067964863369</v>
      </c>
      <c r="N32" s="2">
        <v>0.49940040503839872</v>
      </c>
      <c r="P32" s="25">
        <f t="shared" si="0"/>
        <v>0.4370767531704256</v>
      </c>
      <c r="Q32" s="25">
        <f t="shared" si="1"/>
        <v>0.4370767531704256</v>
      </c>
      <c r="R32" s="25"/>
      <c r="S32" s="25">
        <f t="shared" ref="S32" si="31">4/3</f>
        <v>1.3333333333333333</v>
      </c>
      <c r="T32" s="25"/>
      <c r="U32" s="24">
        <f t="shared" si="2"/>
        <v>0.5827690042272341</v>
      </c>
      <c r="V32" s="24">
        <f t="shared" si="3"/>
        <v>0.5827690042272341</v>
      </c>
    </row>
    <row r="33" spans="7:22" x14ac:dyDescent="0.2">
      <c r="G33" s="22">
        <f t="shared" si="8"/>
        <v>29</v>
      </c>
      <c r="H33" s="2" cm="1">
        <f t="array" ref="H33:J33">MMULT(H32:J32,m_trtD)</f>
        <v>1.5360083341217036E-2</v>
      </c>
      <c r="I33" s="2">
        <v>0.63301762272895679</v>
      </c>
      <c r="J33" s="2">
        <v>0.35162229392982641</v>
      </c>
      <c r="L33" s="23">
        <v>656.82575190784314</v>
      </c>
      <c r="N33" s="2">
        <v>0.49012330038793461</v>
      </c>
      <c r="P33" s="25">
        <f t="shared" si="0"/>
        <v>0.42434636230138412</v>
      </c>
      <c r="Q33" s="25">
        <f t="shared" si="1"/>
        <v>0.42434636230138412</v>
      </c>
      <c r="R33" s="25"/>
      <c r="S33" s="25">
        <f t="shared" ref="S33" si="32">2/3</f>
        <v>0.66666666666666663</v>
      </c>
      <c r="T33" s="25"/>
      <c r="U33" s="24">
        <f t="shared" si="2"/>
        <v>0.28289757486758937</v>
      </c>
      <c r="V33" s="24">
        <f t="shared" si="3"/>
        <v>0.28289757486758937</v>
      </c>
    </row>
    <row r="34" spans="7:22" x14ac:dyDescent="0.2">
      <c r="G34" s="22">
        <f t="shared" si="8"/>
        <v>30</v>
      </c>
      <c r="H34" s="2" cm="1">
        <f t="array" ref="H34:J34">MMULT(H33:J33,m_trtD)</f>
        <v>1.3300115713426172E-2</v>
      </c>
      <c r="I34" s="2">
        <v>0.62368129283905926</v>
      </c>
      <c r="J34" s="2">
        <v>0.36301859144751486</v>
      </c>
      <c r="L34" s="23">
        <v>644.29647219486981</v>
      </c>
      <c r="N34" s="2">
        <v>0.48106108534272063</v>
      </c>
      <c r="P34" s="25">
        <f t="shared" si="0"/>
        <v>0.41198675951590691</v>
      </c>
      <c r="Q34" s="25">
        <f t="shared" si="1"/>
        <v>0.41198675951590691</v>
      </c>
      <c r="R34" s="25"/>
      <c r="S34" s="25">
        <f t="shared" ref="S34" si="33">4/3</f>
        <v>1.3333333333333333</v>
      </c>
      <c r="T34" s="25"/>
      <c r="U34" s="24">
        <f t="shared" si="2"/>
        <v>0.54931567935454251</v>
      </c>
      <c r="V34" s="24">
        <f t="shared" si="3"/>
        <v>0.54931567935454251</v>
      </c>
    </row>
    <row r="35" spans="7:22" x14ac:dyDescent="0.2">
      <c r="G35" s="22">
        <f t="shared" si="8"/>
        <v>31</v>
      </c>
      <c r="H35" s="2" cm="1">
        <f t="array" ref="H35:J35">MMULT(H34:J34,m_trtD)</f>
        <v>1.1516413945219512E-2</v>
      </c>
      <c r="I35" s="2">
        <v>0.61424918401836015</v>
      </c>
      <c r="J35" s="2">
        <v>0.37423440203642055</v>
      </c>
      <c r="L35" s="23">
        <v>632.09962563345039</v>
      </c>
      <c r="N35" s="2">
        <v>0.47220330195898963</v>
      </c>
      <c r="P35" s="25">
        <f t="shared" si="0"/>
        <v>0.39998714516107459</v>
      </c>
      <c r="Q35" s="25">
        <f t="shared" si="1"/>
        <v>0.39998714516107459</v>
      </c>
      <c r="R35" s="25"/>
      <c r="S35" s="25">
        <f t="shared" ref="S35" si="34">2/3</f>
        <v>0.66666666666666663</v>
      </c>
      <c r="T35" s="25"/>
      <c r="U35" s="24">
        <f t="shared" si="2"/>
        <v>0.26665809677404972</v>
      </c>
      <c r="V35" s="24">
        <f t="shared" si="3"/>
        <v>0.26665809677404972</v>
      </c>
    </row>
    <row r="36" spans="7:22" x14ac:dyDescent="0.2">
      <c r="G36" s="22">
        <f t="shared" si="8"/>
        <v>32</v>
      </c>
      <c r="H36" s="2" cm="1">
        <f t="array" ref="H36:J36">MMULT(H35:J35,m_trtD)</f>
        <v>9.9719275392289725E-3</v>
      </c>
      <c r="I36" s="2">
        <v>0.60475818632085709</v>
      </c>
      <c r="J36" s="2">
        <v>0.38526988613991414</v>
      </c>
      <c r="L36" s="23">
        <v>620.21467400666199</v>
      </c>
      <c r="N36" s="2">
        <v>0.46354056727987181</v>
      </c>
      <c r="P36" s="25">
        <f t="shared" ref="P36:P67" si="35">(1 / ((1 + (d_c)) ^ (G36)))</f>
        <v>0.38833703413696569</v>
      </c>
      <c r="Q36" s="25">
        <f t="shared" ref="Q36:Q67" si="36">(1 / ((1 + (d_e)) ^ (G36)))</f>
        <v>0.38833703413696569</v>
      </c>
      <c r="R36" s="25"/>
      <c r="S36" s="25">
        <f t="shared" ref="S36" si="37">4/3</f>
        <v>1.3333333333333333</v>
      </c>
      <c r="T36" s="25"/>
      <c r="U36" s="24">
        <f t="shared" si="2"/>
        <v>0.51778271218262084</v>
      </c>
      <c r="V36" s="24">
        <f t="shared" si="3"/>
        <v>0.51778271218262084</v>
      </c>
    </row>
    <row r="37" spans="7:22" x14ac:dyDescent="0.2">
      <c r="G37" s="22">
        <f t="shared" si="8"/>
        <v>33</v>
      </c>
      <c r="H37" s="2" cm="1">
        <f t="array" ref="H37:J37">MMULT(H36:J36,m_trtD)</f>
        <v>8.6345749050563327E-3</v>
      </c>
      <c r="I37" s="2">
        <v>0.59523981347340293</v>
      </c>
      <c r="J37" s="2">
        <v>0.39612561162154092</v>
      </c>
      <c r="L37" s="23">
        <v>608.6234045762402</v>
      </c>
      <c r="N37" s="2">
        <v>0.45506443501010851</v>
      </c>
      <c r="P37" s="25">
        <f t="shared" si="35"/>
        <v>0.37702624673491814</v>
      </c>
      <c r="Q37" s="25">
        <f t="shared" si="36"/>
        <v>0.37702624673491814</v>
      </c>
      <c r="R37" s="25"/>
      <c r="S37" s="25">
        <f t="shared" ref="S37" si="38">2/3</f>
        <v>0.66666666666666663</v>
      </c>
      <c r="T37" s="25"/>
      <c r="U37" s="24">
        <f t="shared" si="2"/>
        <v>0.25135083115661205</v>
      </c>
      <c r="V37" s="24">
        <f t="shared" si="3"/>
        <v>0.25135083115661205</v>
      </c>
    </row>
    <row r="38" spans="7:22" x14ac:dyDescent="0.2">
      <c r="G38" s="22">
        <f t="shared" si="8"/>
        <v>34</v>
      </c>
      <c r="H38" s="2" cm="1">
        <f t="array" ref="H38:J38">MMULT(H37:J37,m_trtD)</f>
        <v>7.4765769704733757E-3</v>
      </c>
      <c r="I38" s="2">
        <v>0.58572093155614036</v>
      </c>
      <c r="J38" s="2">
        <v>0.40680249147338648</v>
      </c>
      <c r="L38" s="23">
        <v>597.30962586037413</v>
      </c>
      <c r="N38" s="2">
        <v>0.44676727563757862</v>
      </c>
      <c r="P38" s="25">
        <f t="shared" si="35"/>
        <v>0.36604489974263904</v>
      </c>
      <c r="Q38" s="25">
        <f t="shared" si="36"/>
        <v>0.36604489974263904</v>
      </c>
      <c r="R38" s="25"/>
      <c r="S38" s="25">
        <f t="shared" ref="S38" si="39">4/3</f>
        <v>1.3333333333333333</v>
      </c>
      <c r="T38" s="25"/>
      <c r="U38" s="24">
        <f t="shared" si="2"/>
        <v>0.48805986632351872</v>
      </c>
      <c r="V38" s="24">
        <f t="shared" si="3"/>
        <v>0.48805986632351872</v>
      </c>
    </row>
    <row r="39" spans="7:22" x14ac:dyDescent="0.2">
      <c r="G39" s="22">
        <f t="shared" si="8"/>
        <v>35</v>
      </c>
      <c r="H39" s="2" cm="1">
        <f t="array" ref="H39:J39">MMULT(H38:J38,m_trtD)</f>
        <v>6.473880163188896E-3</v>
      </c>
      <c r="I39" s="2">
        <v>0.57622438982182855</v>
      </c>
      <c r="J39" s="2">
        <v>0.41730173001498283</v>
      </c>
      <c r="L39" s="23">
        <v>586.25890407477141</v>
      </c>
      <c r="N39" s="2">
        <v>0.43864217252956034</v>
      </c>
      <c r="P39" s="25">
        <f t="shared" si="35"/>
        <v>0.35538339780838735</v>
      </c>
      <c r="Q39" s="25">
        <f t="shared" si="36"/>
        <v>0.35538339780838735</v>
      </c>
      <c r="R39" s="25"/>
      <c r="S39" s="25">
        <f t="shared" ref="S39" si="40">2/3</f>
        <v>0.66666666666666663</v>
      </c>
      <c r="T39" s="25"/>
      <c r="U39" s="24">
        <f t="shared" si="2"/>
        <v>0.23692226520559156</v>
      </c>
      <c r="V39" s="24">
        <f t="shared" si="3"/>
        <v>0.23692226520559156</v>
      </c>
    </row>
    <row r="40" spans="7:22" x14ac:dyDescent="0.2">
      <c r="G40" s="22">
        <f t="shared" si="8"/>
        <v>36</v>
      </c>
      <c r="H40" s="2" cm="1">
        <f t="array" ref="H40:J40">MMULT(H39:J39,m_trtD)</f>
        <v>5.6056567775396157E-3</v>
      </c>
      <c r="I40" s="2">
        <v>0.56676956678082258</v>
      </c>
      <c r="J40" s="2">
        <v>0.4276247764416381</v>
      </c>
      <c r="L40" s="23">
        <v>575.458334786009</v>
      </c>
      <c r="N40" s="2">
        <v>0.43068283186315653</v>
      </c>
      <c r="P40" s="25">
        <f t="shared" si="35"/>
        <v>0.34503242505668674</v>
      </c>
      <c r="Q40" s="25">
        <f t="shared" si="36"/>
        <v>0.34503242505668674</v>
      </c>
      <c r="R40" s="25"/>
      <c r="S40" s="25">
        <f t="shared" ref="S40" si="41">4/3</f>
        <v>1.3333333333333333</v>
      </c>
      <c r="T40" s="25"/>
      <c r="U40" s="24">
        <f t="shared" si="2"/>
        <v>0.46004323340891562</v>
      </c>
      <c r="V40" s="24">
        <f t="shared" si="3"/>
        <v>0.46004323340891562</v>
      </c>
    </row>
    <row r="41" spans="7:22" x14ac:dyDescent="0.2">
      <c r="G41" s="22">
        <f t="shared" si="8"/>
        <v>37</v>
      </c>
      <c r="H41" s="2" cm="1">
        <f t="array" ref="H41:J41">MMULT(H40:J40,m_trtD)</f>
        <v>4.8538723478775882E-3</v>
      </c>
      <c r="I41" s="2">
        <v>0.55737284291796763</v>
      </c>
      <c r="J41" s="2">
        <v>0.437773284734155</v>
      </c>
      <c r="L41" s="23">
        <v>564.89634505717788</v>
      </c>
      <c r="N41" s="2">
        <v>0.42288350453635332</v>
      </c>
      <c r="P41" s="25">
        <f t="shared" si="35"/>
        <v>0.33498293694823961</v>
      </c>
      <c r="Q41" s="25">
        <f t="shared" si="36"/>
        <v>0.33498293694823961</v>
      </c>
      <c r="R41" s="25"/>
      <c r="S41" s="25">
        <f t="shared" ref="S41" si="42">2/3</f>
        <v>0.66666666666666663</v>
      </c>
      <c r="T41" s="25"/>
      <c r="U41" s="24">
        <f t="shared" si="2"/>
        <v>0.22332195796549306</v>
      </c>
      <c r="V41" s="24">
        <f t="shared" si="3"/>
        <v>0.22332195796549306</v>
      </c>
    </row>
    <row r="42" spans="7:22" x14ac:dyDescent="0.2">
      <c r="G42" s="22">
        <f t="shared" si="8"/>
        <v>38</v>
      </c>
      <c r="H42" s="2" cm="1">
        <f t="array" ref="H42:J42">MMULT(H41:J41,m_trtD)</f>
        <v>4.2029110422688899E-3</v>
      </c>
      <c r="I42" s="2">
        <v>0.54804800988327984</v>
      </c>
      <c r="J42" s="2">
        <v>0.44774907907445149</v>
      </c>
      <c r="L42" s="23">
        <v>554.56252199879668</v>
      </c>
      <c r="N42" s="2">
        <v>0.41523891845472877</v>
      </c>
      <c r="P42" s="25">
        <f t="shared" si="35"/>
        <v>0.3252261523769317</v>
      </c>
      <c r="Q42" s="25">
        <f t="shared" si="36"/>
        <v>0.3252261523769317</v>
      </c>
      <c r="R42" s="25"/>
      <c r="S42" s="25">
        <f t="shared" ref="S42" si="43">4/3</f>
        <v>1.3333333333333333</v>
      </c>
      <c r="T42" s="25"/>
      <c r="U42" s="24">
        <f t="shared" si="2"/>
        <v>0.43363486983590893</v>
      </c>
      <c r="V42" s="24">
        <f t="shared" si="3"/>
        <v>0.43363486983590893</v>
      </c>
    </row>
    <row r="43" spans="7:22" x14ac:dyDescent="0.2">
      <c r="G43" s="22">
        <f t="shared" si="8"/>
        <v>39</v>
      </c>
      <c r="H43" s="2" cm="1">
        <f t="array" ref="H43:J43">MMULT(H42:J42,m_trtD)</f>
        <v>3.6392512952982282E-3</v>
      </c>
      <c r="I43" s="2">
        <v>0.53880662467833118</v>
      </c>
      <c r="J43" s="2">
        <v>0.4575541240263708</v>
      </c>
      <c r="L43" s="23">
        <v>544.44746418604348</v>
      </c>
      <c r="N43" s="2">
        <v>0.40774421980404663</v>
      </c>
      <c r="P43" s="25">
        <f t="shared" si="35"/>
        <v>0.31575354599702099</v>
      </c>
      <c r="Q43" s="25">
        <f t="shared" si="36"/>
        <v>0.31575354599702099</v>
      </c>
      <c r="R43" s="25"/>
      <c r="S43" s="25">
        <f t="shared" ref="S43" si="44">2/3</f>
        <v>0.66666666666666663</v>
      </c>
      <c r="T43" s="25"/>
      <c r="U43" s="24">
        <f t="shared" si="2"/>
        <v>0.21050236399801397</v>
      </c>
      <c r="V43" s="24">
        <f t="shared" si="3"/>
        <v>0.21050236399801397</v>
      </c>
    </row>
    <row r="44" spans="7:22" x14ac:dyDescent="0.2">
      <c r="G44" s="22">
        <f t="shared" si="8"/>
        <v>40</v>
      </c>
      <c r="H44" s="2" cm="1">
        <f t="array" ref="H44:J44">MMULT(H43:J43,m_trtD)</f>
        <v>3.1511849423251507E-3</v>
      </c>
      <c r="I44" s="2">
        <v>0.52965831621732806</v>
      </c>
      <c r="J44" s="2">
        <v>0.46719049884034697</v>
      </c>
      <c r="L44" s="23">
        <v>534.54265287793203</v>
      </c>
      <c r="N44" s="2">
        <v>0.40039492210532118</v>
      </c>
      <c r="P44" s="25">
        <f t="shared" si="35"/>
        <v>0.30655684077380685</v>
      </c>
      <c r="Q44" s="25">
        <f t="shared" si="36"/>
        <v>0.30655684077380685</v>
      </c>
      <c r="R44" s="25"/>
      <c r="S44" s="25">
        <f t="shared" ref="S44" si="45">4/3</f>
        <v>1.3333333333333333</v>
      </c>
      <c r="T44" s="25"/>
      <c r="U44" s="24">
        <f t="shared" si="2"/>
        <v>0.40874245436507578</v>
      </c>
      <c r="V44" s="24">
        <f t="shared" si="3"/>
        <v>0.40874245436507578</v>
      </c>
    </row>
    <row r="45" spans="7:22" x14ac:dyDescent="0.2">
      <c r="G45" s="22">
        <f t="shared" si="8"/>
        <v>41</v>
      </c>
      <c r="H45" s="2" cm="1">
        <f t="array" ref="H45:J45">MMULT(H44:J44,m_trtD)</f>
        <v>2.728574021136132E-3</v>
      </c>
      <c r="I45" s="2">
        <v>0.52061105065222091</v>
      </c>
      <c r="J45" s="2">
        <v>0.47666037532664313</v>
      </c>
      <c r="L45" s="23">
        <v>524.84034038498191</v>
      </c>
      <c r="N45" s="2">
        <v>0.39318686201030184</v>
      </c>
      <c r="P45" s="25">
        <f t="shared" si="35"/>
        <v>0.29762800075126877</v>
      </c>
      <c r="Q45" s="25">
        <f t="shared" si="36"/>
        <v>0.29762800075126877</v>
      </c>
      <c r="R45" s="25"/>
      <c r="S45" s="25">
        <f t="shared" ref="S45" si="46">2/3</f>
        <v>0.66666666666666663</v>
      </c>
      <c r="T45" s="25"/>
      <c r="U45" s="24">
        <f t="shared" si="2"/>
        <v>0.1984186671675125</v>
      </c>
      <c r="V45" s="24">
        <f t="shared" si="3"/>
        <v>0.1984186671675125</v>
      </c>
    </row>
    <row r="46" spans="7:22" x14ac:dyDescent="0.2">
      <c r="G46" s="22">
        <f t="shared" si="8"/>
        <v>42</v>
      </c>
      <c r="H46" s="2" cm="1">
        <f t="array" ref="H46:J46">MMULT(H45:J45,m_trtD)</f>
        <v>2.3626401893522336E-3</v>
      </c>
      <c r="I46" s="2">
        <v>0.51167136099425914</v>
      </c>
      <c r="J46" s="2">
        <v>0.48596599881638886</v>
      </c>
      <c r="L46" s="23">
        <v>515.33345328775511</v>
      </c>
      <c r="N46" s="2">
        <v>0.38611616093504658</v>
      </c>
      <c r="P46" s="25">
        <f t="shared" si="35"/>
        <v>0.28895922403035801</v>
      </c>
      <c r="Q46" s="25">
        <f t="shared" si="36"/>
        <v>0.28895922403035801</v>
      </c>
      <c r="R46" s="25"/>
      <c r="S46" s="25">
        <f t="shared" ref="S46" si="47">4/3</f>
        <v>1.3333333333333333</v>
      </c>
      <c r="T46" s="25"/>
      <c r="U46" s="24">
        <f t="shared" si="2"/>
        <v>0.38527896537381068</v>
      </c>
      <c r="V46" s="24">
        <f t="shared" si="3"/>
        <v>0.38527896537381068</v>
      </c>
    </row>
    <row r="47" spans="7:22" x14ac:dyDescent="0.2">
      <c r="G47" s="22">
        <f t="shared" si="8"/>
        <v>43</v>
      </c>
      <c r="H47" s="2" cm="1">
        <f t="array" ref="H47:J47">MMULT(H46:J46,m_trtD)</f>
        <v>2.0457823834363412E-3</v>
      </c>
      <c r="I47" s="2">
        <v>0.50284454582240357</v>
      </c>
      <c r="J47" s="2">
        <v>0.49510967179416027</v>
      </c>
      <c r="L47" s="23">
        <v>506.01550851672988</v>
      </c>
      <c r="N47" s="2">
        <v>0.37917919175023901</v>
      </c>
      <c r="P47" s="25">
        <f t="shared" si="35"/>
        <v>0.28054293595180391</v>
      </c>
      <c r="Q47" s="25">
        <f t="shared" si="36"/>
        <v>0.28054293595180391</v>
      </c>
      <c r="R47" s="25"/>
      <c r="S47" s="25">
        <f t="shared" ref="S47" si="48">2/3</f>
        <v>0.66666666666666663</v>
      </c>
      <c r="T47" s="25"/>
      <c r="U47" s="24">
        <f t="shared" si="2"/>
        <v>0.18702862396786926</v>
      </c>
      <c r="V47" s="24">
        <f t="shared" si="3"/>
        <v>0.18702862396786926</v>
      </c>
    </row>
    <row r="48" spans="7:22" x14ac:dyDescent="0.2">
      <c r="G48" s="22">
        <f t="shared" si="8"/>
        <v>44</v>
      </c>
      <c r="H48" s="2" cm="1">
        <f t="array" ref="H48:J48">MMULT(H47:J47,m_trtD)</f>
        <v>1.7714189317696923E-3</v>
      </c>
      <c r="I48" s="2">
        <v>0.49413484122652179</v>
      </c>
      <c r="J48" s="2">
        <v>0.50409373984170869</v>
      </c>
      <c r="L48" s="23">
        <v>496.88054057076482</v>
      </c>
      <c r="N48" s="2">
        <v>0.37237254985166102</v>
      </c>
      <c r="P48" s="25">
        <f t="shared" si="35"/>
        <v>0.27237178247747956</v>
      </c>
      <c r="Q48" s="25">
        <f t="shared" si="36"/>
        <v>0.27237178247747956</v>
      </c>
      <c r="R48" s="25"/>
      <c r="S48" s="25">
        <f t="shared" ref="S48" si="49">4/3</f>
        <v>1.3333333333333333</v>
      </c>
      <c r="T48" s="25"/>
      <c r="U48" s="24">
        <f t="shared" si="2"/>
        <v>0.36316237663663942</v>
      </c>
      <c r="V48" s="24">
        <f t="shared" si="3"/>
        <v>0.36316237663663942</v>
      </c>
    </row>
    <row r="49" spans="7:22" x14ac:dyDescent="0.2">
      <c r="G49" s="22">
        <f t="shared" si="8"/>
        <v>45</v>
      </c>
      <c r="H49" s="2" cm="1">
        <f t="array" ref="H49:J49">MMULT(H48:J48,m_trtD)</f>
        <v>1.53385084221971E-3</v>
      </c>
      <c r="I49" s="2">
        <v>0.48554556957696526</v>
      </c>
      <c r="J49" s="2">
        <v>0.51292057958081516</v>
      </c>
      <c r="L49" s="23">
        <v>487.92303838240582</v>
      </c>
      <c r="N49" s="2">
        <v>0.36569302802494363</v>
      </c>
      <c r="P49" s="25">
        <f t="shared" si="35"/>
        <v>0.26443862376454325</v>
      </c>
      <c r="Q49" s="25">
        <f t="shared" si="36"/>
        <v>0.26443862376454325</v>
      </c>
      <c r="R49" s="25"/>
      <c r="S49" s="25">
        <f t="shared" ref="S49" si="50">2/3</f>
        <v>0.66666666666666663</v>
      </c>
      <c r="T49" s="25"/>
      <c r="U49" s="24">
        <f t="shared" si="2"/>
        <v>0.17629241584302882</v>
      </c>
      <c r="V49" s="24">
        <f t="shared" si="3"/>
        <v>0.17629241584302882</v>
      </c>
    </row>
    <row r="50" spans="7:22" x14ac:dyDescent="0.2">
      <c r="G50" s="22">
        <f t="shared" si="8"/>
        <v>46</v>
      </c>
      <c r="H50" s="2" cm="1">
        <f t="array" ref="H50:J50">MMULT(H49:J49,m_trtD)</f>
        <v>1.3281434244511029E-3</v>
      </c>
      <c r="I50" s="2">
        <v>0.47707926823041863</v>
      </c>
      <c r="J50" s="2">
        <v>0.52159258834513045</v>
      </c>
      <c r="L50" s="23">
        <v>479.13789053831783</v>
      </c>
      <c r="N50" s="2">
        <v>0.35913759459726508</v>
      </c>
      <c r="P50" s="25">
        <f t="shared" si="35"/>
        <v>0.25673652792674101</v>
      </c>
      <c r="Q50" s="25">
        <f t="shared" si="36"/>
        <v>0.25673652792674101</v>
      </c>
      <c r="R50" s="25"/>
      <c r="S50" s="25">
        <f t="shared" ref="S50" si="51">4/3</f>
        <v>1.3333333333333333</v>
      </c>
      <c r="T50" s="25"/>
      <c r="U50" s="24">
        <f t="shared" si="2"/>
        <v>0.34231537056898798</v>
      </c>
      <c r="V50" s="24">
        <f t="shared" si="3"/>
        <v>0.34231537056898798</v>
      </c>
    </row>
    <row r="51" spans="7:22" x14ac:dyDescent="0.2">
      <c r="G51" s="22">
        <f t="shared" si="8"/>
        <v>47</v>
      </c>
      <c r="H51" s="2" cm="1">
        <f t="array" ref="H51:J51">MMULT(H50:J50,m_trtD)</f>
        <v>1.1500237880757579E-3</v>
      </c>
      <c r="I51" s="2">
        <v>0.46873780086479894</v>
      </c>
      <c r="J51" s="2">
        <v>0.53011217534712551</v>
      </c>
      <c r="L51" s="23">
        <v>470.52033773631638</v>
      </c>
      <c r="N51" s="2">
        <v>0.35270337443667499</v>
      </c>
      <c r="P51" s="25">
        <f t="shared" si="35"/>
        <v>0.24925876497741845</v>
      </c>
      <c r="Q51" s="25">
        <f t="shared" si="36"/>
        <v>0.24925876497741845</v>
      </c>
      <c r="R51" s="25"/>
      <c r="S51" s="25">
        <f t="shared" ref="S51" si="52">2/3</f>
        <v>0.66666666666666663</v>
      </c>
      <c r="T51" s="25"/>
      <c r="U51" s="24">
        <f t="shared" si="2"/>
        <v>0.16617250998494562</v>
      </c>
      <c r="V51" s="24">
        <f t="shared" si="3"/>
        <v>0.16617250998494562</v>
      </c>
    </row>
    <row r="52" spans="7:22" x14ac:dyDescent="0.2">
      <c r="G52" s="22">
        <f t="shared" si="8"/>
        <v>48</v>
      </c>
      <c r="H52" s="2" cm="1">
        <f t="array" ref="H52:J52">MMULT(H51:J51,m_trtD)</f>
        <v>9.9579208750493419E-4</v>
      </c>
      <c r="I52" s="2">
        <v>0.46052245377481615</v>
      </c>
      <c r="J52" s="2">
        <v>0.53848175413767907</v>
      </c>
      <c r="L52" s="23">
        <v>462.06593151044876</v>
      </c>
      <c r="N52" s="2">
        <v>0.34638763241861709</v>
      </c>
      <c r="P52" s="25">
        <f t="shared" si="35"/>
        <v>0.24199880094894996</v>
      </c>
      <c r="Q52" s="25">
        <f t="shared" si="36"/>
        <v>0.24199880094894996</v>
      </c>
      <c r="R52" s="25"/>
      <c r="S52" s="25">
        <f t="shared" ref="S52" si="53">4/3</f>
        <v>1.3333333333333333</v>
      </c>
      <c r="T52" s="25"/>
      <c r="U52" s="24">
        <f t="shared" si="2"/>
        <v>0.32266506793193328</v>
      </c>
      <c r="V52" s="24">
        <f t="shared" si="3"/>
        <v>0.32266506793193328</v>
      </c>
    </row>
    <row r="53" spans="7:22" x14ac:dyDescent="0.2">
      <c r="G53" s="22">
        <f t="shared" si="8"/>
        <v>49</v>
      </c>
      <c r="H53" s="2" cm="1">
        <f t="array" ref="H53:J53">MMULT(H52:J52,m_trtD)</f>
        <v>8.6224466990948256E-4</v>
      </c>
      <c r="I53" s="2">
        <v>0.45243401914707337</v>
      </c>
      <c r="J53" s="2">
        <v>0.54670373618301726</v>
      </c>
      <c r="L53" s="23">
        <v>453.77049838543309</v>
      </c>
      <c r="N53" s="2">
        <v>0.34018775903021448</v>
      </c>
      <c r="P53" s="25">
        <f t="shared" si="35"/>
        <v>0.2349502921834466</v>
      </c>
      <c r="Q53" s="25">
        <f t="shared" si="36"/>
        <v>0.2349502921834466</v>
      </c>
      <c r="R53" s="25"/>
      <c r="S53" s="25">
        <f t="shared" ref="S53" si="54">2/3</f>
        <v>0.66666666666666663</v>
      </c>
      <c r="T53" s="25"/>
      <c r="U53" s="24">
        <f t="shared" si="2"/>
        <v>0.15663352812229772</v>
      </c>
      <c r="V53" s="24">
        <f t="shared" si="3"/>
        <v>0.15663352812229772</v>
      </c>
    </row>
    <row r="54" spans="7:22" x14ac:dyDescent="0.2">
      <c r="G54" s="22">
        <f t="shared" si="8"/>
        <v>50</v>
      </c>
      <c r="H54" s="2" cm="1">
        <f t="array" ref="H54:J54">MMULT(H53:J53,m_trtD)</f>
        <v>7.4660752994146348E-4</v>
      </c>
      <c r="I54" s="2">
        <v>0.44447286706279643</v>
      </c>
      <c r="J54" s="2">
        <v>0.55478052540726219</v>
      </c>
      <c r="L54" s="23">
        <v>445.63010873420569</v>
      </c>
      <c r="N54" s="2">
        <v>0.33410125782703881</v>
      </c>
      <c r="P54" s="25">
        <f t="shared" si="35"/>
        <v>0.22810707978975397</v>
      </c>
      <c r="Q54" s="25">
        <f t="shared" si="36"/>
        <v>0.22810707978975397</v>
      </c>
      <c r="R54" s="25"/>
      <c r="S54" s="25">
        <f t="shared" ref="S54" si="55">4/3</f>
        <v>1.3333333333333333</v>
      </c>
      <c r="T54" s="25"/>
      <c r="U54" s="24">
        <f t="shared" si="2"/>
        <v>0.3041427730530053</v>
      </c>
      <c r="V54" s="24">
        <f t="shared" si="3"/>
        <v>0.3041427730530053</v>
      </c>
    </row>
    <row r="55" spans="7:22" x14ac:dyDescent="0.2">
      <c r="G55" s="22">
        <f t="shared" si="8"/>
        <v>51</v>
      </c>
      <c r="H55" s="2" cm="1">
        <f t="array" ref="H55:J55">MMULT(H54:J54,m_trtD)</f>
        <v>6.4647868895937721E-4</v>
      </c>
      <c r="I55" s="2">
        <v>0.4366390077418088</v>
      </c>
      <c r="J55" s="2">
        <v>0.56271451356923186</v>
      </c>
      <c r="L55" s="23">
        <v>437.64104970969584</v>
      </c>
      <c r="N55" s="2">
        <v>0.32812573449531601</v>
      </c>
      <c r="P55" s="25">
        <f t="shared" si="35"/>
        <v>0.22146318426189707</v>
      </c>
      <c r="Q55" s="25">
        <f t="shared" si="36"/>
        <v>0.22146318426189707</v>
      </c>
      <c r="R55" s="25"/>
      <c r="S55" s="25">
        <f t="shared" ref="S55" si="56">2/3</f>
        <v>0.66666666666666663</v>
      </c>
      <c r="T55" s="25"/>
      <c r="U55" s="24">
        <f t="shared" si="2"/>
        <v>0.14764212284126471</v>
      </c>
      <c r="V55" s="24">
        <f t="shared" si="3"/>
        <v>0.14764212284126471</v>
      </c>
    </row>
    <row r="56" spans="7:22" x14ac:dyDescent="0.2">
      <c r="G56" s="22">
        <f t="shared" si="8"/>
        <v>52</v>
      </c>
      <c r="H56" s="2" cm="1">
        <f t="array" ref="H56:J56">MMULT(H55:J55,m_trtD)</f>
        <v>5.597783018762249E-4</v>
      </c>
      <c r="I56" s="2">
        <v>0.4289321453383414</v>
      </c>
      <c r="J56" s="2">
        <v>0.5705080763597824</v>
      </c>
      <c r="L56" s="23">
        <v>429.79980170624953</v>
      </c>
      <c r="N56" s="2">
        <v>0.32225888730563224</v>
      </c>
      <c r="P56" s="25">
        <f t="shared" si="35"/>
        <v>0.215012800254269</v>
      </c>
      <c r="Q56" s="25">
        <f t="shared" si="36"/>
        <v>0.215012800254269</v>
      </c>
      <c r="R56" s="25"/>
      <c r="S56" s="25">
        <f t="shared" ref="S56" si="57">4/3</f>
        <v>1.3333333333333333</v>
      </c>
      <c r="T56" s="25"/>
      <c r="U56" s="24">
        <f t="shared" si="2"/>
        <v>0.28668373367235866</v>
      </c>
      <c r="V56" s="24">
        <f t="shared" si="3"/>
        <v>0.28668373367235866</v>
      </c>
    </row>
    <row r="57" spans="7:22" x14ac:dyDescent="0.2">
      <c r="G57" s="22">
        <f t="shared" si="8"/>
        <v>53</v>
      </c>
      <c r="H57" s="2" cm="1">
        <f t="array" ref="H57:J57">MMULT(H56:J56,m_trtD)</f>
        <v>4.8470545526539406E-4</v>
      </c>
      <c r="I57" s="2">
        <v>0.42135172442346835</v>
      </c>
      <c r="J57" s="2">
        <v>0.57816357012126629</v>
      </c>
      <c r="L57" s="23">
        <v>422.10301787912971</v>
      </c>
      <c r="N57" s="2">
        <v>0.31649849877286668</v>
      </c>
      <c r="P57" s="25">
        <f t="shared" si="35"/>
        <v>0.20875029150899907</v>
      </c>
      <c r="Q57" s="25">
        <f t="shared" si="36"/>
        <v>0.20875029150899907</v>
      </c>
      <c r="R57" s="25"/>
      <c r="S57" s="25">
        <f t="shared" ref="S57" si="58">2/3</f>
        <v>0.66666666666666663</v>
      </c>
      <c r="T57" s="25"/>
      <c r="U57" s="24">
        <f t="shared" si="2"/>
        <v>0.13916686100599937</v>
      </c>
      <c r="V57" s="24">
        <f t="shared" si="3"/>
        <v>0.13916686100599937</v>
      </c>
    </row>
    <row r="58" spans="7:22" x14ac:dyDescent="0.2">
      <c r="G58" s="22">
        <f t="shared" si="8"/>
        <v>54</v>
      </c>
      <c r="H58" s="2" cm="1">
        <f t="array" ref="H58:J58">MMULT(H57:J57,m_trtD)</f>
        <v>4.1970075934808458E-4</v>
      </c>
      <c r="I58" s="2">
        <v>0.41389697013673937</v>
      </c>
      <c r="J58" s="2">
        <v>0.58568332910391252</v>
      </c>
      <c r="L58" s="23">
        <v>414.54750631372889</v>
      </c>
      <c r="N58" s="2">
        <v>0.31084242836190262</v>
      </c>
      <c r="P58" s="25">
        <f t="shared" si="35"/>
        <v>0.20267018593106703</v>
      </c>
      <c r="Q58" s="25">
        <f t="shared" si="36"/>
        <v>0.20267018593106703</v>
      </c>
      <c r="R58" s="25"/>
      <c r="S58" s="25">
        <f t="shared" ref="S58" si="59">4/3</f>
        <v>1.3333333333333333</v>
      </c>
      <c r="T58" s="25"/>
      <c r="U58" s="24">
        <f t="shared" si="2"/>
        <v>0.27022691457475601</v>
      </c>
      <c r="V58" s="24">
        <f t="shared" si="3"/>
        <v>0.27022691457475601</v>
      </c>
    </row>
    <row r="59" spans="7:22" x14ac:dyDescent="0.2">
      <c r="G59" s="22">
        <f t="shared" si="8"/>
        <v>55</v>
      </c>
      <c r="H59" s="2" cm="1">
        <f t="array" ref="H59:J59">MMULT(H58:J58,m_trtD)</f>
        <v>3.6341395683469436E-4</v>
      </c>
      <c r="I59" s="2">
        <v>0.40656692285777346</v>
      </c>
      <c r="J59" s="2">
        <v>0.59306966318539189</v>
      </c>
      <c r="L59" s="23">
        <v>407.13021449086727</v>
      </c>
      <c r="N59" s="2">
        <v>0.30528860610016478</v>
      </c>
      <c r="P59" s="25">
        <f t="shared" si="35"/>
        <v>0.19676717080686118</v>
      </c>
      <c r="Q59" s="25">
        <f t="shared" si="36"/>
        <v>0.19676717080686118</v>
      </c>
      <c r="R59" s="25"/>
      <c r="S59" s="25">
        <f t="shared" ref="S59" si="60">2/3</f>
        <v>0.66666666666666663</v>
      </c>
      <c r="T59" s="25"/>
      <c r="U59" s="24">
        <f t="shared" si="2"/>
        <v>0.13117811387124079</v>
      </c>
      <c r="V59" s="24">
        <f t="shared" si="3"/>
        <v>0.13117811387124079</v>
      </c>
    </row>
    <row r="60" spans="7:22" x14ac:dyDescent="0.2">
      <c r="G60" s="22">
        <f t="shared" si="8"/>
        <v>56</v>
      </c>
      <c r="H60" s="2" cm="1">
        <f t="array" ref="H60:J60">MMULT(H59:J59,m_trtD)</f>
        <v>3.1467587580110925E-4</v>
      </c>
      <c r="I60" s="2">
        <v>0.39936046813445042</v>
      </c>
      <c r="J60" s="2">
        <v>0.6003248559897485</v>
      </c>
      <c r="L60" s="23">
        <v>399.84821574194211</v>
      </c>
      <c r="N60" s="2">
        <v>0.29983502697663889</v>
      </c>
      <c r="P60" s="25">
        <f t="shared" si="35"/>
        <v>0.19103608816200118</v>
      </c>
      <c r="Q60" s="25">
        <f t="shared" si="36"/>
        <v>0.19103608816200118</v>
      </c>
      <c r="R60" s="25"/>
      <c r="S60" s="25">
        <f t="shared" ref="S60" si="61">4/3</f>
        <v>1.3333333333333333</v>
      </c>
      <c r="T60" s="25"/>
      <c r="U60" s="24">
        <f t="shared" si="2"/>
        <v>0.25471478421600158</v>
      </c>
      <c r="V60" s="24">
        <f t="shared" si="3"/>
        <v>0.25471478421600158</v>
      </c>
    </row>
    <row r="61" spans="7:22" x14ac:dyDescent="0.2">
      <c r="G61" s="22">
        <f t="shared" si="8"/>
        <v>57</v>
      </c>
      <c r="H61" s="2" cm="1">
        <f t="array" ref="H61:J61">MMULT(H60:J60,m_trtD)</f>
        <v>2.7247414401378276E-4</v>
      </c>
      <c r="I61" s="2">
        <v>0.39227636250551495</v>
      </c>
      <c r="J61" s="2">
        <v>0.60745116335047133</v>
      </c>
      <c r="L61" s="23">
        <v>392.6986974287363</v>
      </c>
      <c r="N61" s="2">
        <v>0.29447974602314997</v>
      </c>
      <c r="P61" s="25">
        <f t="shared" si="35"/>
        <v>0.18547193025437006</v>
      </c>
      <c r="Q61" s="25">
        <f t="shared" si="36"/>
        <v>0.18547193025437006</v>
      </c>
      <c r="R61" s="25"/>
      <c r="S61" s="25">
        <f t="shared" ref="S61" si="62">2/3</f>
        <v>0.66666666666666663</v>
      </c>
      <c r="T61" s="25"/>
      <c r="U61" s="24">
        <f t="shared" si="2"/>
        <v>0.12364795350291337</v>
      </c>
      <c r="V61" s="24">
        <f t="shared" si="3"/>
        <v>0.12364795350291337</v>
      </c>
    </row>
    <row r="62" spans="7:22" x14ac:dyDescent="0.2">
      <c r="G62" s="22">
        <f t="shared" si="8"/>
        <v>58</v>
      </c>
      <c r="H62" s="2" cm="1">
        <f t="array" ref="H62:J62">MMULT(H61:J61,m_trtD)</f>
        <v>2.3593216024913311E-4</v>
      </c>
      <c r="I62" s="2">
        <v>0.38531325576983905</v>
      </c>
      <c r="J62" s="2">
        <v>0.61445081206991192</v>
      </c>
      <c r="L62" s="23">
        <v>385.6789506182252</v>
      </c>
      <c r="N62" s="2">
        <v>0.28922087398762841</v>
      </c>
      <c r="P62" s="25">
        <f t="shared" si="35"/>
        <v>0.18006983519841754</v>
      </c>
      <c r="Q62" s="25">
        <f t="shared" si="36"/>
        <v>0.18006983519841754</v>
      </c>
      <c r="R62" s="25"/>
      <c r="S62" s="25">
        <f t="shared" ref="S62" si="63">4/3</f>
        <v>1.3333333333333333</v>
      </c>
      <c r="T62" s="25"/>
      <c r="U62" s="24">
        <f t="shared" si="2"/>
        <v>0.24009311359789004</v>
      </c>
      <c r="V62" s="24">
        <f t="shared" si="3"/>
        <v>0.24009311359789004</v>
      </c>
    </row>
    <row r="63" spans="7:22" x14ac:dyDescent="0.2">
      <c r="G63" s="22">
        <f>G62+1</f>
        <v>59</v>
      </c>
      <c r="H63" s="2" cm="1">
        <f t="array" ref="H63:J63">MMULT(H62:J62,m_trtD)</f>
        <v>2.0429088580605628E-4</v>
      </c>
      <c r="I63" s="2">
        <v>0.37846971018049758</v>
      </c>
      <c r="J63" s="2">
        <v>0.62132599893369644</v>
      </c>
      <c r="L63" s="23">
        <v>378.78636105349699</v>
      </c>
      <c r="N63" s="2">
        <v>0.28405657352117925</v>
      </c>
      <c r="P63" s="25">
        <f t="shared" si="35"/>
        <v>0.17482508271691022</v>
      </c>
      <c r="Q63" s="25">
        <f t="shared" si="36"/>
        <v>0.17482508271691022</v>
      </c>
      <c r="R63" s="25"/>
      <c r="S63" s="25">
        <f t="shared" ref="S63" si="64">2/3</f>
        <v>0.66666666666666663</v>
      </c>
      <c r="T63" s="25"/>
      <c r="U63" s="24">
        <f t="shared" si="2"/>
        <v>0.11655005514460681</v>
      </c>
      <c r="V63" s="24">
        <f t="shared" si="3"/>
        <v>0.11655005514460681</v>
      </c>
    </row>
    <row r="64" spans="7:22" x14ac:dyDescent="0.2">
      <c r="G64" s="22">
        <f>G63+1</f>
        <v>60</v>
      </c>
      <c r="H64" s="2" cm="1">
        <f t="array" ref="H64:J64">MMULT(H63:J63,m_trtD)</f>
        <v>1.7689307799052578E-4</v>
      </c>
      <c r="I64" s="2">
        <v>0.37174421697765653</v>
      </c>
      <c r="J64" s="2">
        <v>0.62807888994435301</v>
      </c>
      <c r="L64" s="23">
        <v>372.01840124854186</v>
      </c>
      <c r="N64" s="2">
        <v>0.2789850558112329</v>
      </c>
      <c r="P64" s="25">
        <f t="shared" si="35"/>
        <v>0.1697330900164177</v>
      </c>
      <c r="Q64" s="25">
        <f t="shared" si="36"/>
        <v>0.1697330900164177</v>
      </c>
      <c r="R64" s="25"/>
      <c r="S64" s="25">
        <f t="shared" ref="S64" si="65">4/3</f>
        <v>1.3333333333333333</v>
      </c>
      <c r="T64" s="25"/>
      <c r="U64" s="24">
        <f t="shared" si="2"/>
        <v>0.22631078668855692</v>
      </c>
      <c r="V64" s="24">
        <f t="shared" si="3"/>
        <v>0.22631078668855692</v>
      </c>
    </row>
    <row r="65" spans="7:22" x14ac:dyDescent="0.2">
      <c r="G65" s="22">
        <f t="shared" ref="G65:G79" si="66">G64+1</f>
        <v>61</v>
      </c>
      <c r="H65" s="2" cm="1">
        <f t="array" ref="H65:J65">MMULT(H64:J64,m_trtD)</f>
        <v>1.5316963807513432E-4</v>
      </c>
      <c r="I65" s="2">
        <v>0.36513521061872267</v>
      </c>
      <c r="J65" s="2">
        <v>0.63471161974320223</v>
      </c>
      <c r="L65" s="23">
        <v>365.37262355773913</v>
      </c>
      <c r="N65" s="2">
        <v>0.27400457760211716</v>
      </c>
      <c r="P65" s="25">
        <f t="shared" si="35"/>
        <v>0.16478940778292983</v>
      </c>
      <c r="Q65" s="25">
        <f t="shared" si="36"/>
        <v>0.16478940778292983</v>
      </c>
      <c r="R65" s="25"/>
      <c r="S65" s="25">
        <f t="shared" ref="S65" si="67">2/3</f>
        <v>0.66666666666666663</v>
      </c>
      <c r="T65" s="25"/>
      <c r="U65" s="24">
        <f t="shared" si="2"/>
        <v>0.10985960518861988</v>
      </c>
      <c r="V65" s="24">
        <f t="shared" si="3"/>
        <v>0.10985960518861988</v>
      </c>
    </row>
    <row r="66" spans="7:22" x14ac:dyDescent="0.2">
      <c r="G66" s="22">
        <f t="shared" si="66"/>
        <v>62</v>
      </c>
      <c r="H66" s="2" cm="1">
        <f t="array" ref="H66:J66">MMULT(H65:J65,m_trtD)</f>
        <v>1.3262779015764644E-4</v>
      </c>
      <c r="I66" s="2">
        <v>0.35864108101610448</v>
      </c>
      <c r="J66" s="2">
        <v>0.64122629119373797</v>
      </c>
      <c r="L66" s="23">
        <v>358.8466540908488</v>
      </c>
      <c r="N66" s="2">
        <v>0.26911343855223602</v>
      </c>
      <c r="P66" s="25">
        <f t="shared" si="35"/>
        <v>0.15998971629410663</v>
      </c>
      <c r="Q66" s="25">
        <f t="shared" si="36"/>
        <v>0.15998971629410663</v>
      </c>
      <c r="R66" s="25"/>
      <c r="S66" s="25">
        <f t="shared" ref="S66" si="68">4/3</f>
        <v>1.3333333333333333</v>
      </c>
      <c r="T66" s="25"/>
      <c r="U66" s="24">
        <f t="shared" si="2"/>
        <v>0.2133196217254755</v>
      </c>
      <c r="V66" s="24">
        <f t="shared" si="3"/>
        <v>0.2133196217254755</v>
      </c>
    </row>
    <row r="67" spans="7:22" x14ac:dyDescent="0.2">
      <c r="G67" s="22">
        <f t="shared" si="66"/>
        <v>63</v>
      </c>
      <c r="H67" s="2" cm="1">
        <f t="array" ref="H67:J67">MMULT(H66:J66,m_trtD)</f>
        <v>1.1484084537349502E-4</v>
      </c>
      <c r="I67" s="2">
        <v>0.35226018405128418</v>
      </c>
      <c r="J67" s="2">
        <v>0.64762497510334238</v>
      </c>
      <c r="L67" s="23">
        <v>352.43818736161307</v>
      </c>
      <c r="N67" s="2">
        <v>0.26430997888383662</v>
      </c>
      <c r="P67" s="25">
        <f t="shared" si="35"/>
        <v>0.15532982164476369</v>
      </c>
      <c r="Q67" s="25">
        <f t="shared" si="36"/>
        <v>0.15532982164476369</v>
      </c>
      <c r="R67" s="25"/>
      <c r="S67" s="25">
        <f t="shared" ref="S67" si="69">2/3</f>
        <v>0.66666666666666663</v>
      </c>
      <c r="T67" s="25"/>
      <c r="U67" s="24">
        <f t="shared" si="2"/>
        <v>0.10355321442984246</v>
      </c>
      <c r="V67" s="24">
        <f t="shared" si="3"/>
        <v>0.10355321442984246</v>
      </c>
    </row>
    <row r="68" spans="7:22" x14ac:dyDescent="0.2">
      <c r="G68" s="22">
        <f t="shared" si="66"/>
        <v>64</v>
      </c>
      <c r="H68" s="2" cm="1">
        <f t="array" ref="H68:J68">MMULT(H67:J67,m_trtD)</f>
        <v>9.9439338847633174E-5</v>
      </c>
      <c r="I68" s="2">
        <v>0.34599085059783935</v>
      </c>
      <c r="J68" s="2">
        <v>0.65390971006331311</v>
      </c>
      <c r="L68" s="23">
        <v>346.1449815730532</v>
      </c>
      <c r="N68" s="2">
        <v>0.25959257728722718</v>
      </c>
      <c r="P68" s="25">
        <f t="shared" ref="P68:P79" si="70">(1 / ((1 + (d_c)) ^ (G68)))</f>
        <v>0.15080565208229488</v>
      </c>
      <c r="Q68" s="25">
        <f t="shared" ref="Q68:Q79" si="71">(1 / ((1 + (d_e)) ^ (G68)))</f>
        <v>0.15080565208229488</v>
      </c>
      <c r="R68" s="25"/>
      <c r="S68" s="25">
        <f t="shared" ref="S68" si="72">4/3</f>
        <v>1.3333333333333333</v>
      </c>
      <c r="T68" s="25"/>
      <c r="U68" s="24">
        <f t="shared" si="2"/>
        <v>0.20107420277639315</v>
      </c>
      <c r="V68" s="24">
        <f t="shared" si="3"/>
        <v>0.20107420277639315</v>
      </c>
    </row>
    <row r="69" spans="7:22" x14ac:dyDescent="0.2">
      <c r="G69" s="22">
        <f t="shared" si="66"/>
        <v>65</v>
      </c>
      <c r="H69" s="2" cm="1">
        <f t="array" ref="H69:J69">MMULT(H68:J68,m_trtD)</f>
        <v>8.6103355285266619E-5</v>
      </c>
      <c r="I69" s="2">
        <v>0.33983139425482589</v>
      </c>
      <c r="J69" s="2">
        <v>0.66008250238988897</v>
      </c>
      <c r="L69" s="23">
        <v>339.96485445551809</v>
      </c>
      <c r="N69" s="2">
        <v>0.25495964904640467</v>
      </c>
      <c r="P69" s="25">
        <f t="shared" si="70"/>
        <v>0.14641325444882999</v>
      </c>
      <c r="Q69" s="25">
        <f t="shared" si="71"/>
        <v>0.14641325444882999</v>
      </c>
      <c r="R69" s="25"/>
      <c r="S69" s="25">
        <f t="shared" ref="S69" si="73">2/3</f>
        <v>0.66666666666666663</v>
      </c>
      <c r="T69" s="25"/>
      <c r="U69" s="24">
        <f t="shared" ref="U69:U79" si="74">P69*S69</f>
        <v>9.7608836299219986E-2</v>
      </c>
      <c r="V69" s="24">
        <f t="shared" ref="V69:V79" si="75">Q69*S69</f>
        <v>9.7608836299219986E-2</v>
      </c>
    </row>
    <row r="70" spans="7:22" x14ac:dyDescent="0.2">
      <c r="G70" s="22">
        <f t="shared" si="66"/>
        <v>66</v>
      </c>
      <c r="H70" s="2" cm="1">
        <f t="array" ref="H70:J70">MMULT(H69:J69,m_trtD)</f>
        <v>7.4555883791028554E-5</v>
      </c>
      <c r="I70" s="2">
        <v>0.33378011796489737</v>
      </c>
      <c r="J70" s="2">
        <v>0.66614532615131172</v>
      </c>
      <c r="L70" s="23">
        <v>333.89567958477346</v>
      </c>
      <c r="N70" s="2">
        <v>0.25040964435746405</v>
      </c>
      <c r="P70" s="25">
        <f t="shared" si="70"/>
        <v>0.14214879072701941</v>
      </c>
      <c r="Q70" s="25">
        <f t="shared" si="71"/>
        <v>0.14214879072701941</v>
      </c>
      <c r="R70" s="25"/>
      <c r="S70" s="25">
        <f t="shared" ref="S70" si="76">4/3</f>
        <v>1.3333333333333333</v>
      </c>
      <c r="T70" s="25"/>
      <c r="U70" s="24">
        <f t="shared" si="74"/>
        <v>0.18953172096935922</v>
      </c>
      <c r="V70" s="24">
        <f t="shared" si="75"/>
        <v>0.18953172096935922</v>
      </c>
    </row>
    <row r="71" spans="7:22" x14ac:dyDescent="0.2">
      <c r="G71" s="22">
        <f t="shared" si="66"/>
        <v>67</v>
      </c>
      <c r="H71" s="2" cm="1">
        <f t="array" ref="H71:J71">MMULT(H70:J70,m_trtD)</f>
        <v>6.455706388497149E-5</v>
      </c>
      <c r="I71" s="2">
        <v>0.32783531966812396</v>
      </c>
      <c r="J71" s="2">
        <v>0.67210012326799118</v>
      </c>
      <c r="L71" s="23">
        <v>327.9353831171457</v>
      </c>
      <c r="N71" s="2">
        <v>0.24594104681497794</v>
      </c>
      <c r="P71" s="25">
        <f t="shared" si="70"/>
        <v>0.1380085346864266</v>
      </c>
      <c r="Q71" s="25">
        <f t="shared" si="71"/>
        <v>0.1380085346864266</v>
      </c>
      <c r="R71" s="25"/>
      <c r="S71" s="25">
        <f t="shared" ref="S71" si="77">2/3</f>
        <v>0.66666666666666663</v>
      </c>
      <c r="T71" s="25"/>
      <c r="U71" s="24">
        <f t="shared" si="74"/>
        <v>9.2005689790951056E-2</v>
      </c>
      <c r="V71" s="24">
        <f t="shared" si="75"/>
        <v>9.2005689790951056E-2</v>
      </c>
    </row>
    <row r="72" spans="7:22" x14ac:dyDescent="0.2">
      <c r="G72" s="22">
        <f t="shared" si="66"/>
        <v>68</v>
      </c>
      <c r="H72" s="2" cm="1">
        <f t="array" ref="H72:J72">MMULT(H71:J71,m_trtD)</f>
        <v>5.5899203195412822E-5</v>
      </c>
      <c r="I72" s="2">
        <v>0.32199529712220437</v>
      </c>
      <c r="J72" s="2">
        <v>0.67794880367460031</v>
      </c>
      <c r="L72" s="23">
        <v>322.08194088715726</v>
      </c>
      <c r="N72" s="2">
        <v>0.24155237204484867</v>
      </c>
      <c r="P72" s="25">
        <f t="shared" si="70"/>
        <v>0.13398886862759865</v>
      </c>
      <c r="Q72" s="25">
        <f t="shared" si="71"/>
        <v>0.13398886862759865</v>
      </c>
      <c r="R72" s="25"/>
      <c r="S72" s="25">
        <f t="shared" ref="S72" si="78">4/3</f>
        <v>1.3333333333333333</v>
      </c>
      <c r="T72" s="25"/>
      <c r="U72" s="24">
        <f t="shared" si="74"/>
        <v>0.1786518248367982</v>
      </c>
      <c r="V72" s="24">
        <f t="shared" si="75"/>
        <v>0.1786518248367982</v>
      </c>
    </row>
    <row r="73" spans="7:22" x14ac:dyDescent="0.2">
      <c r="G73" s="22">
        <f t="shared" si="66"/>
        <v>69</v>
      </c>
      <c r="H73" s="2" cm="1">
        <f t="array" ref="H73:J73">MMULT(H72:J72,m_trtD)</f>
        <v>4.8402463337702504E-5</v>
      </c>
      <c r="I73" s="2">
        <v>0.31625835200221125</v>
      </c>
      <c r="J73" s="2">
        <v>0.6836932455344511</v>
      </c>
      <c r="L73" s="23">
        <v>316.33337582038473</v>
      </c>
      <c r="N73" s="2">
        <v>0.23724216646499613</v>
      </c>
      <c r="P73" s="25">
        <f t="shared" si="70"/>
        <v>0.13008628022096957</v>
      </c>
      <c r="Q73" s="25">
        <f t="shared" si="71"/>
        <v>0.13008628022096957</v>
      </c>
      <c r="R73" s="25"/>
      <c r="S73" s="25">
        <f t="shared" ref="S73" si="79">2/3</f>
        <v>0.66666666666666663</v>
      </c>
      <c r="T73" s="25"/>
      <c r="U73" s="24">
        <f t="shared" si="74"/>
        <v>8.6724186813979712E-2</v>
      </c>
      <c r="V73" s="24">
        <f t="shared" si="75"/>
        <v>8.6724186813979712E-2</v>
      </c>
    </row>
    <row r="74" spans="7:22" x14ac:dyDescent="0.2">
      <c r="G74" s="22">
        <f t="shared" si="66"/>
        <v>70</v>
      </c>
      <c r="H74" s="2" cm="1">
        <f t="array" ref="H74:J74">MMULT(H73:J73,m_trtD)</f>
        <v>4.1911124367330676E-5</v>
      </c>
      <c r="I74" s="2">
        <v>0.31062279337781351</v>
      </c>
      <c r="J74" s="2">
        <v>0.68933529549781913</v>
      </c>
      <c r="L74" s="23">
        <v>310.68775562058289</v>
      </c>
      <c r="N74" s="2">
        <v>0.23300900615772746</v>
      </c>
      <c r="P74" s="25">
        <f t="shared" si="70"/>
        <v>0.12629735943783454</v>
      </c>
      <c r="Q74" s="25">
        <f t="shared" si="71"/>
        <v>0.12629735943783454</v>
      </c>
      <c r="R74" s="25"/>
      <c r="S74" s="25">
        <f t="shared" ref="S74" si="80">4/3</f>
        <v>1.3333333333333333</v>
      </c>
      <c r="T74" s="25"/>
      <c r="U74" s="24">
        <f t="shared" si="74"/>
        <v>0.16839647925044604</v>
      </c>
      <c r="V74" s="24">
        <f t="shared" si="75"/>
        <v>0.16839647925044604</v>
      </c>
    </row>
    <row r="75" spans="7:22" x14ac:dyDescent="0.2">
      <c r="G75" s="22">
        <f t="shared" si="66"/>
        <v>71</v>
      </c>
      <c r="H75" s="2" cm="1">
        <f t="array" ref="H75:J75">MMULT(H74:J74,m_trtD)</f>
        <v>3.6290350213759102E-5</v>
      </c>
      <c r="I75" s="2">
        <v>0.30508694065276065</v>
      </c>
      <c r="J75" s="2">
        <v>0.69487676899702555</v>
      </c>
      <c r="L75" s="23">
        <v>305.14319069559195</v>
      </c>
      <c r="N75" s="2">
        <v>0.22885149583978426</v>
      </c>
      <c r="P75" s="25">
        <f t="shared" si="70"/>
        <v>0.12261879557071313</v>
      </c>
      <c r="Q75" s="25">
        <f t="shared" si="71"/>
        <v>0.12261879557071313</v>
      </c>
      <c r="R75" s="25"/>
      <c r="S75" s="25">
        <f t="shared" ref="S75" si="81">2/3</f>
        <v>0.66666666666666663</v>
      </c>
      <c r="T75" s="25"/>
      <c r="U75" s="24">
        <f t="shared" si="74"/>
        <v>8.174586371380875E-2</v>
      </c>
      <c r="V75" s="24">
        <f t="shared" si="75"/>
        <v>8.174586371380875E-2</v>
      </c>
    </row>
    <row r="76" spans="7:22" x14ac:dyDescent="0.2">
      <c r="G76" s="22">
        <f t="shared" si="66"/>
        <v>72</v>
      </c>
      <c r="H76" s="2" cm="1">
        <f t="array" ref="H76:J76">MMULT(H75:J75,m_trtD)</f>
        <v>3.1423387907575826E-5</v>
      </c>
      <c r="I76" s="2">
        <v>0.29964912604001886</v>
      </c>
      <c r="J76" s="2">
        <v>0.70031945057207345</v>
      </c>
      <c r="L76" s="23">
        <v>299.69783229127563</v>
      </c>
      <c r="N76" s="2">
        <v>0.2247682679179217</v>
      </c>
      <c r="P76" s="25">
        <f t="shared" si="70"/>
        <v>0.1190473743404982</v>
      </c>
      <c r="Q76" s="25">
        <f t="shared" si="71"/>
        <v>0.1190473743404982</v>
      </c>
      <c r="R76" s="25"/>
      <c r="S76" s="25">
        <f t="shared" ref="S76" si="82">4/3</f>
        <v>1.3333333333333333</v>
      </c>
      <c r="T76" s="25"/>
      <c r="U76" s="24">
        <f t="shared" si="74"/>
        <v>0.15872983245399758</v>
      </c>
      <c r="V76" s="24">
        <f t="shared" si="75"/>
        <v>0.15872983245399758</v>
      </c>
    </row>
    <row r="77" spans="7:22" x14ac:dyDescent="0.2">
      <c r="G77" s="22">
        <f t="shared" si="66"/>
        <v>73</v>
      </c>
      <c r="H77" s="2" cm="1">
        <f t="array" ref="H77:J77">MMULT(H76:J76,m_trtD)</f>
        <v>2.7209142424192126E-5</v>
      </c>
      <c r="I77" s="2">
        <v>0.29430769663608547</v>
      </c>
      <c r="J77" s="2">
        <v>0.70566509422149026</v>
      </c>
      <c r="L77" s="23">
        <v>294.349870806843</v>
      </c>
      <c r="N77" s="2">
        <v>0.22075798161948829</v>
      </c>
      <c r="P77" s="25">
        <f t="shared" si="70"/>
        <v>0.11557997508786232</v>
      </c>
      <c r="Q77" s="25">
        <f t="shared" si="71"/>
        <v>0.11557997508786232</v>
      </c>
      <c r="R77" s="25"/>
      <c r="S77" s="25">
        <f t="shared" ref="S77" si="83">2/3</f>
        <v>0.66666666666666663</v>
      </c>
      <c r="T77" s="25"/>
      <c r="U77" s="24">
        <f t="shared" si="74"/>
        <v>7.7053316725241544E-2</v>
      </c>
      <c r="V77" s="24">
        <f t="shared" si="75"/>
        <v>7.7053316725241544E-2</v>
      </c>
    </row>
    <row r="78" spans="7:22" x14ac:dyDescent="0.2">
      <c r="G78" s="22">
        <f t="shared" si="66"/>
        <v>74</v>
      </c>
      <c r="H78" s="2" cm="1">
        <f t="array" ref="H78:J78">MMULT(H77:J77,m_trtD)</f>
        <v>2.3560076769490689E-5</v>
      </c>
      <c r="I78" s="2">
        <v>0.28906101614946456</v>
      </c>
      <c r="J78" s="2">
        <v>0.71091542377376593</v>
      </c>
      <c r="L78" s="23">
        <v>289.09753426845725</v>
      </c>
      <c r="N78" s="2">
        <v>0.2168193221888679</v>
      </c>
      <c r="P78" s="25">
        <f t="shared" si="70"/>
        <v>0.11221356804646829</v>
      </c>
      <c r="Q78" s="25">
        <f t="shared" si="71"/>
        <v>0.11221356804646829</v>
      </c>
      <c r="R78" s="25"/>
      <c r="S78" s="25">
        <f t="shared" ref="S78" si="84">4/3</f>
        <v>1.3333333333333333</v>
      </c>
      <c r="T78" s="25"/>
      <c r="U78" s="24">
        <f t="shared" si="74"/>
        <v>0.14961809072862436</v>
      </c>
      <c r="V78" s="24">
        <f t="shared" si="75"/>
        <v>0.14961809072862436</v>
      </c>
    </row>
    <row r="79" spans="7:22" x14ac:dyDescent="0.2">
      <c r="G79" s="22">
        <f t="shared" si="66"/>
        <v>75</v>
      </c>
      <c r="H79" s="2" cm="1">
        <f t="array" ref="H79:J79">MMULT(H78:J78,m_trtD)</f>
        <v>2.0400393688658335E-5</v>
      </c>
      <c r="I79" s="2">
        <v>0.28390746633089192</v>
      </c>
      <c r="J79" s="2">
        <v>0.71607213327541941</v>
      </c>
      <c r="L79" s="23">
        <v>283.93908694110934</v>
      </c>
      <c r="N79" s="2">
        <v>0.21295100014185761</v>
      </c>
      <c r="P79" s="25">
        <f t="shared" si="70"/>
        <v>0.10894521169560026</v>
      </c>
      <c r="Q79" s="25">
        <f t="shared" si="71"/>
        <v>0.10894521169560026</v>
      </c>
      <c r="R79" s="25"/>
      <c r="S79" s="25">
        <f>1/3</f>
        <v>0.33333333333333331</v>
      </c>
      <c r="T79" s="26"/>
      <c r="U79" s="24">
        <f t="shared" si="74"/>
        <v>3.6315070565200086E-2</v>
      </c>
      <c r="V79" s="24">
        <f t="shared" si="75"/>
        <v>3.6315070565200086E-2</v>
      </c>
    </row>
  </sheetData>
  <mergeCells count="2">
    <mergeCell ref="G1:J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FC71-5EFB-6945-9D74-D030AB1980C1}">
  <dimension ref="A1:Y79"/>
  <sheetViews>
    <sheetView zoomScale="193" zoomScaleNormal="193" workbookViewId="0">
      <selection activeCell="S6" sqref="S6"/>
    </sheetView>
  </sheetViews>
  <sheetFormatPr baseColWidth="10" defaultRowHeight="16" x14ac:dyDescent="0.2"/>
  <cols>
    <col min="1" max="1" width="6.33203125" style="2" customWidth="1"/>
    <col min="2" max="6" width="10.83203125" style="2"/>
    <col min="7" max="7" width="10.83203125" style="22"/>
    <col min="8" max="10" width="10.83203125" style="2"/>
    <col min="11" max="11" width="1.83203125" style="2" customWidth="1"/>
    <col min="12" max="12" width="10.83203125" style="2"/>
    <col min="13" max="13" width="2.83203125" style="2" customWidth="1"/>
    <col min="14" max="14" width="10.83203125" style="2"/>
    <col min="15" max="15" width="2.83203125" style="2" customWidth="1"/>
    <col min="16" max="17" width="10.83203125" style="2"/>
    <col min="18" max="18" width="2.33203125" style="2" customWidth="1"/>
    <col min="19" max="19" width="10.83203125" style="2"/>
    <col min="20" max="20" width="2.6640625" style="2" customWidth="1"/>
    <col min="21" max="22" width="10.83203125" style="2"/>
    <col min="23" max="23" width="2.5" style="2" customWidth="1"/>
    <col min="24" max="24" width="15.83203125" style="2" customWidth="1"/>
    <col min="25" max="16384" width="10.83203125" style="2"/>
  </cols>
  <sheetData>
    <row r="1" spans="1:25" ht="51" x14ac:dyDescent="0.2">
      <c r="G1" s="81" t="s">
        <v>71</v>
      </c>
      <c r="H1" s="81"/>
      <c r="I1" s="81"/>
      <c r="J1" s="81"/>
      <c r="K1" s="12"/>
      <c r="L1" s="13" t="s">
        <v>72</v>
      </c>
      <c r="M1" s="14"/>
      <c r="N1" s="13" t="s">
        <v>73</v>
      </c>
      <c r="O1" s="15"/>
      <c r="P1" s="81" t="s">
        <v>74</v>
      </c>
      <c r="Q1" s="81"/>
      <c r="R1" s="12"/>
      <c r="S1" s="13" t="s">
        <v>75</v>
      </c>
      <c r="T1" s="15"/>
      <c r="U1" s="13" t="s">
        <v>76</v>
      </c>
      <c r="V1" s="13" t="s">
        <v>77</v>
      </c>
      <c r="W1" s="14"/>
    </row>
    <row r="2" spans="1:25" x14ac:dyDescent="0.2">
      <c r="G2" s="16"/>
      <c r="H2" s="16"/>
      <c r="I2" s="16"/>
      <c r="J2" s="16"/>
      <c r="K2" s="16"/>
      <c r="X2" s="11" t="s">
        <v>78</v>
      </c>
      <c r="Y2" s="2" cm="1">
        <f t="array" ref="Y2">MMULT(TRANSPOSE(w_c_trtE),tot_cost_trtE)</f>
        <v>43331.75116277334</v>
      </c>
    </row>
    <row r="3" spans="1:25" ht="17" thickBot="1" x14ac:dyDescent="0.25">
      <c r="G3" s="18" t="s">
        <v>81</v>
      </c>
      <c r="H3" s="17" t="s">
        <v>51</v>
      </c>
      <c r="I3" s="17" t="s">
        <v>56</v>
      </c>
      <c r="J3" s="17" t="s">
        <v>60</v>
      </c>
      <c r="K3" s="11"/>
      <c r="L3" s="17" t="s">
        <v>216</v>
      </c>
      <c r="N3" s="17" t="s">
        <v>217</v>
      </c>
      <c r="P3" s="17" t="s">
        <v>218</v>
      </c>
      <c r="Q3" s="17" t="s">
        <v>219</v>
      </c>
      <c r="R3" s="11"/>
      <c r="S3" s="17" t="s">
        <v>220</v>
      </c>
      <c r="T3" s="11"/>
      <c r="U3" s="72" t="s">
        <v>221</v>
      </c>
      <c r="V3" s="72" t="s">
        <v>222</v>
      </c>
      <c r="X3" s="11" t="s">
        <v>84</v>
      </c>
      <c r="Y3" s="2" cm="1">
        <f t="array" ref="Y3">MMULT(TRANSPOSE(w_e_trtE),tot_qaly_trtE)</f>
        <v>17.491260092821058</v>
      </c>
    </row>
    <row r="4" spans="1:25" x14ac:dyDescent="0.2">
      <c r="A4" s="11" t="s">
        <v>85</v>
      </c>
      <c r="G4" s="22">
        <v>0</v>
      </c>
      <c r="H4" s="2">
        <v>1</v>
      </c>
      <c r="I4" s="2">
        <v>0</v>
      </c>
      <c r="J4" s="2">
        <v>0</v>
      </c>
      <c r="L4" s="23" cm="1">
        <f t="array" ref="L4:L79">MMULT(H4:J79,D6:D8)</f>
        <v>5000</v>
      </c>
      <c r="N4" s="2" cm="1">
        <f t="array" ref="N4:N79">MMULT(H4:J79,E6:E8)</f>
        <v>1</v>
      </c>
      <c r="P4" s="25">
        <f t="shared" ref="P4:P35" si="0">(1 / ((1 + (d_c)) ^ (G4)))</f>
        <v>1</v>
      </c>
      <c r="Q4" s="25">
        <f t="shared" ref="Q4:Q35" si="1">(1 / ((1 + (d_e)) ^ (G4)))</f>
        <v>1</v>
      </c>
      <c r="R4" s="25"/>
      <c r="S4" s="26">
        <f>1/3</f>
        <v>0.33333333333333331</v>
      </c>
      <c r="T4" s="26"/>
      <c r="U4" s="24">
        <f>P4*S4</f>
        <v>0.33333333333333331</v>
      </c>
      <c r="V4" s="24">
        <f>Q4*S4</f>
        <v>0.33333333333333331</v>
      </c>
    </row>
    <row r="5" spans="1:25" ht="17" thickBot="1" x14ac:dyDescent="0.25">
      <c r="B5" s="17" t="s">
        <v>79</v>
      </c>
      <c r="C5" s="17" t="s">
        <v>80</v>
      </c>
      <c r="D5" s="17" t="s">
        <v>86</v>
      </c>
      <c r="E5" s="17" t="s">
        <v>87</v>
      </c>
      <c r="G5" s="22">
        <f>G4+1</f>
        <v>1</v>
      </c>
      <c r="H5" s="2" cm="1">
        <f t="array" ref="H5:J5">MMULT(H4:J4,m_trtE)</f>
        <v>0.86588825190400009</v>
      </c>
      <c r="I5" s="2">
        <v>0.12734637861000001</v>
      </c>
      <c r="J5" s="2">
        <v>6.765369486E-3</v>
      </c>
      <c r="L5" s="23">
        <v>4456.7876381300002</v>
      </c>
      <c r="N5" s="2">
        <v>0.96139803586150008</v>
      </c>
      <c r="P5" s="25">
        <f t="shared" si="0"/>
        <v>0.970873786407767</v>
      </c>
      <c r="Q5" s="25">
        <f t="shared" si="1"/>
        <v>0.970873786407767</v>
      </c>
      <c r="R5" s="25"/>
      <c r="S5" s="25">
        <f>2/3</f>
        <v>0.66666666666666663</v>
      </c>
      <c r="T5" s="25"/>
      <c r="U5" s="24">
        <f t="shared" ref="U5:U68" si="2">P5*S5</f>
        <v>0.6472491909385113</v>
      </c>
      <c r="V5" s="24">
        <f t="shared" ref="V5:V68" si="3">Q5*S5</f>
        <v>0.6472491909385113</v>
      </c>
    </row>
    <row r="6" spans="1:25" x14ac:dyDescent="0.2">
      <c r="B6" s="19" t="s">
        <v>183</v>
      </c>
      <c r="C6" s="19" t="s">
        <v>51</v>
      </c>
      <c r="D6" s="19">
        <f>c_H_trtE</f>
        <v>5000</v>
      </c>
      <c r="E6" s="19">
        <f>u_H_trtE</f>
        <v>1</v>
      </c>
      <c r="G6" s="22">
        <f t="shared" ref="G6:G7" si="4">G5+1</f>
        <v>2</v>
      </c>
      <c r="H6" s="2" cm="1">
        <f t="array" ref="H6:J6">MMULT(H5:J5,m_trtE)</f>
        <v>0.74976246478536512</v>
      </c>
      <c r="I6" s="2">
        <v>0.23534238384560574</v>
      </c>
      <c r="J6" s="2">
        <v>1.4895151369029334E-2</v>
      </c>
      <c r="L6" s="23">
        <v>3984.1547077724313</v>
      </c>
      <c r="N6" s="2">
        <v>0.9262692526695695</v>
      </c>
      <c r="P6" s="25">
        <f t="shared" si="0"/>
        <v>0.94259590913375435</v>
      </c>
      <c r="Q6" s="25">
        <f t="shared" si="1"/>
        <v>0.94259590913375435</v>
      </c>
      <c r="R6" s="25"/>
      <c r="S6" s="25">
        <f>4/3</f>
        <v>1.3333333333333333</v>
      </c>
      <c r="T6" s="25"/>
      <c r="U6" s="24">
        <f t="shared" si="2"/>
        <v>1.2567945455116725</v>
      </c>
      <c r="V6" s="24">
        <f t="shared" si="3"/>
        <v>1.2567945455116725</v>
      </c>
    </row>
    <row r="7" spans="1:25" x14ac:dyDescent="0.2">
      <c r="B7" s="27" t="s">
        <v>183</v>
      </c>
      <c r="C7" s="27" t="s">
        <v>56</v>
      </c>
      <c r="D7" s="27">
        <f>c_S_trtE</f>
        <v>1000</v>
      </c>
      <c r="E7" s="27">
        <f>u_S_trtE</f>
        <v>0.75</v>
      </c>
      <c r="G7" s="22">
        <f t="shared" si="4"/>
        <v>3</v>
      </c>
      <c r="H7" s="2" cm="1">
        <f t="array" ref="H7:J7">MMULT(H6:J6,m_trtE)</f>
        <v>0.6492105099762342</v>
      </c>
      <c r="I7" s="2">
        <v>0.32662365338728222</v>
      </c>
      <c r="J7" s="2">
        <v>2.416583663648382E-2</v>
      </c>
      <c r="L7" s="23">
        <v>3572.6762032684528</v>
      </c>
      <c r="N7" s="2">
        <v>0.89417825001669593</v>
      </c>
      <c r="P7" s="25">
        <f t="shared" si="0"/>
        <v>0.91514165935315961</v>
      </c>
      <c r="Q7" s="25">
        <f t="shared" si="1"/>
        <v>0.91514165935315961</v>
      </c>
      <c r="R7" s="25"/>
      <c r="S7" s="25">
        <f t="shared" ref="S7" si="5">2/3</f>
        <v>0.66666666666666663</v>
      </c>
      <c r="T7" s="25"/>
      <c r="U7" s="24">
        <f t="shared" si="2"/>
        <v>0.61009443956877307</v>
      </c>
      <c r="V7" s="24">
        <f t="shared" si="3"/>
        <v>0.61009443956877307</v>
      </c>
    </row>
    <row r="8" spans="1:25" x14ac:dyDescent="0.2">
      <c r="B8" s="27" t="s">
        <v>183</v>
      </c>
      <c r="C8" s="27" t="s">
        <v>60</v>
      </c>
      <c r="D8" s="27">
        <f>c_D_trtE</f>
        <v>0</v>
      </c>
      <c r="E8" s="27">
        <f>u_D_trtE</f>
        <v>0</v>
      </c>
      <c r="G8" s="22">
        <f>G7+1</f>
        <v>4</v>
      </c>
      <c r="H8" s="2" cm="1">
        <f t="array" ref="H8:J8">MMULT(H7:J7,m_trtE)</f>
        <v>0.56214375360102586</v>
      </c>
      <c r="I8" s="2">
        <v>0.40347163200964536</v>
      </c>
      <c r="J8" s="2">
        <v>3.4384614389329105E-2</v>
      </c>
      <c r="L8" s="23">
        <v>3214.1904000147747</v>
      </c>
      <c r="N8" s="2">
        <v>0.86474747760825987</v>
      </c>
      <c r="P8" s="25">
        <f t="shared" si="0"/>
        <v>0.888487047915689</v>
      </c>
      <c r="Q8" s="25">
        <f t="shared" si="1"/>
        <v>0.888487047915689</v>
      </c>
      <c r="R8" s="25"/>
      <c r="S8" s="25">
        <f t="shared" ref="S8" si="6">4/3</f>
        <v>1.3333333333333333</v>
      </c>
      <c r="T8" s="25"/>
      <c r="U8" s="24">
        <f t="shared" si="2"/>
        <v>1.1846493972209187</v>
      </c>
      <c r="V8" s="24">
        <f t="shared" si="3"/>
        <v>1.1846493972209187</v>
      </c>
    </row>
    <row r="9" spans="1:25" x14ac:dyDescent="0.2">
      <c r="B9" s="2" t="s">
        <v>183</v>
      </c>
      <c r="G9" s="22">
        <f>G8+1</f>
        <v>5</v>
      </c>
      <c r="H9" s="2" cm="1">
        <f t="array" ref="H9:J9">MMULT(H8:J8,m_trtE)</f>
        <v>0.48675367212434523</v>
      </c>
      <c r="I9" s="2">
        <v>0.46786108590753872</v>
      </c>
      <c r="J9" s="2">
        <v>4.5385241968116441E-2</v>
      </c>
      <c r="L9" s="23">
        <v>2901.6294465292649</v>
      </c>
      <c r="N9" s="2">
        <v>0.83764948655499927</v>
      </c>
      <c r="P9" s="25">
        <f t="shared" si="0"/>
        <v>0.86260878438416411</v>
      </c>
      <c r="Q9" s="25">
        <f t="shared" si="1"/>
        <v>0.86260878438416411</v>
      </c>
      <c r="R9" s="25"/>
      <c r="S9" s="25">
        <f t="shared" ref="S9" si="7">2/3</f>
        <v>0.66666666666666663</v>
      </c>
      <c r="T9" s="25"/>
      <c r="U9" s="24">
        <f t="shared" si="2"/>
        <v>0.575072522922776</v>
      </c>
      <c r="V9" s="24">
        <f t="shared" si="3"/>
        <v>0.575072522922776</v>
      </c>
    </row>
    <row r="10" spans="1:25" x14ac:dyDescent="0.2">
      <c r="G10" s="22">
        <f t="shared" ref="G10:G62" si="8">G9+1</f>
        <v>6</v>
      </c>
      <c r="H10" s="2" cm="1">
        <f t="array" ref="H10:J10">MMULT(H9:J9,m_trtE)</f>
        <v>0.42147428626360212</v>
      </c>
      <c r="I10" s="2">
        <v>0.52150124456272362</v>
      </c>
      <c r="J10" s="2">
        <v>5.7024469173674722E-2</v>
      </c>
      <c r="L10" s="23">
        <v>2628.8726758807343</v>
      </c>
      <c r="N10" s="2">
        <v>0.81260021968564478</v>
      </c>
      <c r="P10" s="25">
        <f t="shared" si="0"/>
        <v>0.83748425668365445</v>
      </c>
      <c r="Q10" s="25">
        <f t="shared" si="1"/>
        <v>0.83748425668365445</v>
      </c>
      <c r="R10" s="25"/>
      <c r="S10" s="25">
        <f t="shared" ref="S10" si="9">4/3</f>
        <v>1.3333333333333333</v>
      </c>
      <c r="T10" s="25"/>
      <c r="U10" s="24">
        <f t="shared" si="2"/>
        <v>1.1166456755782059</v>
      </c>
      <c r="V10" s="24">
        <f t="shared" si="3"/>
        <v>1.1166456755782059</v>
      </c>
    </row>
    <row r="11" spans="1:25" x14ac:dyDescent="0.2">
      <c r="G11" s="22">
        <f t="shared" si="8"/>
        <v>7</v>
      </c>
      <c r="H11" s="2" cm="1">
        <f t="array" ref="H11:J11">MMULT(H10:J10,m_trtE)</f>
        <v>0.36494963295527655</v>
      </c>
      <c r="I11" s="2">
        <v>0.56587142477695462</v>
      </c>
      <c r="J11" s="2">
        <v>6.9178942267769258E-2</v>
      </c>
      <c r="L11" s="23">
        <v>2390.6195895533374</v>
      </c>
      <c r="N11" s="2">
        <v>0.78935320153799249</v>
      </c>
      <c r="P11" s="25">
        <f t="shared" si="0"/>
        <v>0.81309151134335378</v>
      </c>
      <c r="Q11" s="25">
        <f t="shared" si="1"/>
        <v>0.81309151134335378</v>
      </c>
      <c r="R11" s="25"/>
      <c r="S11" s="25">
        <f t="shared" ref="S11" si="10">2/3</f>
        <v>0.66666666666666663</v>
      </c>
      <c r="T11" s="25"/>
      <c r="U11" s="24">
        <f t="shared" si="2"/>
        <v>0.54206100756223585</v>
      </c>
      <c r="V11" s="24">
        <f t="shared" si="3"/>
        <v>0.54206100756223585</v>
      </c>
    </row>
    <row r="12" spans="1:25" x14ac:dyDescent="0.2">
      <c r="G12" s="22">
        <f t="shared" si="8"/>
        <v>8</v>
      </c>
      <c r="H12" s="2" cm="1">
        <f t="array" ref="H12:J12">MMULT(H11:J11,m_trtE)</f>
        <v>0.31600559971265085</v>
      </c>
      <c r="I12" s="2">
        <v>0.60225187688178317</v>
      </c>
      <c r="J12" s="2">
        <v>8.174252340556637E-2</v>
      </c>
      <c r="L12" s="23">
        <v>2182.2798754450373</v>
      </c>
      <c r="N12" s="2">
        <v>0.76769450737398826</v>
      </c>
      <c r="P12" s="25">
        <f t="shared" si="0"/>
        <v>0.78940923431393573</v>
      </c>
      <c r="Q12" s="25">
        <f t="shared" si="1"/>
        <v>0.78940923431393573</v>
      </c>
      <c r="R12" s="25"/>
      <c r="S12" s="25">
        <f t="shared" ref="S12" si="11">4/3</f>
        <v>1.3333333333333333</v>
      </c>
      <c r="T12" s="25"/>
      <c r="U12" s="24">
        <f t="shared" si="2"/>
        <v>1.0525456457519142</v>
      </c>
      <c r="V12" s="24">
        <f t="shared" si="3"/>
        <v>1.0525456457519142</v>
      </c>
    </row>
    <row r="13" spans="1:25" x14ac:dyDescent="0.2">
      <c r="G13" s="22">
        <f t="shared" si="8"/>
        <v>9</v>
      </c>
      <c r="H13" s="2" cm="1">
        <f t="array" ref="H13:J13">MMULT(H12:J12,m_trtE)</f>
        <v>0.27362553632706244</v>
      </c>
      <c r="I13" s="2">
        <v>0.63175049389127858</v>
      </c>
      <c r="J13" s="2">
        <v>9.4623969781659337E-2</v>
      </c>
      <c r="L13" s="23">
        <v>1999.8781755265909</v>
      </c>
      <c r="N13" s="2">
        <v>0.74743840674552131</v>
      </c>
      <c r="P13" s="25">
        <f t="shared" si="0"/>
        <v>0.76641673234362695</v>
      </c>
      <c r="Q13" s="25">
        <f t="shared" si="1"/>
        <v>0.76641673234362695</v>
      </c>
      <c r="R13" s="25"/>
      <c r="S13" s="25">
        <f t="shared" ref="S13" si="12">2/3</f>
        <v>0.66666666666666663</v>
      </c>
      <c r="T13" s="25"/>
      <c r="U13" s="24">
        <f t="shared" si="2"/>
        <v>0.51094448822908456</v>
      </c>
      <c r="V13" s="24">
        <f t="shared" si="3"/>
        <v>0.51094448822908456</v>
      </c>
    </row>
    <row r="14" spans="1:25" x14ac:dyDescent="0.2">
      <c r="G14" s="22">
        <f t="shared" si="8"/>
        <v>10</v>
      </c>
      <c r="H14" s="2" cm="1">
        <f t="array" ref="H14:J14">MMULT(H13:J13,m_trtE)</f>
        <v>0.23692913732653456</v>
      </c>
      <c r="I14" s="2">
        <v>0.65532593842951292</v>
      </c>
      <c r="J14" s="2">
        <v>0.10774492424395286</v>
      </c>
      <c r="L14" s="23">
        <v>1839.9716250621857</v>
      </c>
      <c r="N14" s="2">
        <v>0.72842359114866928</v>
      </c>
      <c r="P14" s="25">
        <f t="shared" si="0"/>
        <v>0.74409391489672516</v>
      </c>
      <c r="Q14" s="25">
        <f t="shared" si="1"/>
        <v>0.74409391489672516</v>
      </c>
      <c r="R14" s="25"/>
      <c r="S14" s="25">
        <f t="shared" ref="S14" si="13">4/3</f>
        <v>1.3333333333333333</v>
      </c>
      <c r="T14" s="25"/>
      <c r="U14" s="24">
        <f t="shared" si="2"/>
        <v>0.99212521986230018</v>
      </c>
      <c r="V14" s="24">
        <f t="shared" si="3"/>
        <v>0.99212521986230018</v>
      </c>
    </row>
    <row r="15" spans="1:25" x14ac:dyDescent="0.2">
      <c r="G15" s="22">
        <f t="shared" si="8"/>
        <v>11</v>
      </c>
      <c r="H15" s="2" cm="1">
        <f t="array" ref="H15:J15">MMULT(H14:J14,m_trtE)</f>
        <v>0.2051541565447958</v>
      </c>
      <c r="I15" s="2">
        <v>0.67380766785511637</v>
      </c>
      <c r="J15" s="2">
        <v>0.12103817560008825</v>
      </c>
      <c r="L15" s="23">
        <v>1699.5784505790953</v>
      </c>
      <c r="N15" s="2">
        <v>0.71050990743613318</v>
      </c>
      <c r="P15" s="25">
        <f t="shared" si="0"/>
        <v>0.72242127659876232</v>
      </c>
      <c r="Q15" s="25">
        <f t="shared" si="1"/>
        <v>0.72242127659876232</v>
      </c>
      <c r="R15" s="25"/>
      <c r="S15" s="25">
        <f t="shared" ref="S15" si="14">2/3</f>
        <v>0.66666666666666663</v>
      </c>
      <c r="T15" s="25"/>
      <c r="U15" s="24">
        <f t="shared" si="2"/>
        <v>0.48161418439917486</v>
      </c>
      <c r="V15" s="24">
        <f t="shared" si="3"/>
        <v>0.48161418439917486</v>
      </c>
    </row>
    <row r="16" spans="1:25" x14ac:dyDescent="0.2">
      <c r="G16" s="22">
        <f t="shared" si="8"/>
        <v>12</v>
      </c>
      <c r="H16" s="2" cm="1">
        <f t="array" ref="H16:J16">MMULT(H15:J15,m_trtE)</f>
        <v>0.17764057398141281</v>
      </c>
      <c r="I16" s="2">
        <v>0.68791327357486709</v>
      </c>
      <c r="J16" s="2">
        <v>0.13444615244372046</v>
      </c>
      <c r="L16" s="23">
        <v>1576.116143481931</v>
      </c>
      <c r="N16" s="2">
        <v>0.69357552916256315</v>
      </c>
      <c r="P16" s="25">
        <f t="shared" si="0"/>
        <v>0.70137988019297326</v>
      </c>
      <c r="Q16" s="25">
        <f t="shared" si="1"/>
        <v>0.70137988019297326</v>
      </c>
      <c r="R16" s="25"/>
      <c r="S16" s="25">
        <f t="shared" ref="S16" si="15">4/3</f>
        <v>1.3333333333333333</v>
      </c>
      <c r="T16" s="25"/>
      <c r="U16" s="24">
        <f t="shared" si="2"/>
        <v>0.93517317359063101</v>
      </c>
      <c r="V16" s="24">
        <f t="shared" si="3"/>
        <v>0.93517317359063101</v>
      </c>
    </row>
    <row r="17" spans="7:22" x14ac:dyDescent="0.2">
      <c r="G17" s="22">
        <f t="shared" si="8"/>
        <v>13</v>
      </c>
      <c r="H17" s="2" cm="1">
        <f t="array" ref="H17:J17">MMULT(H16:J16,m_trtE)</f>
        <v>0.15381688607198873</v>
      </c>
      <c r="I17" s="2">
        <v>0.698263494748804</v>
      </c>
      <c r="J17" s="2">
        <v>0.14791961917920757</v>
      </c>
      <c r="L17" s="23">
        <v>1467.3479251087476</v>
      </c>
      <c r="N17" s="2">
        <v>0.67751450713359174</v>
      </c>
      <c r="P17" s="25">
        <f t="shared" si="0"/>
        <v>0.68095133999317792</v>
      </c>
      <c r="Q17" s="25">
        <f t="shared" si="1"/>
        <v>0.68095133999317792</v>
      </c>
      <c r="R17" s="25"/>
      <c r="S17" s="25">
        <f t="shared" ref="S17" si="16">2/3</f>
        <v>0.66666666666666663</v>
      </c>
      <c r="T17" s="25"/>
      <c r="U17" s="24">
        <f t="shared" si="2"/>
        <v>0.45396755999545191</v>
      </c>
      <c r="V17" s="24">
        <f t="shared" si="3"/>
        <v>0.45396755999545191</v>
      </c>
    </row>
    <row r="18" spans="7:22" x14ac:dyDescent="0.2">
      <c r="G18" s="22">
        <f t="shared" si="8"/>
        <v>14</v>
      </c>
      <c r="H18" s="2" cm="1">
        <f t="array" ref="H18:J18">MMULT(H17:J17,m_trtE)</f>
        <v>0.13318823459419107</v>
      </c>
      <c r="I18" s="2">
        <v>0.70539521828189722</v>
      </c>
      <c r="J18" s="2">
        <v>0.16141654712391207</v>
      </c>
      <c r="L18" s="23">
        <v>1371.3363912528525</v>
      </c>
      <c r="N18" s="2">
        <v>0.66223464830561396</v>
      </c>
      <c r="P18" s="25">
        <f t="shared" si="0"/>
        <v>0.66111780581861923</v>
      </c>
      <c r="Q18" s="25">
        <f t="shared" si="1"/>
        <v>0.66111780581861923</v>
      </c>
      <c r="R18" s="25"/>
      <c r="S18" s="25">
        <f t="shared" ref="S18" si="17">4/3</f>
        <v>1.3333333333333333</v>
      </c>
      <c r="T18" s="25"/>
      <c r="U18" s="24">
        <f t="shared" si="2"/>
        <v>0.8814904077581589</v>
      </c>
      <c r="V18" s="24">
        <f t="shared" si="3"/>
        <v>0.8814904077581589</v>
      </c>
    </row>
    <row r="19" spans="7:22" x14ac:dyDescent="0.2">
      <c r="G19" s="22">
        <f t="shared" si="8"/>
        <v>15</v>
      </c>
      <c r="H19" s="2" cm="1">
        <f t="array" ref="H19:J19">MMULT(H18:J18,m_trtE)</f>
        <v>0.11532612762694398</v>
      </c>
      <c r="I19" s="2">
        <v>0.70977273516846062</v>
      </c>
      <c r="J19" s="2">
        <v>0.1749011372045958</v>
      </c>
      <c r="L19" s="23">
        <v>1286.4033733031806</v>
      </c>
      <c r="N19" s="2">
        <v>0.64765567900328946</v>
      </c>
      <c r="P19" s="25">
        <f t="shared" si="0"/>
        <v>0.64186194739671765</v>
      </c>
      <c r="Q19" s="25">
        <f t="shared" si="1"/>
        <v>0.64186194739671765</v>
      </c>
      <c r="R19" s="25"/>
      <c r="S19" s="25">
        <f t="shared" ref="S19" si="18">2/3</f>
        <v>0.66666666666666663</v>
      </c>
      <c r="T19" s="25"/>
      <c r="U19" s="24">
        <f t="shared" si="2"/>
        <v>0.42790796493114508</v>
      </c>
      <c r="V19" s="24">
        <f t="shared" si="3"/>
        <v>0.42790796493114508</v>
      </c>
    </row>
    <row r="20" spans="7:22" x14ac:dyDescent="0.2">
      <c r="G20" s="22">
        <f t="shared" si="8"/>
        <v>16</v>
      </c>
      <c r="H20" s="2" cm="1">
        <f t="array" ref="H20:J20">MMULT(H19:J19,m_trtE)</f>
        <v>9.985953904975213E-2</v>
      </c>
      <c r="I20" s="2">
        <v>0.71179748703637902</v>
      </c>
      <c r="J20" s="2">
        <v>0.18834297391386931</v>
      </c>
      <c r="L20" s="23">
        <v>1211.0951822851398</v>
      </c>
      <c r="N20" s="2">
        <v>0.63370765432703635</v>
      </c>
      <c r="P20" s="25">
        <f t="shared" si="0"/>
        <v>0.62316693922011435</v>
      </c>
      <c r="Q20" s="25">
        <f t="shared" si="1"/>
        <v>0.62316693922011435</v>
      </c>
      <c r="R20" s="25"/>
      <c r="S20" s="25">
        <f t="shared" ref="S20" si="19">4/3</f>
        <v>1.3333333333333333</v>
      </c>
      <c r="T20" s="25"/>
      <c r="U20" s="24">
        <f t="shared" si="2"/>
        <v>0.83088925229348576</v>
      </c>
      <c r="V20" s="24">
        <f t="shared" si="3"/>
        <v>0.83088925229348576</v>
      </c>
    </row>
    <row r="21" spans="7:22" x14ac:dyDescent="0.2">
      <c r="G21" s="22">
        <f t="shared" si="8"/>
        <v>17</v>
      </c>
      <c r="H21" s="2" cm="1">
        <f t="array" ref="H21:J21">MMULT(H20:J20,m_trtE)</f>
        <v>8.646720170372911E-2</v>
      </c>
      <c r="I21" s="2">
        <v>0.71181650537651864</v>
      </c>
      <c r="J21" s="2">
        <v>0.20171629291975265</v>
      </c>
      <c r="L21" s="23">
        <v>1144.1525138951642</v>
      </c>
      <c r="N21" s="2">
        <v>0.6203295807361181</v>
      </c>
      <c r="P21" s="25">
        <f t="shared" si="0"/>
        <v>0.60501644584477121</v>
      </c>
      <c r="Q21" s="25">
        <f t="shared" si="1"/>
        <v>0.60501644584477121</v>
      </c>
      <c r="R21" s="25"/>
      <c r="S21" s="25">
        <f t="shared" ref="S21" si="20">2/3</f>
        <v>0.66666666666666663</v>
      </c>
      <c r="T21" s="25"/>
      <c r="U21" s="24">
        <f t="shared" si="2"/>
        <v>0.40334429722984744</v>
      </c>
      <c r="V21" s="24">
        <f t="shared" si="3"/>
        <v>0.40334429722984744</v>
      </c>
    </row>
    <row r="22" spans="7:22" x14ac:dyDescent="0.2">
      <c r="G22" s="22">
        <f t="shared" si="8"/>
        <v>18</v>
      </c>
      <c r="H22" s="2" cm="1">
        <f t="array" ref="H22:J22">MMULT(H21:J21,m_trtE)</f>
        <v>7.4870934130272584E-2</v>
      </c>
      <c r="I22" s="2">
        <v>0.71012971878696474</v>
      </c>
      <c r="J22" s="2">
        <v>0.21499934708276305</v>
      </c>
      <c r="L22" s="23">
        <v>1084.4843894383278</v>
      </c>
      <c r="N22" s="2">
        <v>0.6074682232204961</v>
      </c>
      <c r="P22" s="25">
        <f t="shared" si="0"/>
        <v>0.5873946076162827</v>
      </c>
      <c r="Q22" s="25">
        <f t="shared" si="1"/>
        <v>0.5873946076162827</v>
      </c>
      <c r="R22" s="25"/>
      <c r="S22" s="25">
        <f t="shared" ref="S22" si="21">4/3</f>
        <v>1.3333333333333333</v>
      </c>
      <c r="T22" s="25"/>
      <c r="U22" s="24">
        <f t="shared" si="2"/>
        <v>0.78319281015504361</v>
      </c>
      <c r="V22" s="24">
        <f t="shared" si="3"/>
        <v>0.78319281015504361</v>
      </c>
    </row>
    <row r="23" spans="7:22" x14ac:dyDescent="0.2">
      <c r="G23" s="22">
        <f t="shared" si="8"/>
        <v>19</v>
      </c>
      <c r="H23" s="2" cm="1">
        <f t="array" ref="H23:J23">MMULT(H22:J22,m_trtE)</f>
        <v>6.4829862272481262E-2</v>
      </c>
      <c r="I23" s="2">
        <v>0.7069962800479016</v>
      </c>
      <c r="J23" s="2">
        <v>0.22817385767961745</v>
      </c>
      <c r="L23" s="23">
        <v>1031.1455914103078</v>
      </c>
      <c r="N23" s="2">
        <v>0.59507707230840745</v>
      </c>
      <c r="P23" s="25">
        <f t="shared" si="0"/>
        <v>0.57028602681192497</v>
      </c>
      <c r="Q23" s="25">
        <f t="shared" si="1"/>
        <v>0.57028602681192497</v>
      </c>
      <c r="R23" s="25"/>
      <c r="S23" s="25">
        <f t="shared" ref="S23" si="22">2/3</f>
        <v>0.66666666666666663</v>
      </c>
      <c r="T23" s="25"/>
      <c r="U23" s="24">
        <f t="shared" si="2"/>
        <v>0.3801906845412833</v>
      </c>
      <c r="V23" s="24">
        <f t="shared" si="3"/>
        <v>0.3801906845412833</v>
      </c>
    </row>
    <row r="24" spans="7:22" x14ac:dyDescent="0.2">
      <c r="G24" s="22">
        <f t="shared" si="8"/>
        <v>20</v>
      </c>
      <c r="H24" s="2" cm="1">
        <f t="array" ref="H24:J24">MMULT(H23:J23,m_trtE)</f>
        <v>5.6135416114295886E-2</v>
      </c>
      <c r="I24" s="2">
        <v>0.70264004448261019</v>
      </c>
      <c r="J24" s="2">
        <v>0.24122453940309424</v>
      </c>
      <c r="L24" s="23">
        <v>983.31712505408962</v>
      </c>
      <c r="N24" s="2">
        <v>0.58311544947625349</v>
      </c>
      <c r="P24" s="25">
        <f t="shared" si="0"/>
        <v>0.55367575418633497</v>
      </c>
      <c r="Q24" s="25">
        <f t="shared" si="1"/>
        <v>0.55367575418633497</v>
      </c>
      <c r="R24" s="25"/>
      <c r="S24" s="25">
        <f t="shared" ref="S24" si="23">4/3</f>
        <v>1.3333333333333333</v>
      </c>
      <c r="T24" s="25"/>
      <c r="U24" s="24">
        <f t="shared" si="2"/>
        <v>0.73823433891511325</v>
      </c>
      <c r="V24" s="24">
        <f t="shared" si="3"/>
        <v>0.73823433891511325</v>
      </c>
    </row>
    <row r="25" spans="7:22" x14ac:dyDescent="0.2">
      <c r="G25" s="22">
        <f t="shared" si="8"/>
        <v>21</v>
      </c>
      <c r="H25" s="2" cm="1">
        <f t="array" ref="H25:J25">MMULT(H24:J24,m_trtE)</f>
        <v>4.86069973291113E-2</v>
      </c>
      <c r="I25" s="2">
        <v>0.69725431343027477</v>
      </c>
      <c r="J25" s="2">
        <v>0.25413868924061428</v>
      </c>
      <c r="L25" s="23">
        <v>940.28930007583131</v>
      </c>
      <c r="N25" s="2">
        <v>0.57154773240181744</v>
      </c>
      <c r="P25" s="25">
        <f t="shared" si="0"/>
        <v>0.5375492759090631</v>
      </c>
      <c r="Q25" s="25">
        <f t="shared" si="1"/>
        <v>0.5375492759090631</v>
      </c>
      <c r="R25" s="25"/>
      <c r="S25" s="25">
        <f t="shared" ref="S25" si="24">2/3</f>
        <v>0.66666666666666663</v>
      </c>
      <c r="T25" s="25"/>
      <c r="U25" s="24">
        <f t="shared" si="2"/>
        <v>0.35836618393937536</v>
      </c>
      <c r="V25" s="24">
        <f t="shared" si="3"/>
        <v>0.35836618393937536</v>
      </c>
    </row>
    <row r="26" spans="7:22" x14ac:dyDescent="0.2">
      <c r="G26" s="22">
        <f t="shared" si="8"/>
        <v>22</v>
      </c>
      <c r="H26" s="2" cm="1">
        <f t="array" ref="H26:J26">MMULT(H25:J25,m_trtE)</f>
        <v>4.2088227947606582E-2</v>
      </c>
      <c r="I26" s="2">
        <v>0.69100594139087157</v>
      </c>
      <c r="J26" s="2">
        <v>0.26690583066152224</v>
      </c>
      <c r="L26" s="23">
        <v>901.44708112890453</v>
      </c>
      <c r="N26" s="2">
        <v>0.56034268399076026</v>
      </c>
      <c r="P26" s="25">
        <f t="shared" si="0"/>
        <v>0.52189250088258554</v>
      </c>
      <c r="Q26" s="25">
        <f t="shared" si="1"/>
        <v>0.52189250088258554</v>
      </c>
      <c r="R26" s="25"/>
      <c r="S26" s="25">
        <f t="shared" ref="S26" si="25">4/3</f>
        <v>1.3333333333333333</v>
      </c>
      <c r="T26" s="25"/>
      <c r="U26" s="24">
        <f t="shared" si="2"/>
        <v>0.69585666784344735</v>
      </c>
      <c r="V26" s="24">
        <f t="shared" si="3"/>
        <v>0.69585666784344735</v>
      </c>
    </row>
    <row r="27" spans="7:22" x14ac:dyDescent="0.2">
      <c r="G27" s="22">
        <f t="shared" si="8"/>
        <v>23</v>
      </c>
      <c r="H27" s="2" cm="1">
        <f t="array" ref="H27:J27">MMULT(H26:J26,m_trtE)</f>
        <v>3.6443702123290143E-2</v>
      </c>
      <c r="I27" s="2">
        <v>0.68403889218426606</v>
      </c>
      <c r="J27" s="2">
        <v>0.27951740569244421</v>
      </c>
      <c r="L27" s="23">
        <v>866.25740280071682</v>
      </c>
      <c r="N27" s="2">
        <v>0.54947287126148969</v>
      </c>
      <c r="P27" s="25">
        <f t="shared" si="0"/>
        <v>0.50669174842969467</v>
      </c>
      <c r="Q27" s="25">
        <f t="shared" si="1"/>
        <v>0.50669174842969467</v>
      </c>
      <c r="R27" s="25"/>
      <c r="S27" s="25">
        <f t="shared" ref="S27" si="26">2/3</f>
        <v>0.66666666666666663</v>
      </c>
      <c r="T27" s="25"/>
      <c r="U27" s="24">
        <f t="shared" si="2"/>
        <v>0.33779449895312974</v>
      </c>
      <c r="V27" s="24">
        <f t="shared" si="3"/>
        <v>0.33779449895312974</v>
      </c>
    </row>
    <row r="28" spans="7:22" x14ac:dyDescent="0.2">
      <c r="G28" s="22">
        <f t="shared" si="8"/>
        <v>24</v>
      </c>
      <c r="H28" s="2" cm="1">
        <f t="array" ref="H28:J28">MMULT(H27:J27,m_trtE)</f>
        <v>3.1556173524445799E-2</v>
      </c>
      <c r="I28" s="2">
        <v>0.67647731802020861</v>
      </c>
      <c r="J28" s="2">
        <v>0.291966508455346</v>
      </c>
      <c r="L28" s="23">
        <v>834.25818564243764</v>
      </c>
      <c r="N28" s="2">
        <v>0.5389141620396023</v>
      </c>
      <c r="P28" s="25">
        <f t="shared" si="0"/>
        <v>0.49193373633950943</v>
      </c>
      <c r="Q28" s="25">
        <f t="shared" si="1"/>
        <v>0.49193373633950943</v>
      </c>
      <c r="R28" s="25"/>
      <c r="S28" s="25">
        <f t="shared" ref="S28" si="27">4/3</f>
        <v>1.3333333333333333</v>
      </c>
      <c r="T28" s="25"/>
      <c r="U28" s="24">
        <f t="shared" si="2"/>
        <v>0.65591164845267924</v>
      </c>
      <c r="V28" s="24">
        <f t="shared" si="3"/>
        <v>0.65591164845267924</v>
      </c>
    </row>
    <row r="29" spans="7:22" x14ac:dyDescent="0.2">
      <c r="G29" s="22">
        <f t="shared" si="8"/>
        <v>25</v>
      </c>
      <c r="H29" s="2" cm="1">
        <f t="array" ref="H29:J29">MMULT(H28:J28,m_trtE)</f>
        <v>2.7324119929861664E-2</v>
      </c>
      <c r="I29" s="2">
        <v>0.66842822546544967</v>
      </c>
      <c r="J29" s="2">
        <v>0.304247654604689</v>
      </c>
      <c r="L29" s="23">
        <v>805.04882511475807</v>
      </c>
      <c r="N29" s="2">
        <v>0.52864528902894892</v>
      </c>
      <c r="P29" s="25">
        <f t="shared" si="0"/>
        <v>0.47760556926165965</v>
      </c>
      <c r="Q29" s="25">
        <f t="shared" si="1"/>
        <v>0.47760556926165965</v>
      </c>
      <c r="R29" s="25"/>
      <c r="S29" s="25">
        <f t="shared" ref="S29" si="28">2/3</f>
        <v>0.66666666666666663</v>
      </c>
      <c r="T29" s="25"/>
      <c r="U29" s="24">
        <f t="shared" si="2"/>
        <v>0.31840371284110641</v>
      </c>
      <c r="V29" s="24">
        <f t="shared" si="3"/>
        <v>0.31840371284110641</v>
      </c>
    </row>
    <row r="30" spans="7:22" x14ac:dyDescent="0.2">
      <c r="G30" s="22">
        <f t="shared" si="8"/>
        <v>26</v>
      </c>
      <c r="H30" s="2" cm="1">
        <f t="array" ref="H30:J30">MMULT(H29:J29,m_trtE)</f>
        <v>2.3659634440883166E-2</v>
      </c>
      <c r="I30" s="2">
        <v>0.65998378371284006</v>
      </c>
      <c r="J30" s="2">
        <v>0.31635658184627707</v>
      </c>
      <c r="L30" s="23">
        <v>778.2819559172558</v>
      </c>
      <c r="N30" s="2">
        <v>0.51864747222551322</v>
      </c>
      <c r="P30" s="25">
        <f t="shared" si="0"/>
        <v>0.46369472743850448</v>
      </c>
      <c r="Q30" s="25">
        <f t="shared" si="1"/>
        <v>0.46369472743850448</v>
      </c>
      <c r="R30" s="25"/>
      <c r="S30" s="25">
        <f t="shared" ref="S30" si="29">4/3</f>
        <v>1.3333333333333333</v>
      </c>
      <c r="T30" s="25"/>
      <c r="U30" s="24">
        <f t="shared" si="2"/>
        <v>0.61825963658467264</v>
      </c>
      <c r="V30" s="24">
        <f t="shared" si="3"/>
        <v>0.61825963658467264</v>
      </c>
    </row>
    <row r="31" spans="7:22" x14ac:dyDescent="0.2">
      <c r="G31" s="22">
        <f t="shared" si="8"/>
        <v>27</v>
      </c>
      <c r="H31" s="2" cm="1">
        <f t="array" ref="H31:J31">MMULT(H30:J30,m_trtE)</f>
        <v>2.0486599506703999E-2</v>
      </c>
      <c r="I31" s="2">
        <v>0.65122332312678466</v>
      </c>
      <c r="J31" s="2">
        <v>0.32829007736651167</v>
      </c>
      <c r="L31" s="23">
        <v>753.65632066030457</v>
      </c>
      <c r="N31" s="2">
        <v>0.50890409185179242</v>
      </c>
      <c r="P31" s="25">
        <f t="shared" si="0"/>
        <v>0.45018905576553836</v>
      </c>
      <c r="Q31" s="25">
        <f t="shared" si="1"/>
        <v>0.45018905576553836</v>
      </c>
      <c r="R31" s="25"/>
      <c r="S31" s="25">
        <f t="shared" ref="S31" si="30">2/3</f>
        <v>0.66666666666666663</v>
      </c>
      <c r="T31" s="25"/>
      <c r="U31" s="24">
        <f t="shared" si="2"/>
        <v>0.30012603717702557</v>
      </c>
      <c r="V31" s="24">
        <f t="shared" si="3"/>
        <v>0.30012603717702557</v>
      </c>
    </row>
    <row r="32" spans="7:22" x14ac:dyDescent="0.2">
      <c r="G32" s="22">
        <f t="shared" si="8"/>
        <v>28</v>
      </c>
      <c r="H32" s="2" cm="1">
        <f t="array" ref="H32:J32">MMULT(H31:J31,m_trtE)</f>
        <v>1.7739105834317277E-2</v>
      </c>
      <c r="I32" s="2">
        <v>0.64221506560544195</v>
      </c>
      <c r="J32" s="2">
        <v>0.34004582856024107</v>
      </c>
      <c r="L32" s="23">
        <v>730.91059477702834</v>
      </c>
      <c r="N32" s="2">
        <v>0.49940040503839872</v>
      </c>
      <c r="P32" s="25">
        <f t="shared" si="0"/>
        <v>0.4370767531704256</v>
      </c>
      <c r="Q32" s="25">
        <f t="shared" si="1"/>
        <v>0.4370767531704256</v>
      </c>
      <c r="R32" s="25"/>
      <c r="S32" s="25">
        <f t="shared" ref="S32" si="31">4/3</f>
        <v>1.3333333333333333</v>
      </c>
      <c r="T32" s="25"/>
      <c r="U32" s="24">
        <f t="shared" si="2"/>
        <v>0.5827690042272341</v>
      </c>
      <c r="V32" s="24">
        <f t="shared" si="3"/>
        <v>0.5827690042272341</v>
      </c>
    </row>
    <row r="33" spans="7:22" x14ac:dyDescent="0.2">
      <c r="G33" s="22">
        <f t="shared" si="8"/>
        <v>29</v>
      </c>
      <c r="H33" s="2" cm="1">
        <f t="array" ref="H33:J33">MMULT(H32:J32,m_trtE)</f>
        <v>1.5360083341217036E-2</v>
      </c>
      <c r="I33" s="2">
        <v>0.63301762272895679</v>
      </c>
      <c r="J33" s="2">
        <v>0.35162229392982641</v>
      </c>
      <c r="L33" s="23">
        <v>709.81803943504201</v>
      </c>
      <c r="N33" s="2">
        <v>0.49012330038793461</v>
      </c>
      <c r="P33" s="25">
        <f t="shared" si="0"/>
        <v>0.42434636230138412</v>
      </c>
      <c r="Q33" s="25">
        <f t="shared" si="1"/>
        <v>0.42434636230138412</v>
      </c>
      <c r="R33" s="25"/>
      <c r="S33" s="25">
        <f t="shared" ref="S33" si="32">2/3</f>
        <v>0.66666666666666663</v>
      </c>
      <c r="T33" s="25"/>
      <c r="U33" s="24">
        <f t="shared" si="2"/>
        <v>0.28289757486758937</v>
      </c>
      <c r="V33" s="24">
        <f t="shared" si="3"/>
        <v>0.28289757486758937</v>
      </c>
    </row>
    <row r="34" spans="7:22" x14ac:dyDescent="0.2">
      <c r="G34" s="22">
        <f t="shared" si="8"/>
        <v>30</v>
      </c>
      <c r="H34" s="2" cm="1">
        <f t="array" ref="H34:J34">MMULT(H33:J33,m_trtE)</f>
        <v>1.3300115713426172E-2</v>
      </c>
      <c r="I34" s="2">
        <v>0.62368129283905926</v>
      </c>
      <c r="J34" s="2">
        <v>0.36301859144751486</v>
      </c>
      <c r="L34" s="23">
        <v>690.18187140619011</v>
      </c>
      <c r="N34" s="2">
        <v>0.48106108534272063</v>
      </c>
      <c r="P34" s="25">
        <f t="shared" si="0"/>
        <v>0.41198675951590691</v>
      </c>
      <c r="Q34" s="25">
        <f t="shared" si="1"/>
        <v>0.41198675951590691</v>
      </c>
      <c r="R34" s="25"/>
      <c r="S34" s="25">
        <f t="shared" ref="S34" si="33">4/3</f>
        <v>1.3333333333333333</v>
      </c>
      <c r="T34" s="25"/>
      <c r="U34" s="24">
        <f t="shared" si="2"/>
        <v>0.54931567935454251</v>
      </c>
      <c r="V34" s="24">
        <f t="shared" si="3"/>
        <v>0.54931567935454251</v>
      </c>
    </row>
    <row r="35" spans="7:22" x14ac:dyDescent="0.2">
      <c r="G35" s="22">
        <f t="shared" si="8"/>
        <v>31</v>
      </c>
      <c r="H35" s="2" cm="1">
        <f t="array" ref="H35:J35">MMULT(H34:J34,m_trtE)</f>
        <v>1.1516413945219512E-2</v>
      </c>
      <c r="I35" s="2">
        <v>0.61424918401836015</v>
      </c>
      <c r="J35" s="2">
        <v>0.37423440203642055</v>
      </c>
      <c r="L35" s="23">
        <v>671.83125374445763</v>
      </c>
      <c r="N35" s="2">
        <v>0.47220330195898963</v>
      </c>
      <c r="P35" s="25">
        <f t="shared" si="0"/>
        <v>0.39998714516107459</v>
      </c>
      <c r="Q35" s="25">
        <f t="shared" si="1"/>
        <v>0.39998714516107459</v>
      </c>
      <c r="R35" s="25"/>
      <c r="S35" s="25">
        <f t="shared" ref="S35" si="34">2/3</f>
        <v>0.66666666666666663</v>
      </c>
      <c r="T35" s="25"/>
      <c r="U35" s="24">
        <f t="shared" si="2"/>
        <v>0.26665809677404972</v>
      </c>
      <c r="V35" s="24">
        <f t="shared" si="3"/>
        <v>0.26665809677404972</v>
      </c>
    </row>
    <row r="36" spans="7:22" x14ac:dyDescent="0.2">
      <c r="G36" s="22">
        <f t="shared" si="8"/>
        <v>32</v>
      </c>
      <c r="H36" s="2" cm="1">
        <f t="array" ref="H36:J36">MMULT(H35:J35,m_trtE)</f>
        <v>9.9719275392289725E-3</v>
      </c>
      <c r="I36" s="2">
        <v>0.60475818632085709</v>
      </c>
      <c r="J36" s="2">
        <v>0.38526988613991414</v>
      </c>
      <c r="L36" s="23">
        <v>654.61782401700202</v>
      </c>
      <c r="N36" s="2">
        <v>0.46354056727987181</v>
      </c>
      <c r="P36" s="25">
        <f t="shared" ref="P36:P67" si="35">(1 / ((1 + (d_c)) ^ (G36)))</f>
        <v>0.38833703413696569</v>
      </c>
      <c r="Q36" s="25">
        <f t="shared" ref="Q36:Q67" si="36">(1 / ((1 + (d_e)) ^ (G36)))</f>
        <v>0.38833703413696569</v>
      </c>
      <c r="R36" s="25"/>
      <c r="S36" s="25">
        <f t="shared" ref="S36" si="37">4/3</f>
        <v>1.3333333333333333</v>
      </c>
      <c r="T36" s="25"/>
      <c r="U36" s="24">
        <f t="shared" si="2"/>
        <v>0.51778271218262084</v>
      </c>
      <c r="V36" s="24">
        <f t="shared" si="3"/>
        <v>0.51778271218262084</v>
      </c>
    </row>
    <row r="37" spans="7:22" x14ac:dyDescent="0.2">
      <c r="G37" s="22">
        <f t="shared" si="8"/>
        <v>33</v>
      </c>
      <c r="H37" s="2" cm="1">
        <f t="array" ref="H37:J37">MMULT(H36:J36,m_trtE)</f>
        <v>8.6345749050563327E-3</v>
      </c>
      <c r="I37" s="2">
        <v>0.59523981347340293</v>
      </c>
      <c r="J37" s="2">
        <v>0.39612561162154092</v>
      </c>
      <c r="L37" s="23">
        <v>638.41268799868465</v>
      </c>
      <c r="N37" s="2">
        <v>0.45506443501010851</v>
      </c>
      <c r="P37" s="25">
        <f t="shared" si="35"/>
        <v>0.37702624673491814</v>
      </c>
      <c r="Q37" s="25">
        <f t="shared" si="36"/>
        <v>0.37702624673491814</v>
      </c>
      <c r="R37" s="25"/>
      <c r="S37" s="25">
        <f t="shared" ref="S37" si="38">2/3</f>
        <v>0.66666666666666663</v>
      </c>
      <c r="T37" s="25"/>
      <c r="U37" s="24">
        <f t="shared" si="2"/>
        <v>0.25135083115661205</v>
      </c>
      <c r="V37" s="24">
        <f t="shared" si="3"/>
        <v>0.25135083115661205</v>
      </c>
    </row>
    <row r="38" spans="7:22" x14ac:dyDescent="0.2">
      <c r="G38" s="22">
        <f t="shared" si="8"/>
        <v>34</v>
      </c>
      <c r="H38" s="2" cm="1">
        <f t="array" ref="H38:J38">MMULT(H37:J37,m_trtE)</f>
        <v>7.4765769704733757E-3</v>
      </c>
      <c r="I38" s="2">
        <v>0.58572093155614036</v>
      </c>
      <c r="J38" s="2">
        <v>0.40680249147338648</v>
      </c>
      <c r="L38" s="23">
        <v>623.10381640850721</v>
      </c>
      <c r="N38" s="2">
        <v>0.44676727563757862</v>
      </c>
      <c r="P38" s="25">
        <f t="shared" si="35"/>
        <v>0.36604489974263904</v>
      </c>
      <c r="Q38" s="25">
        <f t="shared" si="36"/>
        <v>0.36604489974263904</v>
      </c>
      <c r="R38" s="25"/>
      <c r="S38" s="25">
        <f t="shared" ref="S38" si="39">4/3</f>
        <v>1.3333333333333333</v>
      </c>
      <c r="T38" s="25"/>
      <c r="U38" s="24">
        <f t="shared" si="2"/>
        <v>0.48805986632351872</v>
      </c>
      <c r="V38" s="24">
        <f t="shared" si="3"/>
        <v>0.48805986632351872</v>
      </c>
    </row>
    <row r="39" spans="7:22" x14ac:dyDescent="0.2">
      <c r="G39" s="22">
        <f t="shared" si="8"/>
        <v>35</v>
      </c>
      <c r="H39" s="2" cm="1">
        <f t="array" ref="H39:J39">MMULT(H38:J38,m_trtE)</f>
        <v>6.473880163188896E-3</v>
      </c>
      <c r="I39" s="2">
        <v>0.57622438982182855</v>
      </c>
      <c r="J39" s="2">
        <v>0.41730173001498283</v>
      </c>
      <c r="L39" s="23">
        <v>608.59379063777305</v>
      </c>
      <c r="N39" s="2">
        <v>0.43864217252956034</v>
      </c>
      <c r="P39" s="25">
        <f t="shared" si="35"/>
        <v>0.35538339780838735</v>
      </c>
      <c r="Q39" s="25">
        <f t="shared" si="36"/>
        <v>0.35538339780838735</v>
      </c>
      <c r="R39" s="25"/>
      <c r="S39" s="25">
        <f t="shared" ref="S39" si="40">2/3</f>
        <v>0.66666666666666663</v>
      </c>
      <c r="T39" s="25"/>
      <c r="U39" s="24">
        <f t="shared" si="2"/>
        <v>0.23692226520559156</v>
      </c>
      <c r="V39" s="24">
        <f t="shared" si="3"/>
        <v>0.23692226520559156</v>
      </c>
    </row>
    <row r="40" spans="7:22" x14ac:dyDescent="0.2">
      <c r="G40" s="22">
        <f t="shared" si="8"/>
        <v>36</v>
      </c>
      <c r="H40" s="2" cm="1">
        <f t="array" ref="H40:J40">MMULT(H39:J39,m_trtE)</f>
        <v>5.6056567775396157E-3</v>
      </c>
      <c r="I40" s="2">
        <v>0.56676956678082258</v>
      </c>
      <c r="J40" s="2">
        <v>0.4276247764416381</v>
      </c>
      <c r="L40" s="23">
        <v>594.79785066852071</v>
      </c>
      <c r="N40" s="2">
        <v>0.43068283186315653</v>
      </c>
      <c r="P40" s="25">
        <f t="shared" si="35"/>
        <v>0.34503242505668674</v>
      </c>
      <c r="Q40" s="25">
        <f t="shared" si="36"/>
        <v>0.34503242505668674</v>
      </c>
      <c r="R40" s="25"/>
      <c r="S40" s="25">
        <f t="shared" ref="S40" si="41">4/3</f>
        <v>1.3333333333333333</v>
      </c>
      <c r="T40" s="25"/>
      <c r="U40" s="24">
        <f t="shared" si="2"/>
        <v>0.46004323340891562</v>
      </c>
      <c r="V40" s="24">
        <f t="shared" si="3"/>
        <v>0.46004323340891562</v>
      </c>
    </row>
    <row r="41" spans="7:22" x14ac:dyDescent="0.2">
      <c r="G41" s="22">
        <f t="shared" si="8"/>
        <v>37</v>
      </c>
      <c r="H41" s="2" cm="1">
        <f t="array" ref="H41:J41">MMULT(H40:J40,m_trtE)</f>
        <v>4.8538723478775882E-3</v>
      </c>
      <c r="I41" s="2">
        <v>0.55737284291796763</v>
      </c>
      <c r="J41" s="2">
        <v>0.437773284734155</v>
      </c>
      <c r="L41" s="23">
        <v>581.64220465735559</v>
      </c>
      <c r="N41" s="2">
        <v>0.42288350453635332</v>
      </c>
      <c r="P41" s="25">
        <f t="shared" si="35"/>
        <v>0.33498293694823961</v>
      </c>
      <c r="Q41" s="25">
        <f t="shared" si="36"/>
        <v>0.33498293694823961</v>
      </c>
      <c r="R41" s="25"/>
      <c r="S41" s="25">
        <f t="shared" ref="S41" si="42">2/3</f>
        <v>0.66666666666666663</v>
      </c>
      <c r="T41" s="25"/>
      <c r="U41" s="24">
        <f t="shared" si="2"/>
        <v>0.22332195796549306</v>
      </c>
      <c r="V41" s="24">
        <f t="shared" si="3"/>
        <v>0.22332195796549306</v>
      </c>
    </row>
    <row r="42" spans="7:22" x14ac:dyDescent="0.2">
      <c r="G42" s="22">
        <f t="shared" si="8"/>
        <v>38</v>
      </c>
      <c r="H42" s="2" cm="1">
        <f t="array" ref="H42:J42">MMULT(H41:J41,m_trtE)</f>
        <v>4.2029110422688899E-3</v>
      </c>
      <c r="I42" s="2">
        <v>0.54804800988327984</v>
      </c>
      <c r="J42" s="2">
        <v>0.44774907907445149</v>
      </c>
      <c r="L42" s="23">
        <v>569.06256509462435</v>
      </c>
      <c r="N42" s="2">
        <v>0.41523891845472877</v>
      </c>
      <c r="P42" s="25">
        <f t="shared" si="35"/>
        <v>0.3252261523769317</v>
      </c>
      <c r="Q42" s="25">
        <f t="shared" si="36"/>
        <v>0.3252261523769317</v>
      </c>
      <c r="R42" s="25"/>
      <c r="S42" s="25">
        <f t="shared" ref="S42" si="43">4/3</f>
        <v>1.3333333333333333</v>
      </c>
      <c r="T42" s="25"/>
      <c r="U42" s="24">
        <f t="shared" si="2"/>
        <v>0.43363486983590893</v>
      </c>
      <c r="V42" s="24">
        <f t="shared" si="3"/>
        <v>0.43363486983590893</v>
      </c>
    </row>
    <row r="43" spans="7:22" x14ac:dyDescent="0.2">
      <c r="G43" s="22">
        <f t="shared" si="8"/>
        <v>39</v>
      </c>
      <c r="H43" s="2" cm="1">
        <f t="array" ref="H43:J43">MMULT(H42:J42,m_trtE)</f>
        <v>3.6392512952982282E-3</v>
      </c>
      <c r="I43" s="2">
        <v>0.53880662467833118</v>
      </c>
      <c r="J43" s="2">
        <v>0.4575541240263708</v>
      </c>
      <c r="L43" s="23">
        <v>557.00288115482238</v>
      </c>
      <c r="N43" s="2">
        <v>0.40774421980404663</v>
      </c>
      <c r="P43" s="25">
        <f t="shared" si="35"/>
        <v>0.31575354599702099</v>
      </c>
      <c r="Q43" s="25">
        <f t="shared" si="36"/>
        <v>0.31575354599702099</v>
      </c>
      <c r="R43" s="25"/>
      <c r="S43" s="25">
        <f t="shared" ref="S43" si="44">2/3</f>
        <v>0.66666666666666663</v>
      </c>
      <c r="T43" s="25"/>
      <c r="U43" s="24">
        <f t="shared" si="2"/>
        <v>0.21050236399801397</v>
      </c>
      <c r="V43" s="24">
        <f t="shared" si="3"/>
        <v>0.21050236399801397</v>
      </c>
    </row>
    <row r="44" spans="7:22" x14ac:dyDescent="0.2">
      <c r="G44" s="22">
        <f t="shared" si="8"/>
        <v>40</v>
      </c>
      <c r="H44" s="2" cm="1">
        <f t="array" ref="H44:J44">MMULT(H43:J43,m_trtE)</f>
        <v>3.1511849423251507E-3</v>
      </c>
      <c r="I44" s="2">
        <v>0.52965831621732806</v>
      </c>
      <c r="J44" s="2">
        <v>0.46719049884034697</v>
      </c>
      <c r="L44" s="23">
        <v>545.41424092895386</v>
      </c>
      <c r="N44" s="2">
        <v>0.40039492210532118</v>
      </c>
      <c r="P44" s="25">
        <f t="shared" si="35"/>
        <v>0.30655684077380685</v>
      </c>
      <c r="Q44" s="25">
        <f t="shared" si="36"/>
        <v>0.30655684077380685</v>
      </c>
      <c r="R44" s="25"/>
      <c r="S44" s="25">
        <f t="shared" ref="S44" si="45">4/3</f>
        <v>1.3333333333333333</v>
      </c>
      <c r="T44" s="25"/>
      <c r="U44" s="24">
        <f t="shared" si="2"/>
        <v>0.40874245436507578</v>
      </c>
      <c r="V44" s="24">
        <f t="shared" si="3"/>
        <v>0.40874245436507578</v>
      </c>
    </row>
    <row r="45" spans="7:22" x14ac:dyDescent="0.2">
      <c r="G45" s="22">
        <f t="shared" si="8"/>
        <v>41</v>
      </c>
      <c r="H45" s="2" cm="1">
        <f t="array" ref="H45:J45">MMULT(H44:J44,m_trtE)</f>
        <v>2.728574021136132E-3</v>
      </c>
      <c r="I45" s="2">
        <v>0.52061105065222091</v>
      </c>
      <c r="J45" s="2">
        <v>0.47666037532664313</v>
      </c>
      <c r="L45" s="23">
        <v>534.2539207579016</v>
      </c>
      <c r="N45" s="2">
        <v>0.39318686201030184</v>
      </c>
      <c r="P45" s="25">
        <f t="shared" si="35"/>
        <v>0.29762800075126877</v>
      </c>
      <c r="Q45" s="25">
        <f t="shared" si="36"/>
        <v>0.29762800075126877</v>
      </c>
      <c r="R45" s="25"/>
      <c r="S45" s="25">
        <f t="shared" ref="S45" si="46">2/3</f>
        <v>0.66666666666666663</v>
      </c>
      <c r="T45" s="25"/>
      <c r="U45" s="24">
        <f t="shared" si="2"/>
        <v>0.1984186671675125</v>
      </c>
      <c r="V45" s="24">
        <f t="shared" si="3"/>
        <v>0.1984186671675125</v>
      </c>
    </row>
    <row r="46" spans="7:22" x14ac:dyDescent="0.2">
      <c r="G46" s="22">
        <f t="shared" si="8"/>
        <v>42</v>
      </c>
      <c r="H46" s="2" cm="1">
        <f t="array" ref="H46:J46">MMULT(H45:J45,m_trtE)</f>
        <v>2.3626401893522336E-3</v>
      </c>
      <c r="I46" s="2">
        <v>0.51167136099425914</v>
      </c>
      <c r="J46" s="2">
        <v>0.48596599881638886</v>
      </c>
      <c r="L46" s="23">
        <v>523.48456194102027</v>
      </c>
      <c r="N46" s="2">
        <v>0.38611616093504658</v>
      </c>
      <c r="P46" s="25">
        <f t="shared" si="35"/>
        <v>0.28895922403035801</v>
      </c>
      <c r="Q46" s="25">
        <f t="shared" si="36"/>
        <v>0.28895922403035801</v>
      </c>
      <c r="R46" s="25"/>
      <c r="S46" s="25">
        <f t="shared" ref="S46" si="47">4/3</f>
        <v>1.3333333333333333</v>
      </c>
      <c r="T46" s="25"/>
      <c r="U46" s="24">
        <f t="shared" si="2"/>
        <v>0.38527896537381068</v>
      </c>
      <c r="V46" s="24">
        <f t="shared" si="3"/>
        <v>0.38527896537381068</v>
      </c>
    </row>
    <row r="47" spans="7:22" x14ac:dyDescent="0.2">
      <c r="G47" s="22">
        <f t="shared" si="8"/>
        <v>43</v>
      </c>
      <c r="H47" s="2" cm="1">
        <f t="array" ref="H47:J47">MMULT(H46:J46,m_trtE)</f>
        <v>2.0457823834363412E-3</v>
      </c>
      <c r="I47" s="2">
        <v>0.50284454582240357</v>
      </c>
      <c r="J47" s="2">
        <v>0.49510967179416027</v>
      </c>
      <c r="L47" s="23">
        <v>513.07345773958525</v>
      </c>
      <c r="N47" s="2">
        <v>0.37917919175023901</v>
      </c>
      <c r="P47" s="25">
        <f t="shared" si="35"/>
        <v>0.28054293595180391</v>
      </c>
      <c r="Q47" s="25">
        <f t="shared" si="36"/>
        <v>0.28054293595180391</v>
      </c>
      <c r="R47" s="25"/>
      <c r="S47" s="25">
        <f t="shared" ref="S47" si="48">2/3</f>
        <v>0.66666666666666663</v>
      </c>
      <c r="T47" s="25"/>
      <c r="U47" s="24">
        <f t="shared" si="2"/>
        <v>0.18702862396786926</v>
      </c>
      <c r="V47" s="24">
        <f t="shared" si="3"/>
        <v>0.18702862396786926</v>
      </c>
    </row>
    <row r="48" spans="7:22" x14ac:dyDescent="0.2">
      <c r="G48" s="22">
        <f t="shared" si="8"/>
        <v>44</v>
      </c>
      <c r="H48" s="2" cm="1">
        <f t="array" ref="H48:J48">MMULT(H47:J47,m_trtE)</f>
        <v>1.7714189317696923E-3</v>
      </c>
      <c r="I48" s="2">
        <v>0.49413484122652179</v>
      </c>
      <c r="J48" s="2">
        <v>0.50409373984170869</v>
      </c>
      <c r="L48" s="23">
        <v>502.99193588537025</v>
      </c>
      <c r="N48" s="2">
        <v>0.37237254985166102</v>
      </c>
      <c r="P48" s="25">
        <f t="shared" si="35"/>
        <v>0.27237178247747956</v>
      </c>
      <c r="Q48" s="25">
        <f t="shared" si="36"/>
        <v>0.27237178247747956</v>
      </c>
      <c r="R48" s="25"/>
      <c r="S48" s="25">
        <f t="shared" ref="S48" si="49">4/3</f>
        <v>1.3333333333333333</v>
      </c>
      <c r="T48" s="25"/>
      <c r="U48" s="24">
        <f t="shared" si="2"/>
        <v>0.36316237663663942</v>
      </c>
      <c r="V48" s="24">
        <f t="shared" si="3"/>
        <v>0.36316237663663942</v>
      </c>
    </row>
    <row r="49" spans="7:22" x14ac:dyDescent="0.2">
      <c r="G49" s="22">
        <f t="shared" si="8"/>
        <v>45</v>
      </c>
      <c r="H49" s="2" cm="1">
        <f t="array" ref="H49:J49">MMULT(H48:J48,m_trtE)</f>
        <v>1.53385084221971E-3</v>
      </c>
      <c r="I49" s="2">
        <v>0.48554556957696526</v>
      </c>
      <c r="J49" s="2">
        <v>0.51292057958081516</v>
      </c>
      <c r="L49" s="23">
        <v>493.21482378806382</v>
      </c>
      <c r="N49" s="2">
        <v>0.36569302802494363</v>
      </c>
      <c r="P49" s="25">
        <f t="shared" si="35"/>
        <v>0.26443862376454325</v>
      </c>
      <c r="Q49" s="25">
        <f t="shared" si="36"/>
        <v>0.26443862376454325</v>
      </c>
      <c r="R49" s="25"/>
      <c r="S49" s="25">
        <f t="shared" ref="S49" si="50">2/3</f>
        <v>0.66666666666666663</v>
      </c>
      <c r="T49" s="25"/>
      <c r="U49" s="24">
        <f t="shared" si="2"/>
        <v>0.17629241584302882</v>
      </c>
      <c r="V49" s="24">
        <f t="shared" si="3"/>
        <v>0.17629241584302882</v>
      </c>
    </row>
    <row r="50" spans="7:22" x14ac:dyDescent="0.2">
      <c r="G50" s="22">
        <f t="shared" si="8"/>
        <v>46</v>
      </c>
      <c r="H50" s="2" cm="1">
        <f t="array" ref="H50:J50">MMULT(H49:J49,m_trtE)</f>
        <v>1.3281434244511029E-3</v>
      </c>
      <c r="I50" s="2">
        <v>0.47707926823041863</v>
      </c>
      <c r="J50" s="2">
        <v>0.52159258834513045</v>
      </c>
      <c r="L50" s="23">
        <v>483.71998535267414</v>
      </c>
      <c r="N50" s="2">
        <v>0.35913759459726508</v>
      </c>
      <c r="P50" s="25">
        <f t="shared" si="35"/>
        <v>0.25673652792674101</v>
      </c>
      <c r="Q50" s="25">
        <f t="shared" si="36"/>
        <v>0.25673652792674101</v>
      </c>
      <c r="R50" s="25"/>
      <c r="S50" s="25">
        <f t="shared" ref="S50" si="51">4/3</f>
        <v>1.3333333333333333</v>
      </c>
      <c r="T50" s="25"/>
      <c r="U50" s="24">
        <f t="shared" si="2"/>
        <v>0.34231537056898798</v>
      </c>
      <c r="V50" s="24">
        <f t="shared" si="3"/>
        <v>0.34231537056898798</v>
      </c>
    </row>
    <row r="51" spans="7:22" x14ac:dyDescent="0.2">
      <c r="G51" s="22">
        <f t="shared" si="8"/>
        <v>47</v>
      </c>
      <c r="H51" s="2" cm="1">
        <f t="array" ref="H51:J51">MMULT(H50:J50,m_trtE)</f>
        <v>1.1500237880757579E-3</v>
      </c>
      <c r="I51" s="2">
        <v>0.46873780086479894</v>
      </c>
      <c r="J51" s="2">
        <v>0.53011217534712551</v>
      </c>
      <c r="L51" s="23">
        <v>474.48791980517774</v>
      </c>
      <c r="N51" s="2">
        <v>0.35270337443667499</v>
      </c>
      <c r="P51" s="25">
        <f t="shared" si="35"/>
        <v>0.24925876497741845</v>
      </c>
      <c r="Q51" s="25">
        <f t="shared" si="36"/>
        <v>0.24925876497741845</v>
      </c>
      <c r="R51" s="25"/>
      <c r="S51" s="25">
        <f t="shared" ref="S51" si="52">2/3</f>
        <v>0.66666666666666663</v>
      </c>
      <c r="T51" s="25"/>
      <c r="U51" s="24">
        <f t="shared" si="2"/>
        <v>0.16617250998494562</v>
      </c>
      <c r="V51" s="24">
        <f t="shared" si="3"/>
        <v>0.16617250998494562</v>
      </c>
    </row>
    <row r="52" spans="7:22" x14ac:dyDescent="0.2">
      <c r="G52" s="22">
        <f t="shared" si="8"/>
        <v>48</v>
      </c>
      <c r="H52" s="2" cm="1">
        <f t="array" ref="H52:J52">MMULT(H51:J51,m_trtE)</f>
        <v>9.9579208750493419E-4</v>
      </c>
      <c r="I52" s="2">
        <v>0.46052245377481615</v>
      </c>
      <c r="J52" s="2">
        <v>0.53848175413767907</v>
      </c>
      <c r="L52" s="23">
        <v>465.50141421234082</v>
      </c>
      <c r="N52" s="2">
        <v>0.34638763241861709</v>
      </c>
      <c r="P52" s="25">
        <f t="shared" si="35"/>
        <v>0.24199880094894996</v>
      </c>
      <c r="Q52" s="25">
        <f t="shared" si="36"/>
        <v>0.24199880094894996</v>
      </c>
      <c r="R52" s="25"/>
      <c r="S52" s="25">
        <f t="shared" ref="S52" si="53">4/3</f>
        <v>1.3333333333333333</v>
      </c>
      <c r="T52" s="25"/>
      <c r="U52" s="24">
        <f t="shared" si="2"/>
        <v>0.32266506793193328</v>
      </c>
      <c r="V52" s="24">
        <f t="shared" si="3"/>
        <v>0.32266506793193328</v>
      </c>
    </row>
    <row r="53" spans="7:22" x14ac:dyDescent="0.2">
      <c r="G53" s="22">
        <f t="shared" si="8"/>
        <v>49</v>
      </c>
      <c r="H53" s="2" cm="1">
        <f t="array" ref="H53:J53">MMULT(H52:J52,m_trtE)</f>
        <v>8.6224466990948256E-4</v>
      </c>
      <c r="I53" s="2">
        <v>0.45243401914707337</v>
      </c>
      <c r="J53" s="2">
        <v>0.54670373618301726</v>
      </c>
      <c r="L53" s="23">
        <v>456.74524249662079</v>
      </c>
      <c r="N53" s="2">
        <v>0.34018775903021448</v>
      </c>
      <c r="P53" s="25">
        <f t="shared" si="35"/>
        <v>0.2349502921834466</v>
      </c>
      <c r="Q53" s="25">
        <f t="shared" si="36"/>
        <v>0.2349502921834466</v>
      </c>
      <c r="R53" s="25"/>
      <c r="S53" s="25">
        <f t="shared" ref="S53" si="54">2/3</f>
        <v>0.66666666666666663</v>
      </c>
      <c r="T53" s="25"/>
      <c r="U53" s="24">
        <f t="shared" si="2"/>
        <v>0.15663352812229772</v>
      </c>
      <c r="V53" s="24">
        <f t="shared" si="3"/>
        <v>0.15663352812229772</v>
      </c>
    </row>
    <row r="54" spans="7:22" x14ac:dyDescent="0.2">
      <c r="G54" s="22">
        <f t="shared" si="8"/>
        <v>50</v>
      </c>
      <c r="H54" s="2" cm="1">
        <f t="array" ref="H54:J54">MMULT(H53:J53,m_trtE)</f>
        <v>7.4660752994146348E-4</v>
      </c>
      <c r="I54" s="2">
        <v>0.44447286706279643</v>
      </c>
      <c r="J54" s="2">
        <v>0.55478052540726219</v>
      </c>
      <c r="L54" s="23">
        <v>448.20590471250375</v>
      </c>
      <c r="N54" s="2">
        <v>0.33410125782703881</v>
      </c>
      <c r="P54" s="25">
        <f t="shared" si="35"/>
        <v>0.22810707978975397</v>
      </c>
      <c r="Q54" s="25">
        <f t="shared" si="36"/>
        <v>0.22810707978975397</v>
      </c>
      <c r="R54" s="25"/>
      <c r="S54" s="25">
        <f t="shared" ref="S54" si="55">4/3</f>
        <v>1.3333333333333333</v>
      </c>
      <c r="T54" s="25"/>
      <c r="U54" s="24">
        <f t="shared" si="2"/>
        <v>0.3041427730530053</v>
      </c>
      <c r="V54" s="24">
        <f t="shared" si="3"/>
        <v>0.3041427730530053</v>
      </c>
    </row>
    <row r="55" spans="7:22" x14ac:dyDescent="0.2">
      <c r="G55" s="22">
        <f t="shared" si="8"/>
        <v>51</v>
      </c>
      <c r="H55" s="2" cm="1">
        <f t="array" ref="H55:J55">MMULT(H54:J54,m_trtE)</f>
        <v>6.4647868895937721E-4</v>
      </c>
      <c r="I55" s="2">
        <v>0.4366390077418088</v>
      </c>
      <c r="J55" s="2">
        <v>0.56271451356923186</v>
      </c>
      <c r="L55" s="23">
        <v>439.87140118660574</v>
      </c>
      <c r="N55" s="2">
        <v>0.32812573449531601</v>
      </c>
      <c r="P55" s="25">
        <f t="shared" si="35"/>
        <v>0.22146318426189707</v>
      </c>
      <c r="Q55" s="25">
        <f t="shared" si="36"/>
        <v>0.22146318426189707</v>
      </c>
      <c r="R55" s="25"/>
      <c r="S55" s="25">
        <f t="shared" ref="S55" si="56">2/3</f>
        <v>0.66666666666666663</v>
      </c>
      <c r="T55" s="25"/>
      <c r="U55" s="24">
        <f t="shared" si="2"/>
        <v>0.14764212284126471</v>
      </c>
      <c r="V55" s="24">
        <f t="shared" si="3"/>
        <v>0.14764212284126471</v>
      </c>
    </row>
    <row r="56" spans="7:22" x14ac:dyDescent="0.2">
      <c r="G56" s="22">
        <f t="shared" si="8"/>
        <v>52</v>
      </c>
      <c r="H56" s="2" cm="1">
        <f t="array" ref="H56:J56">MMULT(H55:J55,m_trtE)</f>
        <v>5.597783018762249E-4</v>
      </c>
      <c r="I56" s="2">
        <v>0.4289321453383414</v>
      </c>
      <c r="J56" s="2">
        <v>0.5705080763597824</v>
      </c>
      <c r="L56" s="23">
        <v>431.73103684772252</v>
      </c>
      <c r="N56" s="2">
        <v>0.32225888730563224</v>
      </c>
      <c r="P56" s="25">
        <f t="shared" si="35"/>
        <v>0.215012800254269</v>
      </c>
      <c r="Q56" s="25">
        <f t="shared" si="36"/>
        <v>0.215012800254269</v>
      </c>
      <c r="R56" s="25"/>
      <c r="S56" s="25">
        <f t="shared" ref="S56" si="57">4/3</f>
        <v>1.3333333333333333</v>
      </c>
      <c r="T56" s="25"/>
      <c r="U56" s="24">
        <f t="shared" si="2"/>
        <v>0.28668373367235866</v>
      </c>
      <c r="V56" s="24">
        <f t="shared" si="3"/>
        <v>0.28668373367235866</v>
      </c>
    </row>
    <row r="57" spans="7:22" x14ac:dyDescent="0.2">
      <c r="G57" s="22">
        <f t="shared" si="8"/>
        <v>53</v>
      </c>
      <c r="H57" s="2" cm="1">
        <f t="array" ref="H57:J57">MMULT(H56:J56,m_trtE)</f>
        <v>4.8470545526539406E-4</v>
      </c>
      <c r="I57" s="2">
        <v>0.42135172442346835</v>
      </c>
      <c r="J57" s="2">
        <v>0.57816357012126629</v>
      </c>
      <c r="L57" s="23">
        <v>423.77525169979532</v>
      </c>
      <c r="N57" s="2">
        <v>0.31649849877286668</v>
      </c>
      <c r="P57" s="25">
        <f t="shared" si="35"/>
        <v>0.20875029150899907</v>
      </c>
      <c r="Q57" s="25">
        <f t="shared" si="36"/>
        <v>0.20875029150899907</v>
      </c>
      <c r="R57" s="25"/>
      <c r="S57" s="25">
        <f t="shared" ref="S57" si="58">2/3</f>
        <v>0.66666666666666663</v>
      </c>
      <c r="T57" s="25"/>
      <c r="U57" s="24">
        <f t="shared" si="2"/>
        <v>0.13916686100599937</v>
      </c>
      <c r="V57" s="24">
        <f t="shared" si="3"/>
        <v>0.13916686100599937</v>
      </c>
    </row>
    <row r="58" spans="7:22" x14ac:dyDescent="0.2">
      <c r="G58" s="22">
        <f t="shared" si="8"/>
        <v>54</v>
      </c>
      <c r="H58" s="2" cm="1">
        <f t="array" ref="H58:J58">MMULT(H57:J57,m_trtE)</f>
        <v>4.1970075934808458E-4</v>
      </c>
      <c r="I58" s="2">
        <v>0.41389697013673937</v>
      </c>
      <c r="J58" s="2">
        <v>0.58568332910391252</v>
      </c>
      <c r="L58" s="23">
        <v>415.99547393347979</v>
      </c>
      <c r="N58" s="2">
        <v>0.31084242836190262</v>
      </c>
      <c r="P58" s="25">
        <f t="shared" si="35"/>
        <v>0.20267018593106703</v>
      </c>
      <c r="Q58" s="25">
        <f t="shared" si="36"/>
        <v>0.20267018593106703</v>
      </c>
      <c r="R58" s="25"/>
      <c r="S58" s="25">
        <f t="shared" ref="S58" si="59">4/3</f>
        <v>1.3333333333333333</v>
      </c>
      <c r="T58" s="25"/>
      <c r="U58" s="24">
        <f t="shared" si="2"/>
        <v>0.27022691457475601</v>
      </c>
      <c r="V58" s="24">
        <f t="shared" si="3"/>
        <v>0.27022691457475601</v>
      </c>
    </row>
    <row r="59" spans="7:22" x14ac:dyDescent="0.2">
      <c r="G59" s="22">
        <f t="shared" si="8"/>
        <v>55</v>
      </c>
      <c r="H59" s="2" cm="1">
        <f t="array" ref="H59:J59">MMULT(H58:J58,m_trtE)</f>
        <v>3.6341395683469436E-4</v>
      </c>
      <c r="I59" s="2">
        <v>0.40656692285777346</v>
      </c>
      <c r="J59" s="2">
        <v>0.59306966318539189</v>
      </c>
      <c r="L59" s="23">
        <v>408.38399264194697</v>
      </c>
      <c r="N59" s="2">
        <v>0.30528860610016478</v>
      </c>
      <c r="P59" s="25">
        <f t="shared" si="35"/>
        <v>0.19676717080686118</v>
      </c>
      <c r="Q59" s="25">
        <f t="shared" si="36"/>
        <v>0.19676717080686118</v>
      </c>
      <c r="R59" s="25"/>
      <c r="S59" s="25">
        <f t="shared" ref="S59" si="60">2/3</f>
        <v>0.66666666666666663</v>
      </c>
      <c r="T59" s="25"/>
      <c r="U59" s="24">
        <f t="shared" si="2"/>
        <v>0.13117811387124079</v>
      </c>
      <c r="V59" s="24">
        <f t="shared" si="3"/>
        <v>0.13117811387124079</v>
      </c>
    </row>
    <row r="60" spans="7:22" x14ac:dyDescent="0.2">
      <c r="G60" s="22">
        <f t="shared" si="8"/>
        <v>56</v>
      </c>
      <c r="H60" s="2" cm="1">
        <f t="array" ref="H60:J60">MMULT(H59:J59,m_trtE)</f>
        <v>3.1467587580110925E-4</v>
      </c>
      <c r="I60" s="2">
        <v>0.39936046813445042</v>
      </c>
      <c r="J60" s="2">
        <v>0.6003248559897485</v>
      </c>
      <c r="L60" s="23">
        <v>400.93384751345593</v>
      </c>
      <c r="N60" s="2">
        <v>0.29983502697663889</v>
      </c>
      <c r="P60" s="25">
        <f t="shared" si="35"/>
        <v>0.19103608816200118</v>
      </c>
      <c r="Q60" s="25">
        <f t="shared" si="36"/>
        <v>0.19103608816200118</v>
      </c>
      <c r="R60" s="25"/>
      <c r="S60" s="25">
        <f t="shared" ref="S60" si="61">4/3</f>
        <v>1.3333333333333333</v>
      </c>
      <c r="T60" s="25"/>
      <c r="U60" s="24">
        <f t="shared" si="2"/>
        <v>0.25471478421600158</v>
      </c>
      <c r="V60" s="24">
        <f t="shared" si="3"/>
        <v>0.25471478421600158</v>
      </c>
    </row>
    <row r="61" spans="7:22" x14ac:dyDescent="0.2">
      <c r="G61" s="22">
        <f t="shared" si="8"/>
        <v>57</v>
      </c>
      <c r="H61" s="2" cm="1">
        <f t="array" ref="H61:J61">MMULT(H60:J60,m_trtE)</f>
        <v>2.7247414401378276E-4</v>
      </c>
      <c r="I61" s="2">
        <v>0.39227636250551495</v>
      </c>
      <c r="J61" s="2">
        <v>0.60745116335047133</v>
      </c>
      <c r="L61" s="23">
        <v>393.63873322558385</v>
      </c>
      <c r="N61" s="2">
        <v>0.29447974602314997</v>
      </c>
      <c r="P61" s="25">
        <f t="shared" si="35"/>
        <v>0.18547193025437006</v>
      </c>
      <c r="Q61" s="25">
        <f t="shared" si="36"/>
        <v>0.18547193025437006</v>
      </c>
      <c r="R61" s="25"/>
      <c r="S61" s="25">
        <f t="shared" ref="S61" si="62">2/3</f>
        <v>0.66666666666666663</v>
      </c>
      <c r="T61" s="25"/>
      <c r="U61" s="24">
        <f t="shared" si="2"/>
        <v>0.12364795350291337</v>
      </c>
      <c r="V61" s="24">
        <f t="shared" si="3"/>
        <v>0.12364795350291337</v>
      </c>
    </row>
    <row r="62" spans="7:22" x14ac:dyDescent="0.2">
      <c r="G62" s="22">
        <f t="shared" si="8"/>
        <v>58</v>
      </c>
      <c r="H62" s="2" cm="1">
        <f t="array" ref="H62:J62">MMULT(H61:J61,m_trtE)</f>
        <v>2.3593216024913311E-4</v>
      </c>
      <c r="I62" s="2">
        <v>0.38531325576983905</v>
      </c>
      <c r="J62" s="2">
        <v>0.61445081206991192</v>
      </c>
      <c r="L62" s="23">
        <v>386.49291657108472</v>
      </c>
      <c r="N62" s="2">
        <v>0.28922087398762841</v>
      </c>
      <c r="P62" s="25">
        <f t="shared" si="35"/>
        <v>0.18006983519841754</v>
      </c>
      <c r="Q62" s="25">
        <f t="shared" si="36"/>
        <v>0.18006983519841754</v>
      </c>
      <c r="R62" s="25"/>
      <c r="S62" s="25">
        <f t="shared" ref="S62" si="63">4/3</f>
        <v>1.3333333333333333</v>
      </c>
      <c r="T62" s="25"/>
      <c r="U62" s="24">
        <f t="shared" si="2"/>
        <v>0.24009311359789004</v>
      </c>
      <c r="V62" s="24">
        <f t="shared" si="3"/>
        <v>0.24009311359789004</v>
      </c>
    </row>
    <row r="63" spans="7:22" x14ac:dyDescent="0.2">
      <c r="G63" s="22">
        <f>G62+1</f>
        <v>59</v>
      </c>
      <c r="H63" s="2" cm="1">
        <f t="array" ref="H63:J63">MMULT(H62:J62,m_trtE)</f>
        <v>2.0429088580605628E-4</v>
      </c>
      <c r="I63" s="2">
        <v>0.37846971018049758</v>
      </c>
      <c r="J63" s="2">
        <v>0.62132599893369644</v>
      </c>
      <c r="L63" s="23">
        <v>379.49116460952786</v>
      </c>
      <c r="N63" s="2">
        <v>0.28405657352117925</v>
      </c>
      <c r="P63" s="25">
        <f t="shared" si="35"/>
        <v>0.17482508271691022</v>
      </c>
      <c r="Q63" s="25">
        <f t="shared" si="36"/>
        <v>0.17482508271691022</v>
      </c>
      <c r="R63" s="25"/>
      <c r="S63" s="25">
        <f t="shared" ref="S63" si="64">2/3</f>
        <v>0.66666666666666663</v>
      </c>
      <c r="T63" s="25"/>
      <c r="U63" s="24">
        <f t="shared" si="2"/>
        <v>0.11655005514460681</v>
      </c>
      <c r="V63" s="24">
        <f t="shared" si="3"/>
        <v>0.11655005514460681</v>
      </c>
    </row>
    <row r="64" spans="7:22" x14ac:dyDescent="0.2">
      <c r="G64" s="22">
        <f>G63+1</f>
        <v>60</v>
      </c>
      <c r="H64" s="2" cm="1">
        <f t="array" ref="H64:J64">MMULT(H63:J63,m_trtE)</f>
        <v>1.7689307799052578E-4</v>
      </c>
      <c r="I64" s="2">
        <v>0.37174421697765653</v>
      </c>
      <c r="J64" s="2">
        <v>0.62807888994435301</v>
      </c>
      <c r="L64" s="23">
        <v>372.6286823676092</v>
      </c>
      <c r="N64" s="2">
        <v>0.2789850558112329</v>
      </c>
      <c r="P64" s="25">
        <f t="shared" si="35"/>
        <v>0.1697330900164177</v>
      </c>
      <c r="Q64" s="25">
        <f t="shared" si="36"/>
        <v>0.1697330900164177</v>
      </c>
      <c r="R64" s="25"/>
      <c r="S64" s="25">
        <f t="shared" ref="S64" si="65">4/3</f>
        <v>1.3333333333333333</v>
      </c>
      <c r="T64" s="25"/>
      <c r="U64" s="24">
        <f t="shared" si="2"/>
        <v>0.22631078668855692</v>
      </c>
      <c r="V64" s="24">
        <f t="shared" si="3"/>
        <v>0.22631078668855692</v>
      </c>
    </row>
    <row r="65" spans="7:22" x14ac:dyDescent="0.2">
      <c r="G65" s="22">
        <f t="shared" ref="G65:G79" si="66">G64+1</f>
        <v>61</v>
      </c>
      <c r="H65" s="2" cm="1">
        <f t="array" ref="H65:J65">MMULT(H64:J64,m_trtE)</f>
        <v>1.5316963807513432E-4</v>
      </c>
      <c r="I65" s="2">
        <v>0.36513521061872267</v>
      </c>
      <c r="J65" s="2">
        <v>0.63471161974320223</v>
      </c>
      <c r="L65" s="23">
        <v>365.90105880909834</v>
      </c>
      <c r="N65" s="2">
        <v>0.27400457760211716</v>
      </c>
      <c r="P65" s="25">
        <f t="shared" si="35"/>
        <v>0.16478940778292983</v>
      </c>
      <c r="Q65" s="25">
        <f t="shared" si="36"/>
        <v>0.16478940778292983</v>
      </c>
      <c r="R65" s="25"/>
      <c r="S65" s="25">
        <f t="shared" ref="S65" si="67">2/3</f>
        <v>0.66666666666666663</v>
      </c>
      <c r="T65" s="25"/>
      <c r="U65" s="24">
        <f t="shared" si="2"/>
        <v>0.10985960518861988</v>
      </c>
      <c r="V65" s="24">
        <f t="shared" si="3"/>
        <v>0.10985960518861988</v>
      </c>
    </row>
    <row r="66" spans="7:22" x14ac:dyDescent="0.2">
      <c r="G66" s="22">
        <f t="shared" si="66"/>
        <v>62</v>
      </c>
      <c r="H66" s="2" cm="1">
        <f t="array" ref="H66:J66">MMULT(H65:J65,m_trtE)</f>
        <v>1.3262779015764644E-4</v>
      </c>
      <c r="I66" s="2">
        <v>0.35864108101610448</v>
      </c>
      <c r="J66" s="2">
        <v>0.64122629119373797</v>
      </c>
      <c r="L66" s="23">
        <v>359.30421996689267</v>
      </c>
      <c r="N66" s="2">
        <v>0.26911343855223602</v>
      </c>
      <c r="P66" s="25">
        <f t="shared" si="35"/>
        <v>0.15998971629410663</v>
      </c>
      <c r="Q66" s="25">
        <f t="shared" si="36"/>
        <v>0.15998971629410663</v>
      </c>
      <c r="R66" s="25"/>
      <c r="S66" s="25">
        <f t="shared" ref="S66" si="68">4/3</f>
        <v>1.3333333333333333</v>
      </c>
      <c r="T66" s="25"/>
      <c r="U66" s="24">
        <f t="shared" si="2"/>
        <v>0.2133196217254755</v>
      </c>
      <c r="V66" s="24">
        <f t="shared" si="3"/>
        <v>0.2133196217254755</v>
      </c>
    </row>
    <row r="67" spans="7:22" x14ac:dyDescent="0.2">
      <c r="G67" s="22">
        <f t="shared" si="66"/>
        <v>63</v>
      </c>
      <c r="H67" s="2" cm="1">
        <f t="array" ref="H67:J67">MMULT(H66:J66,m_trtE)</f>
        <v>1.1484084537349502E-4</v>
      </c>
      <c r="I67" s="2">
        <v>0.35226018405128418</v>
      </c>
      <c r="J67" s="2">
        <v>0.64762497510334238</v>
      </c>
      <c r="L67" s="23">
        <v>352.83438827815166</v>
      </c>
      <c r="N67" s="2">
        <v>0.26430997888383662</v>
      </c>
      <c r="P67" s="25">
        <f t="shared" si="35"/>
        <v>0.15532982164476369</v>
      </c>
      <c r="Q67" s="25">
        <f t="shared" si="36"/>
        <v>0.15532982164476369</v>
      </c>
      <c r="R67" s="25"/>
      <c r="S67" s="25">
        <f t="shared" ref="S67" si="69">2/3</f>
        <v>0.66666666666666663</v>
      </c>
      <c r="T67" s="25"/>
      <c r="U67" s="24">
        <f t="shared" si="2"/>
        <v>0.10355321442984246</v>
      </c>
      <c r="V67" s="24">
        <f t="shared" si="3"/>
        <v>0.10355321442984246</v>
      </c>
    </row>
    <row r="68" spans="7:22" x14ac:dyDescent="0.2">
      <c r="G68" s="22">
        <f t="shared" si="66"/>
        <v>64</v>
      </c>
      <c r="H68" s="2" cm="1">
        <f t="array" ref="H68:J68">MMULT(H67:J67,m_trtE)</f>
        <v>9.9439338847633174E-5</v>
      </c>
      <c r="I68" s="2">
        <v>0.34599085059783935</v>
      </c>
      <c r="J68" s="2">
        <v>0.65390971006331311</v>
      </c>
      <c r="L68" s="23">
        <v>346.48804729207751</v>
      </c>
      <c r="N68" s="2">
        <v>0.25959257728722718</v>
      </c>
      <c r="P68" s="25">
        <f t="shared" ref="P68:P79" si="70">(1 / ((1 + (d_c)) ^ (G68)))</f>
        <v>0.15080565208229488</v>
      </c>
      <c r="Q68" s="25">
        <f t="shared" ref="Q68:Q79" si="71">(1 / ((1 + (d_e)) ^ (G68)))</f>
        <v>0.15080565208229488</v>
      </c>
      <c r="R68" s="25"/>
      <c r="S68" s="25">
        <f t="shared" ref="S68" si="72">4/3</f>
        <v>1.3333333333333333</v>
      </c>
      <c r="T68" s="25"/>
      <c r="U68" s="24">
        <f t="shared" si="2"/>
        <v>0.20107420277639315</v>
      </c>
      <c r="V68" s="24">
        <f t="shared" si="3"/>
        <v>0.20107420277639315</v>
      </c>
    </row>
    <row r="69" spans="7:22" x14ac:dyDescent="0.2">
      <c r="G69" s="22">
        <f t="shared" si="66"/>
        <v>65</v>
      </c>
      <c r="H69" s="2" cm="1">
        <f t="array" ref="H69:J69">MMULT(H68:J68,m_trtE)</f>
        <v>8.6103355285266619E-5</v>
      </c>
      <c r="I69" s="2">
        <v>0.33983139425482589</v>
      </c>
      <c r="J69" s="2">
        <v>0.66008250238988897</v>
      </c>
      <c r="L69" s="23">
        <v>340.26191103125223</v>
      </c>
      <c r="N69" s="2">
        <v>0.25495964904640467</v>
      </c>
      <c r="P69" s="25">
        <f t="shared" si="70"/>
        <v>0.14641325444882999</v>
      </c>
      <c r="Q69" s="25">
        <f t="shared" si="71"/>
        <v>0.14641325444882999</v>
      </c>
      <c r="R69" s="25"/>
      <c r="S69" s="25">
        <f t="shared" ref="S69" si="73">2/3</f>
        <v>0.66666666666666663</v>
      </c>
      <c r="T69" s="25"/>
      <c r="U69" s="24">
        <f t="shared" ref="U69:U79" si="74">P69*S69</f>
        <v>9.7608836299219986E-2</v>
      </c>
      <c r="V69" s="24">
        <f t="shared" ref="V69:V79" si="75">Q69*S69</f>
        <v>9.7608836299219986E-2</v>
      </c>
    </row>
    <row r="70" spans="7:22" x14ac:dyDescent="0.2">
      <c r="G70" s="22">
        <f t="shared" si="66"/>
        <v>66</v>
      </c>
      <c r="H70" s="2" cm="1">
        <f t="array" ref="H70:J70">MMULT(H69:J69,m_trtE)</f>
        <v>7.4555883791028554E-5</v>
      </c>
      <c r="I70" s="2">
        <v>0.33378011796489737</v>
      </c>
      <c r="J70" s="2">
        <v>0.66614532615131172</v>
      </c>
      <c r="L70" s="23">
        <v>334.15289738385252</v>
      </c>
      <c r="N70" s="2">
        <v>0.25040964435746405</v>
      </c>
      <c r="P70" s="25">
        <f t="shared" si="70"/>
        <v>0.14214879072701941</v>
      </c>
      <c r="Q70" s="25">
        <f t="shared" si="71"/>
        <v>0.14214879072701941</v>
      </c>
      <c r="R70" s="25"/>
      <c r="S70" s="25">
        <f t="shared" ref="S70" si="76">4/3</f>
        <v>1.3333333333333333</v>
      </c>
      <c r="T70" s="25"/>
      <c r="U70" s="24">
        <f t="shared" si="74"/>
        <v>0.18953172096935922</v>
      </c>
      <c r="V70" s="24">
        <f t="shared" si="75"/>
        <v>0.18953172096935922</v>
      </c>
    </row>
    <row r="71" spans="7:22" x14ac:dyDescent="0.2">
      <c r="G71" s="22">
        <f t="shared" si="66"/>
        <v>67</v>
      </c>
      <c r="H71" s="2" cm="1">
        <f t="array" ref="H71:J71">MMULT(H70:J70,m_trtE)</f>
        <v>6.455706388497149E-5</v>
      </c>
      <c r="I71" s="2">
        <v>0.32783531966812396</v>
      </c>
      <c r="J71" s="2">
        <v>0.67210012326799118</v>
      </c>
      <c r="L71" s="23">
        <v>328.15810498754882</v>
      </c>
      <c r="N71" s="2">
        <v>0.24594104681497794</v>
      </c>
      <c r="P71" s="25">
        <f t="shared" si="70"/>
        <v>0.1380085346864266</v>
      </c>
      <c r="Q71" s="25">
        <f t="shared" si="71"/>
        <v>0.1380085346864266</v>
      </c>
      <c r="R71" s="25"/>
      <c r="S71" s="25">
        <f t="shared" ref="S71" si="77">2/3</f>
        <v>0.66666666666666663</v>
      </c>
      <c r="T71" s="25"/>
      <c r="U71" s="24">
        <f t="shared" si="74"/>
        <v>9.2005689790951056E-2</v>
      </c>
      <c r="V71" s="24">
        <f t="shared" si="75"/>
        <v>9.2005689790951056E-2</v>
      </c>
    </row>
    <row r="72" spans="7:22" x14ac:dyDescent="0.2">
      <c r="G72" s="22">
        <f t="shared" si="66"/>
        <v>68</v>
      </c>
      <c r="H72" s="2" cm="1">
        <f t="array" ref="H72:J72">MMULT(H71:J71,m_trtE)</f>
        <v>5.5899203195412822E-5</v>
      </c>
      <c r="I72" s="2">
        <v>0.32199529712220437</v>
      </c>
      <c r="J72" s="2">
        <v>0.67794880367460031</v>
      </c>
      <c r="L72" s="23">
        <v>322.27479313818145</v>
      </c>
      <c r="N72" s="2">
        <v>0.24155237204484867</v>
      </c>
      <c r="P72" s="25">
        <f t="shared" si="70"/>
        <v>0.13398886862759865</v>
      </c>
      <c r="Q72" s="25">
        <f t="shared" si="71"/>
        <v>0.13398886862759865</v>
      </c>
      <c r="R72" s="25"/>
      <c r="S72" s="25">
        <f t="shared" ref="S72" si="78">4/3</f>
        <v>1.3333333333333333</v>
      </c>
      <c r="T72" s="25"/>
      <c r="U72" s="24">
        <f t="shared" si="74"/>
        <v>0.1786518248367982</v>
      </c>
      <c r="V72" s="24">
        <f t="shared" si="75"/>
        <v>0.1786518248367982</v>
      </c>
    </row>
    <row r="73" spans="7:22" x14ac:dyDescent="0.2">
      <c r="G73" s="22">
        <f t="shared" si="66"/>
        <v>69</v>
      </c>
      <c r="H73" s="2" cm="1">
        <f t="array" ref="H73:J73">MMULT(H72:J72,m_trtE)</f>
        <v>4.8402463337702504E-5</v>
      </c>
      <c r="I73" s="2">
        <v>0.31625835200221125</v>
      </c>
      <c r="J73" s="2">
        <v>0.6836932455344511</v>
      </c>
      <c r="L73" s="23">
        <v>316.50036431889976</v>
      </c>
      <c r="N73" s="2">
        <v>0.23724216646499613</v>
      </c>
      <c r="P73" s="25">
        <f t="shared" si="70"/>
        <v>0.13008628022096957</v>
      </c>
      <c r="Q73" s="25">
        <f t="shared" si="71"/>
        <v>0.13008628022096957</v>
      </c>
      <c r="R73" s="25"/>
      <c r="S73" s="25">
        <f t="shared" ref="S73" si="79">2/3</f>
        <v>0.66666666666666663</v>
      </c>
      <c r="T73" s="25"/>
      <c r="U73" s="24">
        <f t="shared" si="74"/>
        <v>8.6724186813979712E-2</v>
      </c>
      <c r="V73" s="24">
        <f t="shared" si="75"/>
        <v>8.6724186813979712E-2</v>
      </c>
    </row>
    <row r="74" spans="7:22" x14ac:dyDescent="0.2">
      <c r="G74" s="22">
        <f t="shared" si="66"/>
        <v>70</v>
      </c>
      <c r="H74" s="2" cm="1">
        <f t="array" ref="H74:J74">MMULT(H73:J73,m_trtE)</f>
        <v>4.1911124367330676E-5</v>
      </c>
      <c r="I74" s="2">
        <v>0.31062279337781351</v>
      </c>
      <c r="J74" s="2">
        <v>0.68933529549781913</v>
      </c>
      <c r="L74" s="23">
        <v>310.83234899965021</v>
      </c>
      <c r="N74" s="2">
        <v>0.23300900615772746</v>
      </c>
      <c r="P74" s="25">
        <f t="shared" si="70"/>
        <v>0.12629735943783454</v>
      </c>
      <c r="Q74" s="25">
        <f t="shared" si="71"/>
        <v>0.12629735943783454</v>
      </c>
      <c r="R74" s="25"/>
      <c r="S74" s="25">
        <f t="shared" ref="S74" si="80">4/3</f>
        <v>1.3333333333333333</v>
      </c>
      <c r="T74" s="25"/>
      <c r="U74" s="24">
        <f t="shared" si="74"/>
        <v>0.16839647925044604</v>
      </c>
      <c r="V74" s="24">
        <f t="shared" si="75"/>
        <v>0.16839647925044604</v>
      </c>
    </row>
    <row r="75" spans="7:22" x14ac:dyDescent="0.2">
      <c r="G75" s="22">
        <f t="shared" si="66"/>
        <v>71</v>
      </c>
      <c r="H75" s="2" cm="1">
        <f t="array" ref="H75:J75">MMULT(H74:J74,m_trtE)</f>
        <v>3.6290350213759102E-5</v>
      </c>
      <c r="I75" s="2">
        <v>0.30508694065276065</v>
      </c>
      <c r="J75" s="2">
        <v>0.69487676899702555</v>
      </c>
      <c r="L75" s="23">
        <v>305.26839240382941</v>
      </c>
      <c r="N75" s="2">
        <v>0.22885149583978426</v>
      </c>
      <c r="P75" s="25">
        <f t="shared" si="70"/>
        <v>0.12261879557071313</v>
      </c>
      <c r="Q75" s="25">
        <f t="shared" si="71"/>
        <v>0.12261879557071313</v>
      </c>
      <c r="R75" s="25"/>
      <c r="S75" s="25">
        <f t="shared" ref="S75" si="81">2/3</f>
        <v>0.66666666666666663</v>
      </c>
      <c r="T75" s="25"/>
      <c r="U75" s="24">
        <f t="shared" si="74"/>
        <v>8.174586371380875E-2</v>
      </c>
      <c r="V75" s="24">
        <f t="shared" si="75"/>
        <v>8.174586371380875E-2</v>
      </c>
    </row>
    <row r="76" spans="7:22" x14ac:dyDescent="0.2">
      <c r="G76" s="22">
        <f t="shared" si="66"/>
        <v>72</v>
      </c>
      <c r="H76" s="2" cm="1">
        <f t="array" ref="H76:J76">MMULT(H75:J75,m_trtE)</f>
        <v>3.1423387907575826E-5</v>
      </c>
      <c r="I76" s="2">
        <v>0.29964912604001886</v>
      </c>
      <c r="J76" s="2">
        <v>0.70031945057207345</v>
      </c>
      <c r="L76" s="23">
        <v>299.80624297955677</v>
      </c>
      <c r="N76" s="2">
        <v>0.2247682679179217</v>
      </c>
      <c r="P76" s="25">
        <f t="shared" si="70"/>
        <v>0.1190473743404982</v>
      </c>
      <c r="Q76" s="25">
        <f t="shared" si="71"/>
        <v>0.1190473743404982</v>
      </c>
      <c r="R76" s="25"/>
      <c r="S76" s="25">
        <f t="shared" ref="S76" si="82">4/3</f>
        <v>1.3333333333333333</v>
      </c>
      <c r="T76" s="25"/>
      <c r="U76" s="24">
        <f t="shared" si="74"/>
        <v>0.15872983245399758</v>
      </c>
      <c r="V76" s="24">
        <f t="shared" si="75"/>
        <v>0.15872983245399758</v>
      </c>
    </row>
    <row r="77" spans="7:22" x14ac:dyDescent="0.2">
      <c r="G77" s="22">
        <f t="shared" si="66"/>
        <v>73</v>
      </c>
      <c r="H77" s="2" cm="1">
        <f t="array" ref="H77:J77">MMULT(H76:J76,m_trtE)</f>
        <v>2.7209142424192126E-5</v>
      </c>
      <c r="I77" s="2">
        <v>0.29430769663608547</v>
      </c>
      <c r="J77" s="2">
        <v>0.70566509422149026</v>
      </c>
      <c r="L77" s="23">
        <v>294.44374234820646</v>
      </c>
      <c r="N77" s="2">
        <v>0.22075798161948829</v>
      </c>
      <c r="P77" s="25">
        <f t="shared" si="70"/>
        <v>0.11557997508786232</v>
      </c>
      <c r="Q77" s="25">
        <f t="shared" si="71"/>
        <v>0.11557997508786232</v>
      </c>
      <c r="R77" s="25"/>
      <c r="S77" s="25">
        <f t="shared" ref="S77" si="83">2/3</f>
        <v>0.66666666666666663</v>
      </c>
      <c r="T77" s="25"/>
      <c r="U77" s="24">
        <f t="shared" si="74"/>
        <v>7.7053316725241544E-2</v>
      </c>
      <c r="V77" s="24">
        <f t="shared" si="75"/>
        <v>7.7053316725241544E-2</v>
      </c>
    </row>
    <row r="78" spans="7:22" x14ac:dyDescent="0.2">
      <c r="G78" s="22">
        <f t="shared" si="66"/>
        <v>74</v>
      </c>
      <c r="H78" s="2" cm="1">
        <f t="array" ref="H78:J78">MMULT(H77:J77,m_trtE)</f>
        <v>2.3560076769490689E-5</v>
      </c>
      <c r="I78" s="2">
        <v>0.28906101614946456</v>
      </c>
      <c r="J78" s="2">
        <v>0.71091542377376593</v>
      </c>
      <c r="L78" s="23">
        <v>289.17881653331199</v>
      </c>
      <c r="N78" s="2">
        <v>0.2168193221888679</v>
      </c>
      <c r="P78" s="25">
        <f t="shared" si="70"/>
        <v>0.11221356804646829</v>
      </c>
      <c r="Q78" s="25">
        <f t="shared" si="71"/>
        <v>0.11221356804646829</v>
      </c>
      <c r="R78" s="25"/>
      <c r="S78" s="25">
        <f t="shared" ref="S78" si="84">4/3</f>
        <v>1.3333333333333333</v>
      </c>
      <c r="T78" s="25"/>
      <c r="U78" s="24">
        <f t="shared" si="74"/>
        <v>0.14961809072862436</v>
      </c>
      <c r="V78" s="24">
        <f t="shared" si="75"/>
        <v>0.14961809072862436</v>
      </c>
    </row>
    <row r="79" spans="7:22" x14ac:dyDescent="0.2">
      <c r="G79" s="22">
        <f t="shared" si="66"/>
        <v>75</v>
      </c>
      <c r="H79" s="2" cm="1">
        <f t="array" ref="H79:J79">MMULT(H78:J78,m_trtE)</f>
        <v>2.0400393688658335E-5</v>
      </c>
      <c r="I79" s="2">
        <v>0.28390746633089192</v>
      </c>
      <c r="J79" s="2">
        <v>0.71607213327541941</v>
      </c>
      <c r="L79" s="23">
        <v>284.0094682993352</v>
      </c>
      <c r="N79" s="2">
        <v>0.21295100014185761</v>
      </c>
      <c r="P79" s="25">
        <f t="shared" si="70"/>
        <v>0.10894521169560026</v>
      </c>
      <c r="Q79" s="25">
        <f t="shared" si="71"/>
        <v>0.10894521169560026</v>
      </c>
      <c r="R79" s="25"/>
      <c r="S79" s="25">
        <f>1/3</f>
        <v>0.33333333333333331</v>
      </c>
      <c r="T79" s="26"/>
      <c r="U79" s="24">
        <f t="shared" si="74"/>
        <v>3.6315070565200086E-2</v>
      </c>
      <c r="V79" s="24">
        <f t="shared" si="75"/>
        <v>3.6315070565200086E-2</v>
      </c>
    </row>
  </sheetData>
  <mergeCells count="2">
    <mergeCell ref="G1:J1"/>
    <mergeCell ref="P1:Q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5B48-814B-6549-AC5C-26C78DA4F199}">
  <dimension ref="A1:H30"/>
  <sheetViews>
    <sheetView topLeftCell="A17" zoomScale="221" zoomScaleNormal="221" workbookViewId="0">
      <selection activeCell="F23" sqref="F23"/>
    </sheetView>
  </sheetViews>
  <sheetFormatPr baseColWidth="10" defaultRowHeight="16" x14ac:dyDescent="0.2"/>
  <cols>
    <col min="1" max="2" width="10.83203125" style="2"/>
    <col min="3" max="4" width="18.5" style="2" customWidth="1"/>
    <col min="5" max="5" width="16.33203125" style="2" customWidth="1"/>
    <col min="6" max="6" width="17.1640625" style="2" customWidth="1"/>
    <col min="7" max="16384" width="10.83203125" style="2"/>
  </cols>
  <sheetData>
    <row r="1" spans="1:8" x14ac:dyDescent="0.2">
      <c r="A1" s="51" t="s">
        <v>229</v>
      </c>
    </row>
    <row r="2" spans="1:8" x14ac:dyDescent="0.2">
      <c r="A2" s="11" t="s">
        <v>223</v>
      </c>
    </row>
    <row r="3" spans="1:8" x14ac:dyDescent="0.2">
      <c r="B3" s="30" t="s">
        <v>79</v>
      </c>
      <c r="C3" s="30" t="s">
        <v>90</v>
      </c>
      <c r="D3" s="30" t="s">
        <v>91</v>
      </c>
      <c r="E3" s="30" t="s">
        <v>92</v>
      </c>
      <c r="F3" s="30" t="s">
        <v>93</v>
      </c>
      <c r="G3" s="30" t="s">
        <v>94</v>
      </c>
      <c r="H3" s="30" t="s">
        <v>95</v>
      </c>
    </row>
    <row r="4" spans="1:8" x14ac:dyDescent="0.2">
      <c r="B4" s="2" t="s">
        <v>52</v>
      </c>
      <c r="C4" s="31" cm="1">
        <f t="array" ref="C4">MMULT(TRANSPOSE(w_c_trtA),tot_cost_trtA)</f>
        <v>16453.963196963938</v>
      </c>
      <c r="D4" s="32" cm="1">
        <f t="array" ref="D4">MMULT(TRANSPOSE(w_e_trtA),tot_qaly_trtA)</f>
        <v>17.331784770455506</v>
      </c>
      <c r="E4" s="33"/>
      <c r="F4" s="33"/>
      <c r="G4" s="33"/>
    </row>
    <row r="5" spans="1:8" x14ac:dyDescent="0.2">
      <c r="B5" s="2" t="s">
        <v>63</v>
      </c>
      <c r="C5" s="34" cm="1">
        <f t="array" ref="C5">MMULT(TRANSPOSE(w_c_trtB),tot_cost_trtB)</f>
        <v>21456.574145621049</v>
      </c>
      <c r="D5" s="33" cm="1">
        <f t="array" ref="D5">MMULT(TRANSPOSE(w_c_trtB),tot_qaly_trtB)</f>
        <v>17.408871981529099</v>
      </c>
      <c r="E5" s="34">
        <f t="shared" ref="E5:F8" si="0">C5-C4</f>
        <v>5002.6109486571113</v>
      </c>
      <c r="F5" s="35">
        <f t="shared" si="0"/>
        <v>7.7087211073592954E-2</v>
      </c>
      <c r="G5" s="34">
        <f>E5/F5</f>
        <v>64895.472011320555</v>
      </c>
    </row>
    <row r="6" spans="1:8" x14ac:dyDescent="0.2">
      <c r="B6" s="2" t="s">
        <v>151</v>
      </c>
      <c r="C6" s="34" cm="1">
        <f t="array" ref="C6">MMULT(TRANSPOSE(w_c_trtD),tot_cost_trtD)</f>
        <v>24504.093412430298</v>
      </c>
      <c r="D6" s="33" cm="1">
        <f t="array" ref="D6">MMULT(TRANSPOSE(w_c_trtD),tot_qaly_trtD)</f>
        <v>17.491260092821058</v>
      </c>
      <c r="E6" s="34">
        <f t="shared" si="0"/>
        <v>3047.5192668092495</v>
      </c>
      <c r="F6" s="35">
        <f t="shared" si="0"/>
        <v>8.2388111291958666E-2</v>
      </c>
      <c r="G6" s="34">
        <f>E6/F6</f>
        <v>36989.794025132564</v>
      </c>
    </row>
    <row r="7" spans="1:8" x14ac:dyDescent="0.2">
      <c r="B7" s="2" t="s">
        <v>132</v>
      </c>
      <c r="C7" s="34" cm="1">
        <f t="array" ref="C7">MMULT(TRANSPOSE(w_c_trtC),tot_cost_trtC)</f>
        <v>33443.28196994379</v>
      </c>
      <c r="D7" s="33" cm="1">
        <f t="array" ref="D7">MMULT(TRANSPOSE(w_c_trtC),tot_qaly_trtC)</f>
        <v>17.579511263630753</v>
      </c>
      <c r="E7" s="34">
        <f t="shared" si="0"/>
        <v>8939.1885575134911</v>
      </c>
      <c r="F7" s="35">
        <f t="shared" si="0"/>
        <v>8.8251170809694912E-2</v>
      </c>
      <c r="G7" s="34">
        <f>E7/F7</f>
        <v>101292.57748647872</v>
      </c>
    </row>
    <row r="8" spans="1:8" x14ac:dyDescent="0.2">
      <c r="B8" s="2" t="s">
        <v>183</v>
      </c>
      <c r="C8" s="34" cm="1">
        <f t="array" ref="C8">MMULT(TRANSPOSE(w_c_trtE),tot_cost_trtE)</f>
        <v>43331.75116277334</v>
      </c>
      <c r="D8" s="33" cm="1">
        <f t="array" ref="D8">MMULT(TRANSPOSE(w_c_trtE),tot_qaly_trtE)</f>
        <v>17.491260092821058</v>
      </c>
      <c r="E8" s="34">
        <f t="shared" si="0"/>
        <v>9888.4691928295506</v>
      </c>
      <c r="F8" s="35">
        <f t="shared" si="0"/>
        <v>-8.8251170809694912E-2</v>
      </c>
      <c r="G8" s="34">
        <f>E8/F8</f>
        <v>-112049.15585939449</v>
      </c>
      <c r="H8" s="2" t="s">
        <v>224</v>
      </c>
    </row>
    <row r="10" spans="1:8" x14ac:dyDescent="0.2">
      <c r="A10" s="11" t="s">
        <v>225</v>
      </c>
    </row>
    <row r="11" spans="1:8" x14ac:dyDescent="0.2">
      <c r="B11" s="30" t="s">
        <v>79</v>
      </c>
      <c r="C11" s="30" t="s">
        <v>90</v>
      </c>
      <c r="D11" s="30" t="s">
        <v>91</v>
      </c>
      <c r="E11" s="30" t="s">
        <v>92</v>
      </c>
      <c r="F11" s="30" t="s">
        <v>93</v>
      </c>
      <c r="G11" s="30" t="s">
        <v>94</v>
      </c>
      <c r="H11" s="30" t="s">
        <v>95</v>
      </c>
    </row>
    <row r="12" spans="1:8" x14ac:dyDescent="0.2">
      <c r="B12" s="2" t="s">
        <v>52</v>
      </c>
      <c r="C12" s="31" cm="1">
        <f t="array" ref="C12">MMULT(TRANSPOSE(w_c_trtA),tot_cost_trtA)</f>
        <v>16453.963196963938</v>
      </c>
      <c r="D12" s="32" cm="1">
        <f t="array" ref="D12">MMULT(TRANSPOSE(w_e_trtA),tot_qaly_trtA)</f>
        <v>17.331784770455506</v>
      </c>
      <c r="E12" s="33"/>
      <c r="F12" s="33"/>
      <c r="G12" s="33"/>
    </row>
    <row r="13" spans="1:8" x14ac:dyDescent="0.2">
      <c r="B13" s="2" t="s">
        <v>63</v>
      </c>
      <c r="C13" s="34" cm="1">
        <f t="array" ref="C13">MMULT(TRANSPOSE(w_c_trtB),tot_cost_trtB)</f>
        <v>21456.574145621049</v>
      </c>
      <c r="D13" s="33" cm="1">
        <f t="array" ref="D13">MMULT(TRANSPOSE(w_c_trtB),tot_qaly_trtB)</f>
        <v>17.408871981529099</v>
      </c>
      <c r="E13" s="34">
        <f t="shared" ref="E13:F15" si="1">C13-C12</f>
        <v>5002.6109486571113</v>
      </c>
      <c r="F13" s="35">
        <f t="shared" si="1"/>
        <v>7.7087211073592954E-2</v>
      </c>
      <c r="G13" s="34">
        <f>E13/F13</f>
        <v>64895.472011320555</v>
      </c>
      <c r="H13" s="2" t="s">
        <v>226</v>
      </c>
    </row>
    <row r="14" spans="1:8" x14ac:dyDescent="0.2">
      <c r="B14" s="2" t="s">
        <v>151</v>
      </c>
      <c r="C14" s="34" cm="1">
        <f t="array" ref="C14">MMULT(TRANSPOSE(w_c_trtD),tot_cost_trtD)</f>
        <v>24504.093412430298</v>
      </c>
      <c r="D14" s="33" cm="1">
        <f t="array" ref="D14">MMULT(TRANSPOSE(w_c_trtD),tot_qaly_trtD)</f>
        <v>17.491260092821058</v>
      </c>
      <c r="E14" s="34">
        <f t="shared" si="1"/>
        <v>3047.5192668092495</v>
      </c>
      <c r="F14" s="35">
        <f t="shared" si="1"/>
        <v>8.2388111291958666E-2</v>
      </c>
      <c r="G14" s="34">
        <f>E14/F14</f>
        <v>36989.794025132564</v>
      </c>
    </row>
    <row r="15" spans="1:8" x14ac:dyDescent="0.2">
      <c r="B15" s="2" t="s">
        <v>132</v>
      </c>
      <c r="C15" s="34" cm="1">
        <f t="array" ref="C15">MMULT(TRANSPOSE(w_c_trtC),tot_cost_trtC)</f>
        <v>33443.28196994379</v>
      </c>
      <c r="D15" s="33" cm="1">
        <f t="array" ref="D15">MMULT(TRANSPOSE(w_c_trtC),tot_qaly_trtC)</f>
        <v>17.579511263630753</v>
      </c>
      <c r="E15" s="34">
        <f t="shared" si="1"/>
        <v>8939.1885575134911</v>
      </c>
      <c r="F15" s="35">
        <f t="shared" si="1"/>
        <v>8.8251170809694912E-2</v>
      </c>
      <c r="G15" s="34">
        <f>E15/F15</f>
        <v>101292.57748647872</v>
      </c>
    </row>
    <row r="17" spans="1:8" x14ac:dyDescent="0.2">
      <c r="A17" s="11" t="s">
        <v>227</v>
      </c>
    </row>
    <row r="18" spans="1:8" x14ac:dyDescent="0.2">
      <c r="B18" s="30" t="s">
        <v>79</v>
      </c>
      <c r="C18" s="30" t="s">
        <v>90</v>
      </c>
      <c r="D18" s="30" t="s">
        <v>91</v>
      </c>
      <c r="E18" s="30" t="s">
        <v>92</v>
      </c>
      <c r="F18" s="30" t="s">
        <v>93</v>
      </c>
      <c r="G18" s="30" t="s">
        <v>94</v>
      </c>
      <c r="H18" s="30" t="s">
        <v>95</v>
      </c>
    </row>
    <row r="19" spans="1:8" x14ac:dyDescent="0.2">
      <c r="B19" s="2" t="s">
        <v>52</v>
      </c>
      <c r="C19" s="31" cm="1">
        <f t="array" ref="C19">MMULT(TRANSPOSE(w_c_trtA),tot_cost_trtA)</f>
        <v>16453.963196963938</v>
      </c>
      <c r="D19" s="32" cm="1">
        <f t="array" ref="D19">MMULT(TRANSPOSE(w_e_trtA),tot_qaly_trtA)</f>
        <v>17.331784770455506</v>
      </c>
      <c r="E19" s="33"/>
      <c r="F19" s="33"/>
      <c r="G19" s="33"/>
    </row>
    <row r="20" spans="1:8" x14ac:dyDescent="0.2">
      <c r="B20" s="2" t="s">
        <v>151</v>
      </c>
      <c r="C20" s="34" cm="1">
        <f t="array" ref="C20">MMULT(TRANSPOSE(w_c_trtD),tot_cost_trtD)</f>
        <v>24504.093412430298</v>
      </c>
      <c r="D20" s="33" cm="1">
        <f t="array" ref="D20">MMULT(TRANSPOSE(w_c_trtD),tot_qaly_trtD)</f>
        <v>17.491260092821058</v>
      </c>
      <c r="E20" s="34">
        <f>C20-C19</f>
        <v>8050.1302154663608</v>
      </c>
      <c r="F20" s="35">
        <f>D20-D19</f>
        <v>0.15947532236555162</v>
      </c>
      <c r="G20" s="34">
        <f>E20/F20</f>
        <v>50478.845855622334</v>
      </c>
    </row>
    <row r="21" spans="1:8" x14ac:dyDescent="0.2">
      <c r="B21" s="2" t="s">
        <v>132</v>
      </c>
      <c r="C21" s="34" cm="1">
        <f t="array" ref="C21">MMULT(TRANSPOSE(w_c_trtC),tot_cost_trtC)</f>
        <v>33443.28196994379</v>
      </c>
      <c r="D21" s="33" cm="1">
        <f t="array" ref="D21">MMULT(TRANSPOSE(w_c_trtC),tot_qaly_trtC)</f>
        <v>17.579511263630753</v>
      </c>
      <c r="E21" s="34">
        <f>C21-C20</f>
        <v>8939.1885575134911</v>
      </c>
      <c r="F21" s="35">
        <f>D21-D20</f>
        <v>8.8251170809694912E-2</v>
      </c>
      <c r="G21" s="34">
        <f>E21/F21</f>
        <v>101292.57748647872</v>
      </c>
    </row>
    <row r="24" spans="1:8" x14ac:dyDescent="0.2">
      <c r="A24" s="11" t="s">
        <v>228</v>
      </c>
    </row>
    <row r="25" spans="1:8" x14ac:dyDescent="0.2">
      <c r="B25" s="30" t="s">
        <v>79</v>
      </c>
      <c r="C25" s="30" t="s">
        <v>90</v>
      </c>
      <c r="D25" s="30" t="s">
        <v>91</v>
      </c>
      <c r="E25" s="30" t="s">
        <v>92</v>
      </c>
      <c r="F25" s="30" t="s">
        <v>93</v>
      </c>
      <c r="G25" s="30" t="s">
        <v>94</v>
      </c>
      <c r="H25" s="30" t="s">
        <v>95</v>
      </c>
    </row>
    <row r="26" spans="1:8" x14ac:dyDescent="0.2">
      <c r="B26" s="2" t="s">
        <v>52</v>
      </c>
      <c r="C26" s="31" cm="1">
        <f t="array" ref="C26">MMULT(TRANSPOSE(w_c_trtA),tot_cost_trtA)</f>
        <v>16453.963196963938</v>
      </c>
      <c r="D26" s="32" cm="1">
        <f t="array" ref="D26">MMULT(TRANSPOSE(w_e_trtA),tot_qaly_trtA)</f>
        <v>17.331784770455506</v>
      </c>
      <c r="E26" s="33"/>
      <c r="F26" s="33"/>
      <c r="G26" s="33"/>
    </row>
    <row r="27" spans="1:8" x14ac:dyDescent="0.2">
      <c r="B27" s="2" t="s">
        <v>151</v>
      </c>
      <c r="C27" s="34" cm="1">
        <f t="array" ref="C27">MMULT(TRANSPOSE(w_c_trtD),tot_cost_trtD)</f>
        <v>24504.093412430298</v>
      </c>
      <c r="D27" s="33" cm="1">
        <f t="array" ref="D27">MMULT(TRANSPOSE(w_c_trtD),tot_qaly_trtD)</f>
        <v>17.491260092821058</v>
      </c>
      <c r="E27" s="34">
        <f>C27-C26</f>
        <v>8050.1302154663608</v>
      </c>
      <c r="F27" s="35">
        <f>D27-D26</f>
        <v>0.15947532236555162</v>
      </c>
      <c r="G27" s="34">
        <f>E27/F27</f>
        <v>50478.845855622334</v>
      </c>
    </row>
    <row r="28" spans="1:8" x14ac:dyDescent="0.2">
      <c r="B28" s="2" t="s">
        <v>132</v>
      </c>
      <c r="C28" s="34" cm="1">
        <f t="array" ref="C28">MMULT(TRANSPOSE(w_c_trtC),tot_cost_trtC)</f>
        <v>33443.28196994379</v>
      </c>
      <c r="D28" s="33" cm="1">
        <f t="array" ref="D28">MMULT(TRANSPOSE(w_c_trtC),tot_qaly_trtC)</f>
        <v>17.579511263630753</v>
      </c>
      <c r="E28" s="34">
        <f>C28-C27</f>
        <v>8939.1885575134911</v>
      </c>
      <c r="F28" s="35">
        <f>D28-D27</f>
        <v>8.8251170809694912E-2</v>
      </c>
      <c r="G28" s="34">
        <f>E28/F28</f>
        <v>101292.57748647872</v>
      </c>
    </row>
    <row r="29" spans="1:8" x14ac:dyDescent="0.2">
      <c r="B29" s="2" t="s">
        <v>63</v>
      </c>
      <c r="C29" s="34" cm="1">
        <f t="array" ref="C29">MMULT(TRANSPOSE(w_c_trtB),tot_cost_trtB)</f>
        <v>21456.574145621049</v>
      </c>
      <c r="D29" s="33" cm="1">
        <f t="array" ref="D29">MMULT(TRANSPOSE(w_c_trtB),tot_qaly_trtB)</f>
        <v>17.408871981529099</v>
      </c>
      <c r="E29" s="34"/>
      <c r="F29" s="35"/>
      <c r="G29" s="34"/>
      <c r="H29" s="2" t="s">
        <v>226</v>
      </c>
    </row>
    <row r="30" spans="1:8" x14ac:dyDescent="0.2">
      <c r="B30" s="2" t="s">
        <v>183</v>
      </c>
      <c r="C30" s="34" cm="1">
        <f t="array" ref="C30">MMULT(TRANSPOSE(w_c_trtE),tot_cost_trtE)</f>
        <v>43331.75116277334</v>
      </c>
      <c r="D30" s="33" cm="1">
        <f t="array" ref="D30">MMULT(TRANSPOSE(w_c_trtE),tot_qaly_trtE)</f>
        <v>17.491260092821058</v>
      </c>
      <c r="E30" s="34"/>
      <c r="F30" s="35"/>
      <c r="G30" s="34"/>
      <c r="H30" s="2" t="s">
        <v>224</v>
      </c>
    </row>
  </sheetData>
  <sortState xmlns:xlrd2="http://schemas.microsoft.com/office/spreadsheetml/2017/richdata2" ref="B4:H8">
    <sortCondition ref="C4:C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8BBC-8036-CF42-97DE-A12BCD5DF531}">
  <dimension ref="A1:Q35"/>
  <sheetViews>
    <sheetView topLeftCell="G3" zoomScale="162" zoomScaleNormal="162" workbookViewId="0">
      <selection activeCell="G13" activeCellId="2" sqref="G11 G14 G13"/>
    </sheetView>
  </sheetViews>
  <sheetFormatPr baseColWidth="10" defaultRowHeight="16" x14ac:dyDescent="0.2"/>
  <cols>
    <col min="1" max="2" width="10.83203125" style="2"/>
    <col min="3" max="4" width="11.6640625" style="2" customWidth="1"/>
    <col min="5" max="5" width="15.33203125" style="2" customWidth="1"/>
    <col min="6" max="6" width="11.6640625" style="2" customWidth="1"/>
    <col min="7" max="7" width="11.6640625" style="6" customWidth="1"/>
    <col min="8" max="8" width="11.6640625" style="2" customWidth="1"/>
    <col min="9" max="10" width="11.5" style="2" bestFit="1" customWidth="1"/>
    <col min="11" max="17" width="13" style="2" bestFit="1" customWidth="1"/>
    <col min="18" max="16384" width="10.83203125" style="2"/>
  </cols>
  <sheetData>
    <row r="1" spans="1:17" x14ac:dyDescent="0.2">
      <c r="A1" s="2" t="s">
        <v>240</v>
      </c>
    </row>
    <row r="2" spans="1:17" x14ac:dyDescent="0.2">
      <c r="C2" s="30"/>
      <c r="D2" s="30" t="s">
        <v>235</v>
      </c>
      <c r="E2" s="30" t="s">
        <v>234</v>
      </c>
    </row>
    <row r="3" spans="1:17" x14ac:dyDescent="0.2">
      <c r="C3" s="2" t="s">
        <v>52</v>
      </c>
      <c r="D3" s="31" t="e" cm="1">
        <f t="array" ref="D3">MMULT(TRANSPOSE(w_c_trtA),tot_cost_trtA)</f>
        <v>#REF!</v>
      </c>
      <c r="E3" s="32" t="e" cm="1">
        <f t="array" ref="E3">MMULT(TRANSPOSE(w_e_trtA),tot_qaly_trtA)</f>
        <v>#REF!</v>
      </c>
      <c r="F3" s="33"/>
      <c r="G3" s="25"/>
    </row>
    <row r="4" spans="1:17" x14ac:dyDescent="0.2">
      <c r="C4" s="2" t="s">
        <v>63</v>
      </c>
      <c r="D4" s="34" t="e" cm="1">
        <f t="array" ref="D4">MMULT(TRANSPOSE(w_c_trtB),tot_cost_trtB)</f>
        <v>#REF!</v>
      </c>
      <c r="E4" s="33" t="e" cm="1">
        <f t="array" ref="E4">MMULT(TRANSPOSE(w_c_trtB),tot_qaly_trtB)</f>
        <v>#REF!</v>
      </c>
      <c r="F4" s="34"/>
      <c r="G4" s="57"/>
      <c r="H4" s="34"/>
    </row>
    <row r="5" spans="1:17" x14ac:dyDescent="0.2">
      <c r="C5" s="2" t="s">
        <v>132</v>
      </c>
      <c r="D5" s="34" t="e" cm="1">
        <f t="array" ref="D5">MMULT(TRANSPOSE(w_c_trtC),tot_cost_trtC)</f>
        <v>#REF!</v>
      </c>
      <c r="E5" s="33" t="e" cm="1">
        <f t="array" ref="E5">MMULT(TRANSPOSE(w_c_trtC),tot_qaly_trtC)</f>
        <v>#REF!</v>
      </c>
      <c r="F5" s="34"/>
      <c r="G5" s="57"/>
      <c r="H5" s="34"/>
    </row>
    <row r="6" spans="1:17" x14ac:dyDescent="0.2">
      <c r="C6" s="2" t="s">
        <v>151</v>
      </c>
      <c r="D6" s="34" t="e" cm="1">
        <f t="array" ref="D6">MMULT(TRANSPOSE(w_c_trtD),tot_cost_trtD)</f>
        <v>#REF!</v>
      </c>
      <c r="E6" s="33" t="e" cm="1">
        <f t="array" ref="E6">MMULT(TRANSPOSE(w_c_trtD),tot_qaly_trtD)</f>
        <v>#REF!</v>
      </c>
    </row>
    <row r="7" spans="1:17" x14ac:dyDescent="0.2">
      <c r="C7" s="2" t="s">
        <v>183</v>
      </c>
      <c r="D7" s="34" t="e" cm="1">
        <f t="array" ref="D7">MMULT(TRANSPOSE(w_c_trtE),tot_cost_trtE)</f>
        <v>#REF!</v>
      </c>
      <c r="E7" s="33" t="e" cm="1">
        <f t="array" ref="E7">MMULT(TRANSPOSE(w_c_trtE),tot_qaly_trtE)</f>
        <v>#REF!</v>
      </c>
    </row>
    <row r="9" spans="1:17" x14ac:dyDescent="0.2">
      <c r="D9" s="55" t="s">
        <v>233</v>
      </c>
      <c r="E9" s="33" t="s">
        <v>232</v>
      </c>
      <c r="F9" s="2" t="s">
        <v>231</v>
      </c>
      <c r="H9" s="55"/>
    </row>
    <row r="10" spans="1:17" x14ac:dyDescent="0.2">
      <c r="B10" s="2" t="s">
        <v>230</v>
      </c>
      <c r="D10" s="55">
        <v>200000</v>
      </c>
      <c r="E10" s="2">
        <f t="shared" ref="E10:E35" si="0">IF(NOT(ISERR(D10)),D10,0)</f>
        <v>200000</v>
      </c>
      <c r="F10" s="2">
        <f t="shared" ref="F10:F35" si="1">IF(E10&lt;0,0,E10)</f>
        <v>200000</v>
      </c>
      <c r="H10" s="56" cm="1">
        <f t="array" ref="H10:I10">TRANSPOSE(_xlfn._xlws.SORT(_xlfn.UNIQUE(F10:F35)))</f>
        <v>0</v>
      </c>
      <c r="I10" s="30">
        <v>200000</v>
      </c>
      <c r="J10" s="30"/>
      <c r="K10" s="30"/>
      <c r="L10" s="30"/>
      <c r="M10" s="30"/>
      <c r="N10" s="30"/>
      <c r="O10" s="30"/>
      <c r="P10" s="30"/>
      <c r="Q10" s="30"/>
    </row>
    <row r="11" spans="1:17" x14ac:dyDescent="0.2">
      <c r="B11" s="2" t="s">
        <v>52</v>
      </c>
      <c r="C11" s="2" t="s">
        <v>52</v>
      </c>
      <c r="D11" s="76" t="e" cm="1">
        <f t="array" ref="D11:D15">(v_costs - D3) / (v_effects - E3)</f>
        <v>#REF!</v>
      </c>
      <c r="E11" s="2">
        <f t="shared" si="0"/>
        <v>0</v>
      </c>
      <c r="F11" s="2">
        <f t="shared" si="1"/>
        <v>0</v>
      </c>
      <c r="G11" s="6" t="s">
        <v>52</v>
      </c>
      <c r="H11" s="2" t="e" cm="1">
        <f t="array" ref="H11:H15">H$10*v_effects - v_costs</f>
        <v>#REF!</v>
      </c>
      <c r="I11" s="2" t="e" cm="1">
        <f t="array" ref="I11:I15">I$10*v_effects - v_costs</f>
        <v>#REF!</v>
      </c>
      <c r="J11" s="2" t="e" cm="1">
        <f t="array" ref="J11:J15">J$10*v_effects - v_costs</f>
        <v>#REF!</v>
      </c>
      <c r="K11" s="2" t="e" cm="1">
        <f t="array" ref="K11:K15">K$10*v_effects - v_costs</f>
        <v>#REF!</v>
      </c>
      <c r="L11" s="2" t="e" cm="1">
        <f t="array" ref="L11:L15">L$10*v_effects - v_costs</f>
        <v>#REF!</v>
      </c>
      <c r="M11" s="2" t="e" cm="1">
        <f t="array" ref="M11:M15">M$10*v_effects - v_costs</f>
        <v>#REF!</v>
      </c>
      <c r="N11" s="2" t="e" cm="1">
        <f t="array" ref="N11:N15">N$10*v_effects - v_costs</f>
        <v>#REF!</v>
      </c>
      <c r="O11" s="2" t="e" cm="1">
        <f t="array" ref="O11:O15">O$10*v_effects - v_costs</f>
        <v>#REF!</v>
      </c>
      <c r="P11" s="2" t="e" cm="1">
        <f t="array" ref="P11:P15">P$10*v_effects - v_costs</f>
        <v>#REF!</v>
      </c>
      <c r="Q11" s="2" t="e" cm="1">
        <f t="array" ref="Q11:Q15">Q$10*v_effects - v_costs</f>
        <v>#REF!</v>
      </c>
    </row>
    <row r="12" spans="1:17" x14ac:dyDescent="0.2">
      <c r="B12" s="2" t="s">
        <v>52</v>
      </c>
      <c r="C12" s="2" t="s">
        <v>63</v>
      </c>
      <c r="D12" s="34" t="e">
        <v>#REF!</v>
      </c>
      <c r="E12" s="2">
        <f t="shared" si="0"/>
        <v>0</v>
      </c>
      <c r="F12" s="2">
        <f t="shared" si="1"/>
        <v>0</v>
      </c>
      <c r="G12" s="6" t="s">
        <v>63</v>
      </c>
      <c r="H12" s="2" t="e">
        <v>#REF!</v>
      </c>
      <c r="I12" s="2" t="e">
        <v>#REF!</v>
      </c>
      <c r="J12" s="2" t="e">
        <v>#REF!</v>
      </c>
      <c r="K12" s="2" t="e">
        <v>#REF!</v>
      </c>
      <c r="L12" s="2" t="e">
        <v>#REF!</v>
      </c>
      <c r="M12" s="2" t="e">
        <v>#REF!</v>
      </c>
      <c r="N12" s="2" t="e">
        <v>#REF!</v>
      </c>
      <c r="O12" s="2" t="e">
        <v>#REF!</v>
      </c>
      <c r="P12" s="2" t="e">
        <v>#REF!</v>
      </c>
      <c r="Q12" s="2" t="e">
        <v>#REF!</v>
      </c>
    </row>
    <row r="13" spans="1:17" x14ac:dyDescent="0.2">
      <c r="B13" s="2" t="s">
        <v>52</v>
      </c>
      <c r="C13" s="2" t="s">
        <v>132</v>
      </c>
      <c r="D13" s="2" t="e">
        <v>#REF!</v>
      </c>
      <c r="E13" s="2">
        <f t="shared" si="0"/>
        <v>0</v>
      </c>
      <c r="F13" s="2">
        <f t="shared" si="1"/>
        <v>0</v>
      </c>
      <c r="G13" s="6" t="s">
        <v>132</v>
      </c>
      <c r="H13" s="2" t="e">
        <v>#REF!</v>
      </c>
      <c r="I13" s="2" t="e">
        <v>#REF!</v>
      </c>
      <c r="J13" s="2" t="e">
        <v>#REF!</v>
      </c>
      <c r="K13" s="2" t="e">
        <v>#REF!</v>
      </c>
      <c r="L13" s="2" t="e">
        <v>#REF!</v>
      </c>
      <c r="M13" s="2" t="e">
        <v>#REF!</v>
      </c>
      <c r="N13" s="2" t="e">
        <v>#REF!</v>
      </c>
      <c r="O13" s="2" t="e">
        <v>#REF!</v>
      </c>
      <c r="P13" s="2" t="e">
        <v>#REF!</v>
      </c>
      <c r="Q13" s="2" t="e">
        <v>#REF!</v>
      </c>
    </row>
    <row r="14" spans="1:17" x14ac:dyDescent="0.2">
      <c r="B14" s="2" t="s">
        <v>52</v>
      </c>
      <c r="C14" s="2" t="s">
        <v>151</v>
      </c>
      <c r="D14" s="2" t="e">
        <v>#REF!</v>
      </c>
      <c r="E14" s="2">
        <f t="shared" si="0"/>
        <v>0</v>
      </c>
      <c r="F14" s="2">
        <f t="shared" si="1"/>
        <v>0</v>
      </c>
      <c r="G14" s="6" t="s">
        <v>151</v>
      </c>
      <c r="H14" s="2" t="e">
        <v>#REF!</v>
      </c>
      <c r="I14" s="2" t="e">
        <v>#REF!</v>
      </c>
      <c r="J14" s="2" t="e">
        <v>#REF!</v>
      </c>
      <c r="K14" s="2" t="e">
        <v>#REF!</v>
      </c>
      <c r="L14" s="2" t="e">
        <v>#REF!</v>
      </c>
      <c r="M14" s="2" t="e">
        <v>#REF!</v>
      </c>
      <c r="N14" s="2" t="e">
        <v>#REF!</v>
      </c>
      <c r="O14" s="2" t="e">
        <v>#REF!</v>
      </c>
      <c r="P14" s="2" t="e">
        <v>#REF!</v>
      </c>
      <c r="Q14" s="2" t="e">
        <v>#REF!</v>
      </c>
    </row>
    <row r="15" spans="1:17" x14ac:dyDescent="0.2">
      <c r="B15" s="2" t="s">
        <v>52</v>
      </c>
      <c r="C15" s="2" t="s">
        <v>183</v>
      </c>
      <c r="D15" s="2" t="e">
        <v>#REF!</v>
      </c>
      <c r="E15" s="2">
        <f t="shared" si="0"/>
        <v>0</v>
      </c>
      <c r="F15" s="2">
        <f t="shared" si="1"/>
        <v>0</v>
      </c>
      <c r="G15" s="6" t="s">
        <v>183</v>
      </c>
      <c r="H15" s="2" t="e">
        <v>#REF!</v>
      </c>
      <c r="I15" s="2" t="e">
        <v>#REF!</v>
      </c>
      <c r="J15" s="2" t="e">
        <v>#REF!</v>
      </c>
      <c r="K15" s="2" t="e">
        <v>#REF!</v>
      </c>
      <c r="L15" s="2" t="e">
        <v>#REF!</v>
      </c>
      <c r="M15" s="2" t="e">
        <v>#REF!</v>
      </c>
      <c r="N15" s="2" t="e">
        <v>#REF!</v>
      </c>
      <c r="O15" s="2" t="e">
        <v>#REF!</v>
      </c>
      <c r="P15" s="2" t="e">
        <v>#REF!</v>
      </c>
      <c r="Q15" s="2" t="e">
        <v>#REF!</v>
      </c>
    </row>
    <row r="16" spans="1:17" x14ac:dyDescent="0.2">
      <c r="B16" s="2" t="s">
        <v>63</v>
      </c>
      <c r="C16" s="2" t="s">
        <v>52</v>
      </c>
      <c r="D16" s="33" t="e" cm="1">
        <f t="array" ref="D16:D20">(v_costs - D4)/(v_effects-E4)</f>
        <v>#REF!</v>
      </c>
      <c r="E16" s="2">
        <f t="shared" si="0"/>
        <v>0</v>
      </c>
      <c r="F16" s="2">
        <f t="shared" si="1"/>
        <v>0</v>
      </c>
    </row>
    <row r="17" spans="2:17" x14ac:dyDescent="0.2">
      <c r="B17" s="2" t="s">
        <v>63</v>
      </c>
      <c r="C17" s="2" t="s">
        <v>63</v>
      </c>
      <c r="D17" s="33" t="e">
        <v>#REF!</v>
      </c>
      <c r="E17" s="2">
        <f t="shared" si="0"/>
        <v>0</v>
      </c>
      <c r="F17" s="2">
        <f t="shared" si="1"/>
        <v>0</v>
      </c>
      <c r="G17" s="54"/>
      <c r="H17" s="53"/>
      <c r="I17" s="53"/>
      <c r="J17" s="53"/>
      <c r="K17" s="53"/>
      <c r="L17" s="53"/>
      <c r="M17" s="53"/>
      <c r="N17" s="53"/>
      <c r="O17" s="53"/>
      <c r="P17" s="53"/>
      <c r="Q17" s="53"/>
    </row>
    <row r="18" spans="2:17" x14ac:dyDescent="0.2">
      <c r="B18" s="2" t="s">
        <v>63</v>
      </c>
      <c r="C18" s="2" t="s">
        <v>132</v>
      </c>
      <c r="D18" s="2" t="e">
        <v>#REF!</v>
      </c>
      <c r="E18" s="2">
        <f t="shared" si="0"/>
        <v>0</v>
      </c>
      <c r="F18" s="2">
        <f t="shared" si="1"/>
        <v>0</v>
      </c>
      <c r="H18" s="2" t="e">
        <f>MATCH(MAX(_xlfn.ANCHORARRAY(H11)),_xlfn.ANCHORARRAY(H11),0)</f>
        <v>#REF!</v>
      </c>
      <c r="I18" s="2" t="e">
        <f t="shared" ref="I18:Q18" si="2">MATCH(MAX(_xlfn.ANCHORARRAY(I11)),_xlfn.ANCHORARRAY(I11),0)</f>
        <v>#REF!</v>
      </c>
      <c r="J18" s="2" t="e">
        <f t="shared" si="2"/>
        <v>#REF!</v>
      </c>
      <c r="K18" s="2" t="e">
        <f t="shared" si="2"/>
        <v>#REF!</v>
      </c>
      <c r="L18" s="2" t="e">
        <f t="shared" si="2"/>
        <v>#REF!</v>
      </c>
      <c r="M18" s="2" t="e">
        <f t="shared" si="2"/>
        <v>#REF!</v>
      </c>
      <c r="N18" s="2" t="e">
        <f t="shared" si="2"/>
        <v>#REF!</v>
      </c>
      <c r="O18" s="2" t="e">
        <f t="shared" si="2"/>
        <v>#REF!</v>
      </c>
      <c r="P18" s="2" t="e">
        <f t="shared" si="2"/>
        <v>#REF!</v>
      </c>
      <c r="Q18" s="2" t="e">
        <f t="shared" si="2"/>
        <v>#REF!</v>
      </c>
    </row>
    <row r="19" spans="2:17" x14ac:dyDescent="0.2">
      <c r="B19" s="2" t="s">
        <v>63</v>
      </c>
      <c r="C19" s="2" t="s">
        <v>151</v>
      </c>
      <c r="D19" s="2" t="e">
        <v>#REF!</v>
      </c>
      <c r="E19" s="2">
        <f t="shared" si="0"/>
        <v>0</v>
      </c>
      <c r="F19" s="2">
        <f t="shared" si="1"/>
        <v>0</v>
      </c>
    </row>
    <row r="20" spans="2:17" x14ac:dyDescent="0.2">
      <c r="B20" s="2" t="s">
        <v>63</v>
      </c>
      <c r="C20" s="2" t="s">
        <v>183</v>
      </c>
      <c r="D20" s="2" t="e">
        <v>#REF!</v>
      </c>
      <c r="E20" s="2">
        <f t="shared" si="0"/>
        <v>0</v>
      </c>
      <c r="F20" s="2">
        <f t="shared" si="1"/>
        <v>0</v>
      </c>
      <c r="H20" s="2" t="e" cm="1">
        <f t="array" ref="H20">TRANSPOSE(_xlfn.UNIQUE(H18:Q18,TRUE))</f>
        <v>#REF!</v>
      </c>
    </row>
    <row r="21" spans="2:17" x14ac:dyDescent="0.2">
      <c r="B21" s="52" t="s">
        <v>132</v>
      </c>
      <c r="C21" s="52" t="s">
        <v>52</v>
      </c>
      <c r="D21" s="53" t="e" cm="1">
        <f t="array" ref="D21:D25">(v_costs - D5) / (v_effects - E5)</f>
        <v>#REF!</v>
      </c>
      <c r="E21" s="2">
        <f t="shared" si="0"/>
        <v>0</v>
      </c>
      <c r="F21" s="2">
        <f t="shared" si="1"/>
        <v>0</v>
      </c>
    </row>
    <row r="22" spans="2:17" x14ac:dyDescent="0.2">
      <c r="B22" s="52" t="s">
        <v>132</v>
      </c>
      <c r="C22" s="52" t="s">
        <v>63</v>
      </c>
      <c r="D22" s="2" t="e">
        <v>#REF!</v>
      </c>
      <c r="E22" s="2">
        <f t="shared" si="0"/>
        <v>0</v>
      </c>
      <c r="F22" s="2">
        <f t="shared" si="1"/>
        <v>0</v>
      </c>
    </row>
    <row r="23" spans="2:17" x14ac:dyDescent="0.2">
      <c r="B23" s="52" t="s">
        <v>132</v>
      </c>
      <c r="C23" s="52" t="s">
        <v>132</v>
      </c>
      <c r="D23" s="2" t="e">
        <v>#REF!</v>
      </c>
      <c r="E23" s="2">
        <f t="shared" si="0"/>
        <v>0</v>
      </c>
      <c r="F23" s="2">
        <f t="shared" si="1"/>
        <v>0</v>
      </c>
    </row>
    <row r="24" spans="2:17" x14ac:dyDescent="0.2">
      <c r="B24" s="52" t="s">
        <v>132</v>
      </c>
      <c r="C24" s="52" t="s">
        <v>151</v>
      </c>
      <c r="D24" s="2" t="e">
        <v>#REF!</v>
      </c>
      <c r="E24" s="2">
        <f t="shared" si="0"/>
        <v>0</v>
      </c>
      <c r="F24" s="2">
        <f t="shared" si="1"/>
        <v>0</v>
      </c>
    </row>
    <row r="25" spans="2:17" x14ac:dyDescent="0.2">
      <c r="B25" s="52" t="s">
        <v>132</v>
      </c>
      <c r="C25" s="52" t="s">
        <v>183</v>
      </c>
      <c r="D25" s="2" t="e">
        <v>#REF!</v>
      </c>
      <c r="E25" s="2">
        <f t="shared" si="0"/>
        <v>0</v>
      </c>
      <c r="F25" s="2">
        <f t="shared" si="1"/>
        <v>0</v>
      </c>
    </row>
    <row r="26" spans="2:17" x14ac:dyDescent="0.2">
      <c r="B26" s="52" t="s">
        <v>151</v>
      </c>
      <c r="C26" s="52" t="s">
        <v>52</v>
      </c>
      <c r="D26" s="53" t="e" cm="1">
        <f t="array" ref="D26:D30">(v_costs - D6) / (v_effects - E6)</f>
        <v>#REF!</v>
      </c>
      <c r="E26" s="2">
        <f t="shared" si="0"/>
        <v>0</v>
      </c>
      <c r="F26" s="2">
        <f t="shared" si="1"/>
        <v>0</v>
      </c>
    </row>
    <row r="27" spans="2:17" x14ac:dyDescent="0.2">
      <c r="B27" s="52" t="s">
        <v>151</v>
      </c>
      <c r="C27" s="52" t="s">
        <v>63</v>
      </c>
      <c r="D27" s="2" t="e">
        <v>#REF!</v>
      </c>
      <c r="E27" s="2">
        <f t="shared" si="0"/>
        <v>0</v>
      </c>
      <c r="F27" s="2">
        <f t="shared" si="1"/>
        <v>0</v>
      </c>
    </row>
    <row r="28" spans="2:17" x14ac:dyDescent="0.2">
      <c r="B28" s="52" t="s">
        <v>151</v>
      </c>
      <c r="C28" s="52" t="s">
        <v>132</v>
      </c>
      <c r="D28" s="2" t="e">
        <v>#REF!</v>
      </c>
      <c r="E28" s="2">
        <f t="shared" si="0"/>
        <v>0</v>
      </c>
      <c r="F28" s="2">
        <f t="shared" si="1"/>
        <v>0</v>
      </c>
    </row>
    <row r="29" spans="2:17" x14ac:dyDescent="0.2">
      <c r="B29" s="52" t="s">
        <v>151</v>
      </c>
      <c r="C29" s="52" t="s">
        <v>151</v>
      </c>
      <c r="D29" s="2" t="e">
        <v>#REF!</v>
      </c>
      <c r="E29" s="2">
        <f t="shared" si="0"/>
        <v>0</v>
      </c>
      <c r="F29" s="2">
        <f t="shared" si="1"/>
        <v>0</v>
      </c>
    </row>
    <row r="30" spans="2:17" x14ac:dyDescent="0.2">
      <c r="B30" s="52" t="s">
        <v>151</v>
      </c>
      <c r="C30" s="52" t="s">
        <v>183</v>
      </c>
      <c r="D30" s="2" t="e">
        <v>#REF!</v>
      </c>
      <c r="E30" s="2">
        <f t="shared" si="0"/>
        <v>0</v>
      </c>
      <c r="F30" s="2">
        <f t="shared" si="1"/>
        <v>0</v>
      </c>
    </row>
    <row r="31" spans="2:17" x14ac:dyDescent="0.2">
      <c r="B31" s="52" t="s">
        <v>183</v>
      </c>
      <c r="C31" s="52" t="s">
        <v>52</v>
      </c>
      <c r="D31" s="53" t="e" cm="1">
        <f t="array" ref="D31:D35">(v_costs - D7) / (v_effects - E7)</f>
        <v>#REF!</v>
      </c>
      <c r="E31" s="2">
        <f t="shared" si="0"/>
        <v>0</v>
      </c>
      <c r="F31" s="2">
        <f t="shared" si="1"/>
        <v>0</v>
      </c>
    </row>
    <row r="32" spans="2:17" x14ac:dyDescent="0.2">
      <c r="B32" s="52" t="s">
        <v>183</v>
      </c>
      <c r="C32" s="52" t="s">
        <v>63</v>
      </c>
      <c r="D32" s="2" t="e">
        <v>#REF!</v>
      </c>
      <c r="E32" s="2">
        <f t="shared" si="0"/>
        <v>0</v>
      </c>
      <c r="F32" s="2">
        <f t="shared" si="1"/>
        <v>0</v>
      </c>
    </row>
    <row r="33" spans="2:6" x14ac:dyDescent="0.2">
      <c r="B33" s="52" t="s">
        <v>183</v>
      </c>
      <c r="C33" s="52" t="s">
        <v>132</v>
      </c>
      <c r="D33" s="2" t="e">
        <v>#REF!</v>
      </c>
      <c r="E33" s="2">
        <f t="shared" si="0"/>
        <v>0</v>
      </c>
      <c r="F33" s="2">
        <f t="shared" si="1"/>
        <v>0</v>
      </c>
    </row>
    <row r="34" spans="2:6" x14ac:dyDescent="0.2">
      <c r="B34" s="52" t="s">
        <v>183</v>
      </c>
      <c r="C34" s="52" t="s">
        <v>151</v>
      </c>
      <c r="D34" s="2" t="e">
        <v>#REF!</v>
      </c>
      <c r="E34" s="2">
        <f t="shared" si="0"/>
        <v>0</v>
      </c>
      <c r="F34" s="2">
        <f t="shared" si="1"/>
        <v>0</v>
      </c>
    </row>
    <row r="35" spans="2:6" x14ac:dyDescent="0.2">
      <c r="B35" s="52" t="s">
        <v>183</v>
      </c>
      <c r="C35" s="52" t="s">
        <v>183</v>
      </c>
      <c r="D35" s="2" t="e">
        <v>#REF!</v>
      </c>
      <c r="E35" s="2">
        <f t="shared" si="0"/>
        <v>0</v>
      </c>
      <c r="F35" s="2">
        <f t="shared" si="1"/>
        <v>0</v>
      </c>
    </row>
  </sheetData>
  <conditionalFormatting sqref="H11:I15">
    <cfRule type="cellIs" dxfId="1" priority="2" operator="equal">
      <formula>$H$17</formula>
    </cfRule>
  </conditionalFormatting>
  <conditionalFormatting sqref="I11:I15">
    <cfRule type="cellIs" dxfId="0" priority="1" operator="equal">
      <formula>$I$17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170</vt:i4>
      </vt:variant>
    </vt:vector>
  </HeadingPairs>
  <TitlesOfParts>
    <vt:vector size="185" baseType="lpstr">
      <vt:lpstr>parameters</vt:lpstr>
      <vt:lpstr>transition_rates</vt:lpstr>
      <vt:lpstr>transition_probs</vt:lpstr>
      <vt:lpstr>payoffs</vt:lpstr>
      <vt:lpstr>&lt;&lt;&lt; SETUP &lt;&lt;&lt;</vt:lpstr>
      <vt:lpstr>Embed Transition Matrix</vt:lpstr>
      <vt:lpstr>Calculate Transition Matrix</vt:lpstr>
      <vt:lpstr>one-way</vt:lpstr>
      <vt:lpstr>trtA</vt:lpstr>
      <vt:lpstr>trtB</vt:lpstr>
      <vt:lpstr>trtC</vt:lpstr>
      <vt:lpstr>trtD</vt:lpstr>
      <vt:lpstr>trtE</vt:lpstr>
      <vt:lpstr>ICER</vt:lpstr>
      <vt:lpstr>ICER_Alt</vt:lpstr>
      <vt:lpstr>A</vt:lpstr>
      <vt:lpstr>B</vt:lpstr>
      <vt:lpstr>C_</vt:lpstr>
      <vt:lpstr>c_D</vt:lpstr>
      <vt:lpstr>c_D_trtA</vt:lpstr>
      <vt:lpstr>c_D_trtB</vt:lpstr>
      <vt:lpstr>c_D_trtC</vt:lpstr>
      <vt:lpstr>c_D_trtD</vt:lpstr>
      <vt:lpstr>c_D_trtE</vt:lpstr>
      <vt:lpstr>c_H</vt:lpstr>
      <vt:lpstr>c_H_trtA</vt:lpstr>
      <vt:lpstr>c_H_trtB</vt:lpstr>
      <vt:lpstr>c_H_trtC</vt:lpstr>
      <vt:lpstr>c_H_trtD</vt:lpstr>
      <vt:lpstr>c_H_trtE</vt:lpstr>
      <vt:lpstr>c_S</vt:lpstr>
      <vt:lpstr>c_S_trtA</vt:lpstr>
      <vt:lpstr>c_S_trtB</vt:lpstr>
      <vt:lpstr>c_S_trtC</vt:lpstr>
      <vt:lpstr>c_S_trtD</vt:lpstr>
      <vt:lpstr>c_S_trtE</vt:lpstr>
      <vt:lpstr>c_trtA</vt:lpstr>
      <vt:lpstr>c_trtB</vt:lpstr>
      <vt:lpstr>c_trtC</vt:lpstr>
      <vt:lpstr>c_trtD</vt:lpstr>
      <vt:lpstr>c_trtE</vt:lpstr>
      <vt:lpstr>D</vt:lpstr>
      <vt:lpstr>d_c</vt:lpstr>
      <vt:lpstr>d_e</vt:lpstr>
      <vt:lpstr>E</vt:lpstr>
      <vt:lpstr>hr_HS_trtB</vt:lpstr>
      <vt:lpstr>hr_HS_trtC</vt:lpstr>
      <vt:lpstr>hr_HS_trtD</vt:lpstr>
      <vt:lpstr>hr_HS_trtE</vt:lpstr>
      <vt:lpstr>hr_S</vt:lpstr>
      <vt:lpstr>'Calculate Transition Matrix'!m_trtA</vt:lpstr>
      <vt:lpstr>m_trtA</vt:lpstr>
      <vt:lpstr>'Calculate Transition Matrix'!m_trtB</vt:lpstr>
      <vt:lpstr>m_trtB</vt:lpstr>
      <vt:lpstr>'Calculate Transition Matrix'!m_trtC</vt:lpstr>
      <vt:lpstr>m_trtC</vt:lpstr>
      <vt:lpstr>'Calculate Transition Matrix'!m_trtD</vt:lpstr>
      <vt:lpstr>m_trtD</vt:lpstr>
      <vt:lpstr>'Calculate Transition Matrix'!m_trtE</vt:lpstr>
      <vt:lpstr>m_trtE</vt:lpstr>
      <vt:lpstr>n_age_init</vt:lpstr>
      <vt:lpstr>n_age_max</vt:lpstr>
      <vt:lpstr>n_cycle_length</vt:lpstr>
      <vt:lpstr>n_sim</vt:lpstr>
      <vt:lpstr>r_HD</vt:lpstr>
      <vt:lpstr>r_HS</vt:lpstr>
      <vt:lpstr>trtB!tot_cost_trtA</vt:lpstr>
      <vt:lpstr>trtC!tot_cost_trtA</vt:lpstr>
      <vt:lpstr>trtD!tot_cost_trtA</vt:lpstr>
      <vt:lpstr>trtE!tot_cost_trtA</vt:lpstr>
      <vt:lpstr>tot_cost_trtA</vt:lpstr>
      <vt:lpstr>trtC!tot_cost_trtB</vt:lpstr>
      <vt:lpstr>trtD!tot_cost_trtB</vt:lpstr>
      <vt:lpstr>trtE!tot_cost_trtB</vt:lpstr>
      <vt:lpstr>tot_cost_trtB</vt:lpstr>
      <vt:lpstr>trtD!tot_cost_trtC</vt:lpstr>
      <vt:lpstr>trtE!tot_cost_trtC</vt:lpstr>
      <vt:lpstr>tot_cost_trtC</vt:lpstr>
      <vt:lpstr>tot_cost_trtD</vt:lpstr>
      <vt:lpstr>tot_cost_trtE</vt:lpstr>
      <vt:lpstr>trtB!tot_qaly_trtA</vt:lpstr>
      <vt:lpstr>trtC!tot_qaly_trtA</vt:lpstr>
      <vt:lpstr>trtD!tot_qaly_trtA</vt:lpstr>
      <vt:lpstr>trtE!tot_qaly_trtA</vt:lpstr>
      <vt:lpstr>tot_qaly_trtA</vt:lpstr>
      <vt:lpstr>trtC!tot_qaly_trtB</vt:lpstr>
      <vt:lpstr>trtD!tot_qaly_trtB</vt:lpstr>
      <vt:lpstr>trtE!tot_qaly_trtB</vt:lpstr>
      <vt:lpstr>tot_qaly_trtB</vt:lpstr>
      <vt:lpstr>trtD!tot_qaly_trtC</vt:lpstr>
      <vt:lpstr>trtE!tot_qaly_trtC</vt:lpstr>
      <vt:lpstr>tot_qaly_trtC</vt:lpstr>
      <vt:lpstr>tot_qaly_trtD</vt:lpstr>
      <vt:lpstr>tot_qaly_trtE</vt:lpstr>
      <vt:lpstr>u_D</vt:lpstr>
      <vt:lpstr>u_D_trtA</vt:lpstr>
      <vt:lpstr>u_D_trtB</vt:lpstr>
      <vt:lpstr>u_D_trtC</vt:lpstr>
      <vt:lpstr>u_D_trtD</vt:lpstr>
      <vt:lpstr>u_D_trtE</vt:lpstr>
      <vt:lpstr>u_H</vt:lpstr>
      <vt:lpstr>u_H_trtA</vt:lpstr>
      <vt:lpstr>u_H_trtB</vt:lpstr>
      <vt:lpstr>u_H_trtC</vt:lpstr>
      <vt:lpstr>u_H_trtD</vt:lpstr>
      <vt:lpstr>u_H_trtE</vt:lpstr>
      <vt:lpstr>u_S</vt:lpstr>
      <vt:lpstr>u_S_trtA</vt:lpstr>
      <vt:lpstr>u_S_trtB</vt:lpstr>
      <vt:lpstr>u_S_trtC</vt:lpstr>
      <vt:lpstr>u_S_trtD</vt:lpstr>
      <vt:lpstr>u_S_trtE</vt:lpstr>
      <vt:lpstr>v_costs</vt:lpstr>
      <vt:lpstr>v_effects</vt:lpstr>
      <vt:lpstr>v_strategies</vt:lpstr>
      <vt:lpstr>trtB!w_c_disc_trtA</vt:lpstr>
      <vt:lpstr>trtC!w_c_disc_trtA</vt:lpstr>
      <vt:lpstr>trtD!w_c_disc_trtA</vt:lpstr>
      <vt:lpstr>trtE!w_c_disc_trtA</vt:lpstr>
      <vt:lpstr>w_c_disc_trtA</vt:lpstr>
      <vt:lpstr>trtC!w_c_disc_trtB</vt:lpstr>
      <vt:lpstr>trtD!w_c_disc_trtB</vt:lpstr>
      <vt:lpstr>trtE!w_c_disc_trtB</vt:lpstr>
      <vt:lpstr>w_c_disc_trtB</vt:lpstr>
      <vt:lpstr>trtD!w_c_disc_trtC</vt:lpstr>
      <vt:lpstr>trtE!w_c_disc_trtC</vt:lpstr>
      <vt:lpstr>w_c_disc_trtC</vt:lpstr>
      <vt:lpstr>w_c_disc_trtD</vt:lpstr>
      <vt:lpstr>w_c_disc_trtE</vt:lpstr>
      <vt:lpstr>trtB!w_c_trtA</vt:lpstr>
      <vt:lpstr>trtC!w_c_trtA</vt:lpstr>
      <vt:lpstr>trtD!w_c_trtA</vt:lpstr>
      <vt:lpstr>trtE!w_c_trtA</vt:lpstr>
      <vt:lpstr>w_c_trtA</vt:lpstr>
      <vt:lpstr>trtC!w_c_trtB</vt:lpstr>
      <vt:lpstr>trtD!w_c_trtB</vt:lpstr>
      <vt:lpstr>trtE!w_c_trtB</vt:lpstr>
      <vt:lpstr>w_c_trtB</vt:lpstr>
      <vt:lpstr>trtD!w_c_trtC</vt:lpstr>
      <vt:lpstr>trtE!w_c_trtC</vt:lpstr>
      <vt:lpstr>w_c_trtC</vt:lpstr>
      <vt:lpstr>w_c_trtD</vt:lpstr>
      <vt:lpstr>w_c_trtE</vt:lpstr>
      <vt:lpstr>trtB!w_e_disc_trtA</vt:lpstr>
      <vt:lpstr>trtC!w_e_disc_trtA</vt:lpstr>
      <vt:lpstr>trtD!w_e_disc_trtA</vt:lpstr>
      <vt:lpstr>trtE!w_e_disc_trtA</vt:lpstr>
      <vt:lpstr>w_e_disc_trtA</vt:lpstr>
      <vt:lpstr>trtC!w_e_disc_trtB</vt:lpstr>
      <vt:lpstr>trtD!w_e_disc_trtB</vt:lpstr>
      <vt:lpstr>trtE!w_e_disc_trtB</vt:lpstr>
      <vt:lpstr>w_e_disc_trtB</vt:lpstr>
      <vt:lpstr>trtD!w_e_disc_trtC</vt:lpstr>
      <vt:lpstr>trtE!w_e_disc_trtC</vt:lpstr>
      <vt:lpstr>w_e_disc_trtC</vt:lpstr>
      <vt:lpstr>w_e_disc_trtD</vt:lpstr>
      <vt:lpstr>w_e_disc_trtE</vt:lpstr>
      <vt:lpstr>trtB!w_e_trtA</vt:lpstr>
      <vt:lpstr>trtC!w_e_trtA</vt:lpstr>
      <vt:lpstr>trtD!w_e_trtA</vt:lpstr>
      <vt:lpstr>trtE!w_e_trtA</vt:lpstr>
      <vt:lpstr>w_e_trtA</vt:lpstr>
      <vt:lpstr>trtC!w_e_trtB</vt:lpstr>
      <vt:lpstr>trtD!w_e_trtB</vt:lpstr>
      <vt:lpstr>trtE!w_e_trtB</vt:lpstr>
      <vt:lpstr>w_e_trtB</vt:lpstr>
      <vt:lpstr>trtD!w_e_trtC</vt:lpstr>
      <vt:lpstr>trtE!w_e_trtC</vt:lpstr>
      <vt:lpstr>w_e_trtC</vt:lpstr>
      <vt:lpstr>w_e_trtD</vt:lpstr>
      <vt:lpstr>w_e_trtE</vt:lpstr>
      <vt:lpstr>trtB!w_simp_trtA</vt:lpstr>
      <vt:lpstr>trtC!w_simp_trtA</vt:lpstr>
      <vt:lpstr>trtD!w_simp_trtA</vt:lpstr>
      <vt:lpstr>trtE!w_simp_trtA</vt:lpstr>
      <vt:lpstr>w_simp_trtA</vt:lpstr>
      <vt:lpstr>trtC!w_simp_trtB</vt:lpstr>
      <vt:lpstr>trtD!w_simp_trtB</vt:lpstr>
      <vt:lpstr>trtE!w_simp_trtB</vt:lpstr>
      <vt:lpstr>w_simp_trtB</vt:lpstr>
      <vt:lpstr>trtD!w_simp_trtC</vt:lpstr>
      <vt:lpstr>trtE!w_simp_trtC</vt:lpstr>
      <vt:lpstr>w_simp_trtC</vt:lpstr>
      <vt:lpstr>w_simp_trtD</vt:lpstr>
      <vt:lpstr>w_simp_trtE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Graves, John</cp:lastModifiedBy>
  <dcterms:created xsi:type="dcterms:W3CDTF">2022-08-11T14:37:53Z</dcterms:created>
  <dcterms:modified xsi:type="dcterms:W3CDTF">2023-11-13T19:38:09Z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2022-08-31T16:58:03Z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61a584df-31bc-49b8-86dc-4ad87c60c0ac</vt:lpwstr>
  </property>
  <property fmtid="{D5CDD505-2E9C-101B-9397-08002B2CF9AE}" pid="8" name="MSIP_Label_792c8cef-6f2b-4af1-b4ac-d815ff795cd6_ContentBits">
    <vt:lpwstr>0</vt:lpwstr>
  </property>
</Properties>
</file>