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wnetid-my.sharepoint.com/personal/greguz_uw_edu/Documents/"/>
    </mc:Choice>
  </mc:AlternateContent>
  <xr:revisionPtr revIDLastSave="9229" documentId="43C002B73F425FEFA748A464C822170AC429729F" xr6:coauthVersionLast="28" xr6:coauthVersionMax="28" xr10:uidLastSave="{9EB341CA-4DCB-44AC-8ED0-1F0B280A9157}"/>
  <bookViews>
    <workbookView xWindow="0" yWindow="0" windowWidth="21600" windowHeight="9525" activeTab="5" xr2:uid="{BCDB7034-B65E-4357-BCDC-F8B8F344BA90}"/>
  </bookViews>
  <sheets>
    <sheet name="Parameters" sheetId="2" r:id="rId1"/>
    <sheet name="VOI" sheetId="5" r:id="rId2"/>
    <sheet name="PSA" sheetId="4" r:id="rId3"/>
    <sheet name="Regression" sheetId="7" r:id="rId4"/>
    <sheet name="OWSA" sheetId="3" r:id="rId5"/>
    <sheet name="Breast_Ovarian" sheetId="1" r:id="rId6"/>
  </sheets>
  <externalReferences>
    <externalReference r:id="rId7"/>
  </externalReferences>
  <definedNames>
    <definedName name="adherence">Parameters!$C$25:$C$32</definedName>
    <definedName name="adherence2">Parameters!$L$25:$L$32</definedName>
    <definedName name="adherence3">Parameters!$N$25:$N$32</definedName>
    <definedName name="age">Parameters!$C$7</definedName>
    <definedName name="avoid_loss">Parameters!$C$55</definedName>
    <definedName name="avoidance">Parameters!$C$55:$C$56</definedName>
    <definedName name="avoidance2">Parameters!$L$55:$L$56</definedName>
    <definedName name="avoidance3">Parameters!$N$55:$N$56</definedName>
    <definedName name="boc_cohort">Breast_Ovarian!$Q$6</definedName>
    <definedName name="boc_cost_bc">Breast_Ovarian!$C$142</definedName>
    <definedName name="boc_cost_death">Breast_Ovarian!$C$145</definedName>
    <definedName name="boc_cost_mast">Breast_Ovarian!$C$138</definedName>
    <definedName name="boc_cost_oc">Breast_Ovarian!$C$143</definedName>
    <definedName name="boc_cost_ooph">Breast_Ovarian!$C$139</definedName>
    <definedName name="boc_cost_pc">Breast_Ovarian!$C$144</definedName>
    <definedName name="boc_disutil_both">Breast_Ovarian!$C$132</definedName>
    <definedName name="boc_disutil_mast">Breast_Ovarian!$C$130</definedName>
    <definedName name="boc_disutil_ooph">Breast_Ovarian!$C$131</definedName>
    <definedName name="boc_find_high">Breast_Ovarian!$C$38</definedName>
    <definedName name="boc_find_low">Breast_Ovarian!$C$40</definedName>
    <definedName name="boc_find_mod">Breast_Ovarian!$C$39</definedName>
    <definedName name="boc_notest_cost">Breast_Ovarian!$F$6</definedName>
    <definedName name="boc_notest_qalys">Breast_Ovarian!$G$6</definedName>
    <definedName name="boc_path_high_np">Breast_Ovarian!$C$46</definedName>
    <definedName name="boc_path_high_path">Breast_Ovarian!$C$44</definedName>
    <definedName name="boc_path_high_vus">Breast_Ovarian!$C$45</definedName>
    <definedName name="boc_path_low_np">Breast_Ovarian!$C$54</definedName>
    <definedName name="boc_path_low_path">Breast_Ovarian!$C$52</definedName>
    <definedName name="boc_path_low_vus">Breast_Ovarian!$C$53</definedName>
    <definedName name="boc_path_mod_np">Breast_Ovarian!$C$50</definedName>
    <definedName name="boc_path_mod_path">Breast_Ovarian!$C$48</definedName>
    <definedName name="boc_path_mod_vus">Breast_Ovarian!$C$49</definedName>
    <definedName name="boc_pr_bc">Breast_Ovarian!#REF!</definedName>
    <definedName name="boc_pr_oc">Breast_Ovarian!#REF!</definedName>
    <definedName name="boc_psa_test_cost">PSA!$BE$16:OFFSET(PSA!$BE$16,outer,0)</definedName>
    <definedName name="boc_rr_bc_both">Breast_Ovarian!$C$90</definedName>
    <definedName name="boc_rr_bc_hip">Breast_Ovarian!$C$92</definedName>
    <definedName name="boc_rr_bc_hiv">Breast_Ovarian!$C$93</definedName>
    <definedName name="boc_rr_bc_lop">Breast_Ovarian!$C$98</definedName>
    <definedName name="boc_rr_bc_lov">Breast_Ovarian!$C$99</definedName>
    <definedName name="boc_rr_bc_mast">Breast_Ovarian!$C$88</definedName>
    <definedName name="boc_rr_bc_modp">Breast_Ovarian!$C$95</definedName>
    <definedName name="boc_rr_bc_modv">Breast_Ovarian!$C$96</definedName>
    <definedName name="boc_rr_bc_np">Breast_Ovarian!$C$100</definedName>
    <definedName name="boc_rr_bc_ooph">Breast_Ovarian!$C$89</definedName>
    <definedName name="boc_rr_death_bc">Breast_Ovarian!#REF!</definedName>
    <definedName name="boc_rr_death_oc">Breast_Ovarian!#REF!</definedName>
    <definedName name="boc_rr_death_pc">Breast_Ovarian!$C$117</definedName>
    <definedName name="boc_rr_oc_both">Breast_Ovarian!$C$105</definedName>
    <definedName name="boc_rr_oc_hip">Breast_Ovarian!$C$107</definedName>
    <definedName name="boc_rr_oc_hiv">Breast_Ovarian!$C$108</definedName>
    <definedName name="boc_rr_oc_lop">Breast_Ovarian!$C$113</definedName>
    <definedName name="boc_rr_oc_lov">Breast_Ovarian!$C$114</definedName>
    <definedName name="boc_rr_oc_mast">Breast_Ovarian!$C$103</definedName>
    <definedName name="boc_rr_oc_modp">Breast_Ovarian!$C$110</definedName>
    <definedName name="boc_rr_oc_modv">Breast_Ovarian!$C$111</definedName>
    <definedName name="boc_rr_oc_np">Breast_Ovarian!$C$115</definedName>
    <definedName name="boc_rr_oc_ooph">Breast_Ovarian!$C$104</definedName>
    <definedName name="boc_test_cost">Breast_Ovarian!$F$5</definedName>
    <definedName name="boc_test_int_np_both">Breast_Ovarian!$C$68</definedName>
    <definedName name="boc_test_int_np_mast">Breast_Ovarian!$C$66</definedName>
    <definedName name="boc_test_int_np_ooph">Breast_Ovarian!$C$67</definedName>
    <definedName name="boc_test_int_path_both">Breast_Ovarian!$C$60</definedName>
    <definedName name="boc_test_int_path_mast">Breast_Ovarian!$C$58</definedName>
    <definedName name="boc_test_int_path_ooph">Breast_Ovarian!$C$59</definedName>
    <definedName name="boc_test_int_vus_both">Breast_Ovarian!$C$64</definedName>
    <definedName name="boc_test_int_vus_mast">Breast_Ovarian!$C$62</definedName>
    <definedName name="boc_test_int_vus_ooph">Breast_Ovarian!$C$63</definedName>
    <definedName name="boc_test_qalys">Breast_Ovarian!$G$5</definedName>
    <definedName name="boc_tr_both_path">Breast_Ovarian!$C$82</definedName>
    <definedName name="boc_tr_both_vus">Breast_Ovarian!$C$85</definedName>
    <definedName name="boc_tr_mast_path">Breast_Ovarian!$C$80</definedName>
    <definedName name="boc_tr_mast_vus">Breast_Ovarian!$C$83</definedName>
    <definedName name="boc_tr_ooph_path">Breast_Ovarian!$C$81</definedName>
    <definedName name="boc_tr_ooph_vus">Breast_Ovarian!$C$84</definedName>
    <definedName name="boc_trpr_bc">Breast_Ovarian!$CH$6:$CR$20</definedName>
    <definedName name="boc_trpr_bc_death">Breast_Ovarian!$CH$6:$DA$20</definedName>
    <definedName name="boc_trpr_oc">Breast_Ovarian!$CH$24:$CR$38</definedName>
    <definedName name="boc_trpr_oc_death">Breast_Ovarian!$CH$24:$DA$38</definedName>
    <definedName name="boc_trprs">Breast_Ovarian!$CH$6:$DB$20</definedName>
    <definedName name="boc_unk_int_both">Breast_Ovarian!$C$74</definedName>
    <definedName name="boc_unk_int_mast">Breast_Ovarian!$C$72</definedName>
    <definedName name="boc_unk_int_ooph">Breast_Ovarian!$C$73</definedName>
    <definedName name="boc_util_c">Breast_Ovarian!$C$126</definedName>
    <definedName name="boc_util_int">Breast_Ovarian!$C$123</definedName>
    <definedName name="boc_util_no_nv">Breast_Ovarian!$C$125</definedName>
    <definedName name="boc_util_no_v">Breast_Ovarian!$C$124</definedName>
    <definedName name="boc_util_pc">Breast_Ovarian!$C$127</definedName>
    <definedName name="cohort">Parameters!$C$6</definedName>
    <definedName name="cost_assay">Parameters!$C$19</definedName>
    <definedName name="cost_couns">Parameters!$C$20</definedName>
    <definedName name="cost_postc">Parameters!$C$21</definedName>
    <definedName name="cost_review">Parameters!$C$22</definedName>
    <definedName name="discount">Parameters!$C$8</definedName>
    <definedName name="eff_pop">VOI!$N$17</definedName>
    <definedName name="evsi_n">Parameters!$C$13</definedName>
    <definedName name="horizon">100-age</definedName>
    <definedName name="inner">Parameters!$C$12</definedName>
    <definedName name="mortt">Breast_Ovarian!$CD$5:$CE$105</definedName>
    <definedName name="outer">Parameters!$C$11</definedName>
    <definedName name="over_notest_cost">Parameters!$I$8</definedName>
    <definedName name="over_notest_qalys">Parameters!$J$8</definedName>
    <definedName name="over_test_cost">Parameters!$I$6</definedName>
    <definedName name="over_test_qalys">Parameters!$J$6</definedName>
    <definedName name="owsa">Parameters!$C$9</definedName>
    <definedName name="owsa_boc">Breast_Ovarian!$N$4</definedName>
    <definedName name="owsa_high">FALSE</definedName>
    <definedName name="owsa_low">FALSE</definedName>
    <definedName name="pen_arvc">Parameters!$C$35</definedName>
    <definedName name="pen_bc">Parameters!$C$37</definedName>
    <definedName name="pen_fh">Parameters!$C$36</definedName>
    <definedName name="pen_hc">Parameters!$C$38</definedName>
    <definedName name="pen_longQT">Parameters!$C$39</definedName>
    <definedName name="pen_ls">Parameters!$C$40</definedName>
    <definedName name="pen_mhyp">Parameters!$C$41</definedName>
    <definedName name="pen_rare">Parameters!$C$42</definedName>
    <definedName name="penetrance">Parameters!$C$35:$C$42</definedName>
    <definedName name="penetrance2">Parameters!$L$35:$L$42</definedName>
    <definedName name="penetrance3">Parameters!$N$35:$N$42</definedName>
    <definedName name="ppn_avoid">Parameters!$C$56</definedName>
    <definedName name="ppn_util_arvc">Parameters!$C$25</definedName>
    <definedName name="ppn_util_bc">Parameters!$C$27</definedName>
    <definedName name="ppn_util_fh">Parameters!$C$26</definedName>
    <definedName name="ppn_util_hc">Parameters!$C$28</definedName>
    <definedName name="ppn_util_LQTS">Parameters!$C$29</definedName>
    <definedName name="ppn_util_ls">Parameters!$C$30</definedName>
    <definedName name="ppn_util_mhyp">Parameters!$C$31</definedName>
    <definedName name="ppn_util_rare">Parameters!$C$32</definedName>
    <definedName name="pr_mast_carrier">Breast_Ovarian!$C$77</definedName>
    <definedName name="prev_arvc">Parameters!$C$45</definedName>
    <definedName name="prev_bc">Parameters!$C$47</definedName>
    <definedName name="prev_fh">Parameters!$C$46</definedName>
    <definedName name="prev_hc">Parameters!$C$48</definedName>
    <definedName name="prev_LQTS">Parameters!$C$49</definedName>
    <definedName name="prev_ls">Parameters!$C$50</definedName>
    <definedName name="prev_mhyp">Parameters!$C$51</definedName>
    <definedName name="prev_rare">Parameters!$C$52</definedName>
    <definedName name="prevalence">Parameters!$C$45:$C$52</definedName>
    <definedName name="prevalence2">Parameters!$L$45:$L$52</definedName>
    <definedName name="prevalence3">Parameters!$N$45:$N$52</definedName>
    <definedName name="psa">Parameters!$C$10</definedName>
    <definedName name="wtp">PSA!$J$14</definedName>
    <definedName name="z">NORMSINV(1-((1-0.95)/2))</definedName>
  </definedNames>
  <calcPr calcId="171027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7" i="2" l="1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45" i="2"/>
  <c r="G45" i="2"/>
  <c r="F117" i="1" l="1"/>
  <c r="G117" i="1"/>
  <c r="H117" i="1" s="1"/>
  <c r="J117" i="1" s="1"/>
  <c r="C117" i="1" s="1"/>
  <c r="CM35" i="1"/>
  <c r="CN8" i="1"/>
  <c r="CT38" i="1"/>
  <c r="CT37" i="1"/>
  <c r="CT36" i="1"/>
  <c r="CT35" i="1"/>
  <c r="CU35" i="1" s="1"/>
  <c r="CT34" i="1"/>
  <c r="CT33" i="1"/>
  <c r="CU33" i="1" s="1"/>
  <c r="CT32" i="1"/>
  <c r="CT31" i="1"/>
  <c r="CU31" i="1" s="1"/>
  <c r="CT30" i="1"/>
  <c r="CT29" i="1"/>
  <c r="CT28" i="1"/>
  <c r="CT27" i="1"/>
  <c r="CU27" i="1" s="1"/>
  <c r="CT26" i="1"/>
  <c r="CT25" i="1"/>
  <c r="CU25" i="1" s="1"/>
  <c r="CT24" i="1"/>
  <c r="CK38" i="1"/>
  <c r="CK37" i="1"/>
  <c r="CL37" i="1" s="1"/>
  <c r="CK36" i="1"/>
  <c r="CK35" i="1"/>
  <c r="CL35" i="1" s="1"/>
  <c r="CK34" i="1"/>
  <c r="CK33" i="1"/>
  <c r="CL33" i="1" s="1"/>
  <c r="CK32" i="1"/>
  <c r="CK31" i="1"/>
  <c r="CL31" i="1" s="1"/>
  <c r="CK30" i="1"/>
  <c r="CK29" i="1"/>
  <c r="CL29" i="1" s="1"/>
  <c r="CK28" i="1"/>
  <c r="CK27" i="1"/>
  <c r="CL27" i="1" s="1"/>
  <c r="CK26" i="1"/>
  <c r="CK25" i="1"/>
  <c r="CL25" i="1" s="1"/>
  <c r="CK24" i="1"/>
  <c r="CT7" i="1"/>
  <c r="CT8" i="1"/>
  <c r="CV8" i="1" s="1"/>
  <c r="CT9" i="1"/>
  <c r="CU9" i="1" s="1"/>
  <c r="CT10" i="1"/>
  <c r="CV10" i="1" s="1"/>
  <c r="CT11" i="1"/>
  <c r="CT12" i="1"/>
  <c r="CV12" i="1" s="1"/>
  <c r="CT13" i="1"/>
  <c r="CU13" i="1" s="1"/>
  <c r="CT14" i="1"/>
  <c r="CV14" i="1" s="1"/>
  <c r="CT15" i="1"/>
  <c r="CT16" i="1"/>
  <c r="CV16" i="1" s="1"/>
  <c r="CT17" i="1"/>
  <c r="CU17" i="1" s="1"/>
  <c r="CT18" i="1"/>
  <c r="CV18" i="1" s="1"/>
  <c r="CT19" i="1"/>
  <c r="CT20" i="1"/>
  <c r="CV20" i="1" s="1"/>
  <c r="CT6" i="1"/>
  <c r="CU6" i="1" s="1"/>
  <c r="DA6" i="1" s="1"/>
  <c r="CK7" i="1"/>
  <c r="CK8" i="1"/>
  <c r="CL8" i="1" s="1"/>
  <c r="CK9" i="1"/>
  <c r="CK10" i="1"/>
  <c r="CL10" i="1" s="1"/>
  <c r="CK11" i="1"/>
  <c r="CK12" i="1"/>
  <c r="CK13" i="1"/>
  <c r="CK14" i="1"/>
  <c r="CL14" i="1" s="1"/>
  <c r="CK15" i="1"/>
  <c r="CK16" i="1"/>
  <c r="CL16" i="1" s="1"/>
  <c r="CK17" i="1"/>
  <c r="CK18" i="1"/>
  <c r="CL18" i="1" s="1"/>
  <c r="CK19" i="1"/>
  <c r="CK20" i="1"/>
  <c r="CK6" i="1"/>
  <c r="CM33" i="1" l="1"/>
  <c r="CN18" i="1"/>
  <c r="CV13" i="1"/>
  <c r="CM25" i="1"/>
  <c r="CV25" i="1"/>
  <c r="CV9" i="1"/>
  <c r="CV33" i="1"/>
  <c r="CN10" i="1"/>
  <c r="CV17" i="1"/>
  <c r="CM27" i="1"/>
  <c r="CL20" i="1"/>
  <c r="CN20" i="1"/>
  <c r="CL12" i="1"/>
  <c r="CN12" i="1"/>
  <c r="CU19" i="1"/>
  <c r="CV19" i="1"/>
  <c r="CU15" i="1"/>
  <c r="CV15" i="1"/>
  <c r="CU11" i="1"/>
  <c r="CV11" i="1"/>
  <c r="CU7" i="1"/>
  <c r="CV7" i="1"/>
  <c r="CN16" i="1"/>
  <c r="CO16" i="1" s="1"/>
  <c r="CU29" i="1"/>
  <c r="CV29" i="1"/>
  <c r="CU37" i="1"/>
  <c r="CV37" i="1"/>
  <c r="CN14" i="1"/>
  <c r="CV6" i="1"/>
  <c r="CV27" i="1"/>
  <c r="CV35" i="1"/>
  <c r="CM29" i="1"/>
  <c r="CM37" i="1"/>
  <c r="CM31" i="1"/>
  <c r="CV31" i="1"/>
  <c r="CU28" i="1"/>
  <c r="CW28" i="1"/>
  <c r="CV28" i="1"/>
  <c r="CU32" i="1"/>
  <c r="CW32" i="1"/>
  <c r="CV32" i="1"/>
  <c r="CU36" i="1"/>
  <c r="CW36" i="1"/>
  <c r="CV36" i="1"/>
  <c r="CL19" i="1"/>
  <c r="CM19" i="1"/>
  <c r="CN19" i="1"/>
  <c r="CL15" i="1"/>
  <c r="CM15" i="1"/>
  <c r="CN15" i="1"/>
  <c r="CL11" i="1"/>
  <c r="CM11" i="1"/>
  <c r="CN11" i="1"/>
  <c r="CL7" i="1"/>
  <c r="CM7" i="1"/>
  <c r="CN7" i="1"/>
  <c r="CO7" i="1" s="1"/>
  <c r="CU14" i="1"/>
  <c r="CW14" i="1"/>
  <c r="CU10" i="1"/>
  <c r="CW10" i="1"/>
  <c r="CY10" i="1" s="1"/>
  <c r="CL24" i="1"/>
  <c r="CN24" i="1"/>
  <c r="CL28" i="1"/>
  <c r="CN28" i="1"/>
  <c r="CM28" i="1"/>
  <c r="CL32" i="1"/>
  <c r="CN32" i="1"/>
  <c r="CM32" i="1"/>
  <c r="CU26" i="1"/>
  <c r="CW26" i="1"/>
  <c r="CV26" i="1"/>
  <c r="CU30" i="1"/>
  <c r="CW30" i="1"/>
  <c r="CV30" i="1"/>
  <c r="CU34" i="1"/>
  <c r="CW34" i="1"/>
  <c r="CV34" i="1"/>
  <c r="CU38" i="1"/>
  <c r="CW38" i="1"/>
  <c r="CV38" i="1"/>
  <c r="CM24" i="1"/>
  <c r="CL6" i="1"/>
  <c r="CN6" i="1"/>
  <c r="CM6" i="1"/>
  <c r="CP6" i="1" s="1"/>
  <c r="CL17" i="1"/>
  <c r="CM17" i="1"/>
  <c r="CN17" i="1"/>
  <c r="CL13" i="1"/>
  <c r="CM13" i="1"/>
  <c r="CN13" i="1"/>
  <c r="CL9" i="1"/>
  <c r="CM9" i="1"/>
  <c r="CN9" i="1"/>
  <c r="CU20" i="1"/>
  <c r="CW20" i="1"/>
  <c r="CU16" i="1"/>
  <c r="CW16" i="1"/>
  <c r="CU12" i="1"/>
  <c r="CW12" i="1"/>
  <c r="CY12" i="1" s="1"/>
  <c r="CU8" i="1"/>
  <c r="CW8" i="1"/>
  <c r="CL26" i="1"/>
  <c r="CO26" i="1" s="1"/>
  <c r="CN26" i="1"/>
  <c r="CM26" i="1"/>
  <c r="CL30" i="1"/>
  <c r="CN30" i="1"/>
  <c r="CM30" i="1"/>
  <c r="CL34" i="1"/>
  <c r="CN34" i="1"/>
  <c r="CM34" i="1"/>
  <c r="CN38" i="1"/>
  <c r="CL38" i="1"/>
  <c r="CM38" i="1"/>
  <c r="CU24" i="1"/>
  <c r="DA24" i="1" s="1"/>
  <c r="CW24" i="1"/>
  <c r="CV24" i="1"/>
  <c r="CU18" i="1"/>
  <c r="CW18" i="1"/>
  <c r="CL36" i="1"/>
  <c r="CN36" i="1"/>
  <c r="CM36" i="1"/>
  <c r="CM20" i="1"/>
  <c r="CM18" i="1"/>
  <c r="CP18" i="1" s="1"/>
  <c r="CM16" i="1"/>
  <c r="CM14" i="1"/>
  <c r="CM12" i="1"/>
  <c r="CM10" i="1"/>
  <c r="CM8" i="1"/>
  <c r="CP8" i="1" s="1"/>
  <c r="CW6" i="1"/>
  <c r="CY6" i="1" s="1"/>
  <c r="CW25" i="1"/>
  <c r="CW27" i="1"/>
  <c r="CX27" i="1" s="1"/>
  <c r="CW29" i="1"/>
  <c r="CW31" i="1"/>
  <c r="CW33" i="1"/>
  <c r="CW35" i="1"/>
  <c r="CY35" i="1" s="1"/>
  <c r="CW37" i="1"/>
  <c r="CW7" i="1"/>
  <c r="CW9" i="1"/>
  <c r="CX9" i="1" s="1"/>
  <c r="CW11" i="1"/>
  <c r="CY11" i="1" s="1"/>
  <c r="CW13" i="1"/>
  <c r="CW15" i="1"/>
  <c r="CW17" i="1"/>
  <c r="CW19" i="1"/>
  <c r="CX19" i="1" s="1"/>
  <c r="CN25" i="1"/>
  <c r="CN27" i="1"/>
  <c r="CO27" i="1" s="1"/>
  <c r="CN29" i="1"/>
  <c r="CN31" i="1"/>
  <c r="CN33" i="1"/>
  <c r="CO33" i="1" s="1"/>
  <c r="CN35" i="1"/>
  <c r="CO35" i="1" s="1"/>
  <c r="CN37" i="1"/>
  <c r="CP37" i="1" s="1"/>
  <c r="CX24" i="1"/>
  <c r="CY20" i="1"/>
  <c r="CP20" i="1"/>
  <c r="BV88" i="1"/>
  <c r="BV87" i="1"/>
  <c r="BV86" i="1"/>
  <c r="BV85" i="1"/>
  <c r="BV84" i="1"/>
  <c r="BV83" i="1"/>
  <c r="BV82" i="1"/>
  <c r="BV81" i="1"/>
  <c r="BV80" i="1"/>
  <c r="BV79" i="1"/>
  <c r="BV78" i="1"/>
  <c r="BV77" i="1"/>
  <c r="BV76" i="1"/>
  <c r="BV75" i="1"/>
  <c r="BV74" i="1"/>
  <c r="BV73" i="1"/>
  <c r="BV72" i="1"/>
  <c r="BV71" i="1"/>
  <c r="BV70" i="1"/>
  <c r="BV69" i="1"/>
  <c r="BV68" i="1"/>
  <c r="BV67" i="1"/>
  <c r="BV66" i="1"/>
  <c r="BV65" i="1"/>
  <c r="BV64" i="1"/>
  <c r="BV63" i="1"/>
  <c r="BV62" i="1"/>
  <c r="BV61" i="1"/>
  <c r="BV60" i="1"/>
  <c r="BV59" i="1"/>
  <c r="BV58" i="1"/>
  <c r="BV57" i="1"/>
  <c r="BV56" i="1"/>
  <c r="BV55" i="1"/>
  <c r="BV54" i="1"/>
  <c r="BV53" i="1"/>
  <c r="BV52" i="1"/>
  <c r="BV51" i="1"/>
  <c r="BV50" i="1"/>
  <c r="BV49" i="1"/>
  <c r="BV48" i="1"/>
  <c r="BV47" i="1"/>
  <c r="BV46" i="1"/>
  <c r="BV45" i="1"/>
  <c r="BV44" i="1"/>
  <c r="BV43" i="1"/>
  <c r="BV42" i="1"/>
  <c r="BV41" i="1"/>
  <c r="BV40" i="1"/>
  <c r="BV39" i="1"/>
  <c r="BV38" i="1"/>
  <c r="BV37" i="1"/>
  <c r="BV36" i="1"/>
  <c r="BV35" i="1"/>
  <c r="BV34" i="1"/>
  <c r="BV33" i="1"/>
  <c r="BV31" i="1"/>
  <c r="BV30" i="1"/>
  <c r="BV29" i="1"/>
  <c r="BV28" i="1"/>
  <c r="BV27" i="1"/>
  <c r="BV26" i="1"/>
  <c r="BV25" i="1"/>
  <c r="BV24" i="1"/>
  <c r="BV32" i="1"/>
  <c r="CA92" i="1"/>
  <c r="BV93" i="1" s="1"/>
  <c r="CA60" i="1"/>
  <c r="CA29" i="1"/>
  <c r="CA55" i="1"/>
  <c r="CA36" i="1"/>
  <c r="CA88" i="1"/>
  <c r="CA37" i="1"/>
  <c r="CA87" i="1"/>
  <c r="CA86" i="1"/>
  <c r="CA85" i="1"/>
  <c r="CA84" i="1"/>
  <c r="CA83" i="1"/>
  <c r="CA82" i="1"/>
  <c r="CA81" i="1"/>
  <c r="CA80" i="1"/>
  <c r="CA39" i="1"/>
  <c r="CA71" i="1"/>
  <c r="CA53" i="1"/>
  <c r="CA34" i="1"/>
  <c r="CA73" i="1"/>
  <c r="CA65" i="1"/>
  <c r="CA70" i="1"/>
  <c r="CA61" i="1"/>
  <c r="CA64" i="1"/>
  <c r="CA56" i="1"/>
  <c r="CA35" i="1"/>
  <c r="CA69" i="1"/>
  <c r="CA63" i="1"/>
  <c r="CA24" i="1"/>
  <c r="CA59" i="1"/>
  <c r="CA47" i="1"/>
  <c r="CA50" i="1"/>
  <c r="CA41" i="1"/>
  <c r="CA44" i="1"/>
  <c r="CA38" i="1"/>
  <c r="CA25" i="1"/>
  <c r="CA49" i="1"/>
  <c r="CA43" i="1"/>
  <c r="CA67" i="1"/>
  <c r="CA62" i="1"/>
  <c r="CA54" i="1"/>
  <c r="CA45" i="1"/>
  <c r="CA42" i="1"/>
  <c r="CA28" i="1"/>
  <c r="CA46" i="1"/>
  <c r="CA27" i="1"/>
  <c r="CA31" i="1"/>
  <c r="CA66" i="1"/>
  <c r="CA57" i="1"/>
  <c r="CA74" i="1"/>
  <c r="CA51" i="1"/>
  <c r="CA33" i="1"/>
  <c r="CA79" i="1"/>
  <c r="CA72" i="1"/>
  <c r="CA68" i="1"/>
  <c r="CA26" i="1"/>
  <c r="CA58" i="1"/>
  <c r="CA52" i="1"/>
  <c r="CA78" i="1"/>
  <c r="CA77" i="1"/>
  <c r="CA76" i="1"/>
  <c r="CA75" i="1"/>
  <c r="CA48" i="1"/>
  <c r="CA30" i="1"/>
  <c r="CA40" i="1"/>
  <c r="CA32" i="1"/>
  <c r="G132" i="1"/>
  <c r="BX82" i="1" s="1"/>
  <c r="F132" i="1"/>
  <c r="BW82" i="1" s="1"/>
  <c r="G131" i="1"/>
  <c r="BX81" i="1" s="1"/>
  <c r="F131" i="1"/>
  <c r="BW81" i="1" s="1"/>
  <c r="G130" i="1"/>
  <c r="BX80" i="1" s="1"/>
  <c r="F130" i="1"/>
  <c r="BW80" i="1" s="1"/>
  <c r="BW45" i="1"/>
  <c r="BX44" i="1"/>
  <c r="G145" i="1"/>
  <c r="BX88" i="1" s="1"/>
  <c r="F145" i="1"/>
  <c r="BW88" i="1" s="1"/>
  <c r="G144" i="1"/>
  <c r="BX87" i="1" s="1"/>
  <c r="F144" i="1"/>
  <c r="BW87" i="1" s="1"/>
  <c r="G143" i="1"/>
  <c r="BX86" i="1" s="1"/>
  <c r="F143" i="1"/>
  <c r="BW86" i="1" s="1"/>
  <c r="G142" i="1"/>
  <c r="BX85" i="1" s="1"/>
  <c r="F142" i="1"/>
  <c r="BW85" i="1" s="1"/>
  <c r="G139" i="1"/>
  <c r="BX84" i="1" s="1"/>
  <c r="F139" i="1"/>
  <c r="BW84" i="1" s="1"/>
  <c r="G138" i="1"/>
  <c r="BX83" i="1" s="1"/>
  <c r="F138" i="1"/>
  <c r="BW83" i="1" s="1"/>
  <c r="BX79" i="1"/>
  <c r="BW79" i="1"/>
  <c r="G126" i="1"/>
  <c r="BX78" i="1" s="1"/>
  <c r="F126" i="1"/>
  <c r="BW78" i="1" s="1"/>
  <c r="G125" i="1"/>
  <c r="BX77" i="1" s="1"/>
  <c r="BW77" i="1"/>
  <c r="G124" i="1"/>
  <c r="BX76" i="1" s="1"/>
  <c r="BW76" i="1"/>
  <c r="G123" i="1"/>
  <c r="BX75" i="1" s="1"/>
  <c r="BW75" i="1"/>
  <c r="G85" i="1"/>
  <c r="BX51" i="1" s="1"/>
  <c r="F85" i="1"/>
  <c r="BW51" i="1" s="1"/>
  <c r="G84" i="1"/>
  <c r="BX50" i="1" s="1"/>
  <c r="F84" i="1"/>
  <c r="BW50" i="1" s="1"/>
  <c r="G83" i="1"/>
  <c r="BX49" i="1" s="1"/>
  <c r="F83" i="1"/>
  <c r="BW49" i="1" s="1"/>
  <c r="G82" i="1"/>
  <c r="BX48" i="1" s="1"/>
  <c r="F82" i="1"/>
  <c r="BW48" i="1" s="1"/>
  <c r="G81" i="1"/>
  <c r="BX47" i="1" s="1"/>
  <c r="F81" i="1"/>
  <c r="BW47" i="1" s="1"/>
  <c r="G80" i="1"/>
  <c r="BX46" i="1" s="1"/>
  <c r="F80" i="1"/>
  <c r="BW46" i="1" s="1"/>
  <c r="F89" i="1"/>
  <c r="BW53" i="1" s="1"/>
  <c r="G89" i="1"/>
  <c r="BX53" i="1" s="1"/>
  <c r="F90" i="1"/>
  <c r="BW54" i="1" s="1"/>
  <c r="G90" i="1"/>
  <c r="BX54" i="1" s="1"/>
  <c r="F92" i="1"/>
  <c r="BW55" i="1" s="1"/>
  <c r="G92" i="1"/>
  <c r="BX55" i="1" s="1"/>
  <c r="F93" i="1"/>
  <c r="BW56" i="1" s="1"/>
  <c r="G93" i="1"/>
  <c r="BX56" i="1" s="1"/>
  <c r="F95" i="1"/>
  <c r="BW57" i="1" s="1"/>
  <c r="G95" i="1"/>
  <c r="BX57" i="1" s="1"/>
  <c r="F96" i="1"/>
  <c r="BW58" i="1" s="1"/>
  <c r="G96" i="1"/>
  <c r="BX58" i="1" s="1"/>
  <c r="F98" i="1"/>
  <c r="BW59" i="1" s="1"/>
  <c r="G98" i="1"/>
  <c r="BX59" i="1" s="1"/>
  <c r="F99" i="1"/>
  <c r="BW60" i="1" s="1"/>
  <c r="G99" i="1"/>
  <c r="BX60" i="1" s="1"/>
  <c r="F100" i="1"/>
  <c r="BW61" i="1" s="1"/>
  <c r="G100" i="1"/>
  <c r="BX61" i="1" s="1"/>
  <c r="F103" i="1"/>
  <c r="BW62" i="1" s="1"/>
  <c r="G103" i="1"/>
  <c r="BX62" i="1" s="1"/>
  <c r="F104" i="1"/>
  <c r="BW63" i="1" s="1"/>
  <c r="G104" i="1"/>
  <c r="BX63" i="1" s="1"/>
  <c r="F105" i="1"/>
  <c r="BW64" i="1" s="1"/>
  <c r="G105" i="1"/>
  <c r="BX64" i="1" s="1"/>
  <c r="F107" i="1"/>
  <c r="BW65" i="1" s="1"/>
  <c r="G107" i="1"/>
  <c r="BX65" i="1" s="1"/>
  <c r="F108" i="1"/>
  <c r="BW66" i="1" s="1"/>
  <c r="G108" i="1"/>
  <c r="BX66" i="1" s="1"/>
  <c r="F110" i="1"/>
  <c r="BW67" i="1" s="1"/>
  <c r="G110" i="1"/>
  <c r="BX67" i="1" s="1"/>
  <c r="F111" i="1"/>
  <c r="BW68" i="1" s="1"/>
  <c r="G111" i="1"/>
  <c r="BX68" i="1" s="1"/>
  <c r="F113" i="1"/>
  <c r="BW69" i="1" s="1"/>
  <c r="G113" i="1"/>
  <c r="BX69" i="1" s="1"/>
  <c r="F114" i="1"/>
  <c r="BW70" i="1" s="1"/>
  <c r="G114" i="1"/>
  <c r="BX70" i="1" s="1"/>
  <c r="F115" i="1"/>
  <c r="BW71" i="1" s="1"/>
  <c r="G115" i="1"/>
  <c r="BX71" i="1" s="1"/>
  <c r="BW72" i="1"/>
  <c r="BX72" i="1"/>
  <c r="BW73" i="1"/>
  <c r="BX73" i="1"/>
  <c r="BW74" i="1"/>
  <c r="BX74" i="1"/>
  <c r="G88" i="1"/>
  <c r="BX52" i="1" s="1"/>
  <c r="F88" i="1"/>
  <c r="BW52" i="1" s="1"/>
  <c r="E93" i="3"/>
  <c r="D93" i="3"/>
  <c r="C93" i="3"/>
  <c r="E92" i="3"/>
  <c r="D92" i="3"/>
  <c r="C92" i="3"/>
  <c r="E91" i="3"/>
  <c r="D91" i="3"/>
  <c r="C91" i="3"/>
  <c r="E90" i="3"/>
  <c r="D90" i="3"/>
  <c r="C90" i="3"/>
  <c r="E89" i="3"/>
  <c r="D89" i="3"/>
  <c r="C89" i="3"/>
  <c r="E88" i="3"/>
  <c r="D88" i="3"/>
  <c r="C88" i="3"/>
  <c r="E87" i="3"/>
  <c r="D87" i="3"/>
  <c r="C87" i="3"/>
  <c r="E86" i="3"/>
  <c r="D86" i="3"/>
  <c r="C86" i="3"/>
  <c r="E85" i="3"/>
  <c r="D85" i="3"/>
  <c r="C85" i="3"/>
  <c r="E84" i="3"/>
  <c r="D84" i="3"/>
  <c r="C84" i="3"/>
  <c r="E83" i="3"/>
  <c r="D83" i="3"/>
  <c r="C83" i="3"/>
  <c r="E82" i="3"/>
  <c r="D82" i="3"/>
  <c r="C82" i="3"/>
  <c r="E81" i="3"/>
  <c r="D81" i="3"/>
  <c r="C81" i="3"/>
  <c r="E80" i="3"/>
  <c r="D80" i="3"/>
  <c r="C80" i="3"/>
  <c r="E79" i="3"/>
  <c r="D79" i="3"/>
  <c r="C79" i="3"/>
  <c r="E78" i="3"/>
  <c r="D78" i="3"/>
  <c r="C78" i="3"/>
  <c r="E77" i="3"/>
  <c r="D77" i="3"/>
  <c r="C77" i="3"/>
  <c r="E76" i="3"/>
  <c r="D76" i="3"/>
  <c r="C76" i="3"/>
  <c r="E75" i="3"/>
  <c r="D75" i="3"/>
  <c r="C75" i="3"/>
  <c r="E74" i="3"/>
  <c r="D74" i="3"/>
  <c r="C74" i="3"/>
  <c r="E73" i="3"/>
  <c r="D73" i="3"/>
  <c r="C73" i="3"/>
  <c r="E72" i="3"/>
  <c r="D72" i="3"/>
  <c r="C72" i="3"/>
  <c r="E71" i="3"/>
  <c r="D71" i="3"/>
  <c r="C71" i="3"/>
  <c r="E70" i="3"/>
  <c r="D70" i="3"/>
  <c r="C70" i="3"/>
  <c r="E69" i="3"/>
  <c r="D69" i="3"/>
  <c r="C69" i="3"/>
  <c r="E68" i="3"/>
  <c r="D68" i="3"/>
  <c r="C68" i="3"/>
  <c r="E67" i="3"/>
  <c r="D67" i="3"/>
  <c r="C67" i="3"/>
  <c r="E66" i="3"/>
  <c r="D66" i="3"/>
  <c r="C66" i="3"/>
  <c r="E65" i="3"/>
  <c r="D65" i="3"/>
  <c r="C65" i="3"/>
  <c r="E64" i="3"/>
  <c r="D64" i="3"/>
  <c r="C64" i="3"/>
  <c r="E63" i="3"/>
  <c r="D63" i="3"/>
  <c r="C63" i="3"/>
  <c r="E62" i="3"/>
  <c r="D62" i="3"/>
  <c r="C62" i="3"/>
  <c r="E61" i="3"/>
  <c r="D61" i="3"/>
  <c r="C61" i="3"/>
  <c r="E60" i="3"/>
  <c r="D60" i="3"/>
  <c r="C60" i="3"/>
  <c r="E59" i="3"/>
  <c r="D59" i="3"/>
  <c r="C59" i="3"/>
  <c r="E58" i="3"/>
  <c r="D58" i="3"/>
  <c r="C58" i="3"/>
  <c r="E57" i="3"/>
  <c r="D57" i="3"/>
  <c r="C57" i="3"/>
  <c r="E56" i="3"/>
  <c r="D56" i="3"/>
  <c r="C56" i="3"/>
  <c r="E55" i="3"/>
  <c r="D55" i="3"/>
  <c r="C55" i="3"/>
  <c r="E54" i="3"/>
  <c r="D54" i="3"/>
  <c r="C54" i="3"/>
  <c r="E53" i="3"/>
  <c r="D53" i="3"/>
  <c r="C53" i="3"/>
  <c r="E52" i="3"/>
  <c r="D52" i="3"/>
  <c r="C52" i="3"/>
  <c r="E51" i="3"/>
  <c r="D51" i="3"/>
  <c r="C51" i="3"/>
  <c r="E50" i="3"/>
  <c r="D50" i="3"/>
  <c r="C50" i="3"/>
  <c r="E49" i="3"/>
  <c r="D49" i="3"/>
  <c r="C49" i="3"/>
  <c r="E48" i="3"/>
  <c r="D48" i="3"/>
  <c r="C48" i="3"/>
  <c r="E47" i="3"/>
  <c r="D47" i="3"/>
  <c r="C47" i="3"/>
  <c r="E46" i="3"/>
  <c r="D46" i="3"/>
  <c r="C46" i="3"/>
  <c r="E45" i="3"/>
  <c r="D45" i="3"/>
  <c r="C45" i="3"/>
  <c r="E44" i="3"/>
  <c r="D44" i="3"/>
  <c r="C44" i="3"/>
  <c r="E43" i="3"/>
  <c r="D43" i="3"/>
  <c r="C43" i="3"/>
  <c r="E42" i="3"/>
  <c r="D42" i="3"/>
  <c r="C42" i="3"/>
  <c r="E41" i="3"/>
  <c r="D41" i="3"/>
  <c r="C41" i="3"/>
  <c r="E40" i="3"/>
  <c r="D40" i="3"/>
  <c r="C40" i="3"/>
  <c r="E39" i="3"/>
  <c r="D39" i="3"/>
  <c r="C39" i="3"/>
  <c r="E38" i="3"/>
  <c r="D38" i="3"/>
  <c r="C38" i="3"/>
  <c r="E37" i="3"/>
  <c r="D37" i="3"/>
  <c r="C37" i="3"/>
  <c r="E36" i="3"/>
  <c r="D36" i="3"/>
  <c r="C36" i="3"/>
  <c r="E35" i="3"/>
  <c r="D35" i="3"/>
  <c r="C35" i="3"/>
  <c r="E34" i="3"/>
  <c r="D34" i="3"/>
  <c r="C34" i="3"/>
  <c r="E33" i="3"/>
  <c r="D33" i="3"/>
  <c r="C33" i="3"/>
  <c r="E32" i="3"/>
  <c r="D32" i="3"/>
  <c r="C32" i="3"/>
  <c r="E31" i="3"/>
  <c r="D31" i="3"/>
  <c r="C31" i="3"/>
  <c r="E30" i="3"/>
  <c r="D30" i="3"/>
  <c r="C30" i="3"/>
  <c r="E29" i="3"/>
  <c r="D29" i="3"/>
  <c r="C29" i="3"/>
  <c r="E28" i="3"/>
  <c r="D28" i="3"/>
  <c r="C28" i="3"/>
  <c r="E27" i="3"/>
  <c r="D27" i="3"/>
  <c r="C27" i="3"/>
  <c r="E26" i="3"/>
  <c r="D26" i="3"/>
  <c r="C26" i="3"/>
  <c r="E25" i="3"/>
  <c r="D25" i="3"/>
  <c r="C25" i="3"/>
  <c r="E24" i="3"/>
  <c r="D24" i="3"/>
  <c r="C24" i="3"/>
  <c r="E23" i="3"/>
  <c r="D23" i="3"/>
  <c r="C23" i="3"/>
  <c r="E22" i="3"/>
  <c r="D22" i="3"/>
  <c r="C22" i="3"/>
  <c r="E21" i="3"/>
  <c r="D21" i="3"/>
  <c r="C21" i="3"/>
  <c r="E20" i="3"/>
  <c r="D20" i="3"/>
  <c r="C20" i="3"/>
  <c r="E19" i="3"/>
  <c r="D19" i="3"/>
  <c r="C19" i="3"/>
  <c r="E18" i="3"/>
  <c r="D18" i="3"/>
  <c r="C18" i="3"/>
  <c r="E17" i="3"/>
  <c r="D17" i="3"/>
  <c r="C17" i="3"/>
  <c r="E16" i="3"/>
  <c r="D16" i="3"/>
  <c r="C16" i="3"/>
  <c r="E15" i="3"/>
  <c r="D15" i="3"/>
  <c r="C15" i="3"/>
  <c r="E14" i="3"/>
  <c r="D14" i="3"/>
  <c r="C14" i="3"/>
  <c r="E13" i="3"/>
  <c r="D13" i="3"/>
  <c r="C13" i="3"/>
  <c r="E12" i="3"/>
  <c r="D12" i="3"/>
  <c r="C12" i="3"/>
  <c r="E11" i="3"/>
  <c r="D11" i="3"/>
  <c r="C11" i="3"/>
  <c r="E10" i="3"/>
  <c r="D10" i="3"/>
  <c r="C10" i="3"/>
  <c r="E9" i="3"/>
  <c r="D9" i="3"/>
  <c r="C9" i="3"/>
  <c r="E8" i="3"/>
  <c r="D8" i="3"/>
  <c r="C8" i="3"/>
  <c r="E7" i="3"/>
  <c r="D7" i="3"/>
  <c r="C7" i="3"/>
  <c r="E6" i="3"/>
  <c r="D6" i="3"/>
  <c r="C6" i="3"/>
  <c r="CO8" i="1" l="1"/>
  <c r="CY33" i="1"/>
  <c r="CO20" i="1"/>
  <c r="CQ20" i="1" s="1"/>
  <c r="CR20" i="1" s="1"/>
  <c r="CP29" i="1"/>
  <c r="CP10" i="1"/>
  <c r="CP16" i="1"/>
  <c r="CO25" i="1"/>
  <c r="CX13" i="1"/>
  <c r="CO29" i="1"/>
  <c r="CY31" i="1"/>
  <c r="CO14" i="1"/>
  <c r="CO34" i="1"/>
  <c r="CO13" i="1"/>
  <c r="CX26" i="1"/>
  <c r="CO11" i="1"/>
  <c r="CX17" i="1"/>
  <c r="CO37" i="1"/>
  <c r="CQ37" i="1" s="1"/>
  <c r="CR37" i="1" s="1"/>
  <c r="CO6" i="1"/>
  <c r="CP13" i="1"/>
  <c r="CQ13" i="1" s="1"/>
  <c r="CR13" i="1" s="1"/>
  <c r="CX31" i="1"/>
  <c r="CZ31" i="1" s="1"/>
  <c r="DA31" i="1" s="1"/>
  <c r="CX25" i="1"/>
  <c r="CP7" i="1"/>
  <c r="CO31" i="1"/>
  <c r="CY7" i="1"/>
  <c r="CP12" i="1"/>
  <c r="CP31" i="1"/>
  <c r="CY37" i="1"/>
  <c r="CY29" i="1"/>
  <c r="CP25" i="1"/>
  <c r="CO28" i="1"/>
  <c r="CO24" i="1"/>
  <c r="CP15" i="1"/>
  <c r="CP19" i="1"/>
  <c r="CX28" i="1"/>
  <c r="CY27" i="1"/>
  <c r="CZ27" i="1" s="1"/>
  <c r="DA27" i="1" s="1"/>
  <c r="CO30" i="1"/>
  <c r="CO17" i="1"/>
  <c r="CX6" i="1"/>
  <c r="CX35" i="1"/>
  <c r="CZ35" i="1" s="1"/>
  <c r="DA35" i="1" s="1"/>
  <c r="CY15" i="1"/>
  <c r="CO12" i="1"/>
  <c r="CO32" i="1"/>
  <c r="CX36" i="1"/>
  <c r="CQ27" i="1"/>
  <c r="CR27" i="1" s="1"/>
  <c r="CY25" i="1"/>
  <c r="CZ25" i="1" s="1"/>
  <c r="DA25" i="1" s="1"/>
  <c r="CY14" i="1"/>
  <c r="CP11" i="1"/>
  <c r="CQ11" i="1" s="1"/>
  <c r="CR11" i="1" s="1"/>
  <c r="CX37" i="1"/>
  <c r="CX29" i="1"/>
  <c r="CP27" i="1"/>
  <c r="CO36" i="1"/>
  <c r="CP36" i="1"/>
  <c r="CY24" i="1"/>
  <c r="CP26" i="1"/>
  <c r="CQ26" i="1" s="1"/>
  <c r="CR26" i="1" s="1"/>
  <c r="CX38" i="1"/>
  <c r="CY38" i="1"/>
  <c r="CY26" i="1"/>
  <c r="CZ26" i="1" s="1"/>
  <c r="DA26" i="1" s="1"/>
  <c r="CY32" i="1"/>
  <c r="CY28" i="1"/>
  <c r="CZ28" i="1" s="1"/>
  <c r="DA28" i="1" s="1"/>
  <c r="CP24" i="1"/>
  <c r="CX14" i="1"/>
  <c r="CZ14" i="1" s="1"/>
  <c r="DA14" i="1" s="1"/>
  <c r="CX12" i="1"/>
  <c r="CZ12" i="1" s="1"/>
  <c r="DA12" i="1" s="1"/>
  <c r="CQ7" i="1"/>
  <c r="CR7" i="1" s="1"/>
  <c r="CP30" i="1"/>
  <c r="CP28" i="1"/>
  <c r="CQ28" i="1" s="1"/>
  <c r="CR28" i="1" s="1"/>
  <c r="CX32" i="1"/>
  <c r="CZ32" i="1" s="1"/>
  <c r="DA32" i="1" s="1"/>
  <c r="CP35" i="1"/>
  <c r="CQ35" i="1" s="1"/>
  <c r="CR35" i="1" s="1"/>
  <c r="CP9" i="1"/>
  <c r="CO9" i="1"/>
  <c r="CX33" i="1"/>
  <c r="CZ33" i="1" s="1"/>
  <c r="DA33" i="1" s="1"/>
  <c r="CX34" i="1"/>
  <c r="CQ25" i="1"/>
  <c r="CR25" i="1" s="1"/>
  <c r="CO38" i="1"/>
  <c r="CP38" i="1"/>
  <c r="CP34" i="1"/>
  <c r="CY34" i="1"/>
  <c r="CY30" i="1"/>
  <c r="CX30" i="1"/>
  <c r="CP33" i="1"/>
  <c r="CQ33" i="1" s="1"/>
  <c r="CR33" i="1" s="1"/>
  <c r="CP32" i="1"/>
  <c r="CQ32" i="1" s="1"/>
  <c r="CR32" i="1" s="1"/>
  <c r="CY36" i="1"/>
  <c r="CQ12" i="1"/>
  <c r="CR12" i="1" s="1"/>
  <c r="CQ8" i="1"/>
  <c r="CR8" i="1" s="1"/>
  <c r="CQ16" i="1"/>
  <c r="CR16" i="1" s="1"/>
  <c r="CX7" i="1"/>
  <c r="CY18" i="1"/>
  <c r="CX11" i="1"/>
  <c r="CZ11" i="1" s="1"/>
  <c r="DA11" i="1" s="1"/>
  <c r="CY19" i="1"/>
  <c r="CZ19" i="1" s="1"/>
  <c r="DA19" i="1" s="1"/>
  <c r="CO15" i="1"/>
  <c r="CO19" i="1"/>
  <c r="CQ19" i="1" s="1"/>
  <c r="CR19" i="1" s="1"/>
  <c r="CP14" i="1"/>
  <c r="CQ14" i="1" s="1"/>
  <c r="CR14" i="1" s="1"/>
  <c r="CY17" i="1"/>
  <c r="CO10" i="1"/>
  <c r="CQ10" i="1" s="1"/>
  <c r="CR10" i="1" s="1"/>
  <c r="CX10" i="1"/>
  <c r="CZ10" i="1" s="1"/>
  <c r="DA10" i="1" s="1"/>
  <c r="CQ6" i="1"/>
  <c r="CR6" i="1" s="1"/>
  <c r="CP17" i="1"/>
  <c r="CQ17" i="1" s="1"/>
  <c r="CR17" i="1" s="1"/>
  <c r="CY16" i="1"/>
  <c r="CX16" i="1"/>
  <c r="CY8" i="1"/>
  <c r="CX8" i="1"/>
  <c r="CO18" i="1"/>
  <c r="CQ18" i="1" s="1"/>
  <c r="CR18" i="1" s="1"/>
  <c r="CX15" i="1"/>
  <c r="CX20" i="1"/>
  <c r="CZ20" i="1" s="1"/>
  <c r="DA20" i="1" s="1"/>
  <c r="CY9" i="1"/>
  <c r="CZ9" i="1" s="1"/>
  <c r="DA9" i="1" s="1"/>
  <c r="CY13" i="1"/>
  <c r="CX18" i="1"/>
  <c r="BW44" i="1"/>
  <c r="BV94" i="1"/>
  <c r="BV95" i="1" s="1"/>
  <c r="H83" i="1"/>
  <c r="H124" i="1"/>
  <c r="H130" i="1"/>
  <c r="I84" i="1"/>
  <c r="I131" i="1"/>
  <c r="I80" i="1"/>
  <c r="I125" i="1"/>
  <c r="I132" i="1"/>
  <c r="I82" i="1"/>
  <c r="I123" i="1"/>
  <c r="I127" i="1"/>
  <c r="H81" i="1"/>
  <c r="H85" i="1"/>
  <c r="H126" i="1"/>
  <c r="H132" i="1"/>
  <c r="I81" i="1"/>
  <c r="I83" i="1"/>
  <c r="I85" i="1"/>
  <c r="I124" i="1"/>
  <c r="I126" i="1"/>
  <c r="I130" i="1"/>
  <c r="BX45" i="1"/>
  <c r="H80" i="1"/>
  <c r="H82" i="1"/>
  <c r="H84" i="1"/>
  <c r="H123" i="1"/>
  <c r="H125" i="1"/>
  <c r="H127" i="1"/>
  <c r="H131" i="1"/>
  <c r="H113" i="1"/>
  <c r="J113" i="1" s="1"/>
  <c r="C113" i="1" s="1"/>
  <c r="H105" i="1"/>
  <c r="J105" i="1" s="1"/>
  <c r="C105" i="1" s="1"/>
  <c r="H104" i="1"/>
  <c r="J104" i="1" s="1"/>
  <c r="C104" i="1" s="1"/>
  <c r="H92" i="1"/>
  <c r="J92" i="1" s="1"/>
  <c r="C92" i="1" s="1"/>
  <c r="H93" i="1"/>
  <c r="J93" i="1" s="1"/>
  <c r="C93" i="1" s="1"/>
  <c r="H144" i="1"/>
  <c r="J144" i="1" s="1"/>
  <c r="C144" i="1" s="1"/>
  <c r="H139" i="1"/>
  <c r="J139" i="1" s="1"/>
  <c r="C139" i="1" s="1"/>
  <c r="H143" i="1"/>
  <c r="J143" i="1" s="1"/>
  <c r="C143" i="1" s="1"/>
  <c r="H108" i="1"/>
  <c r="J108" i="1" s="1"/>
  <c r="C108" i="1" s="1"/>
  <c r="H107" i="1"/>
  <c r="J107" i="1" s="1"/>
  <c r="C107" i="1" s="1"/>
  <c r="H100" i="1"/>
  <c r="J100" i="1" s="1"/>
  <c r="C100" i="1" s="1"/>
  <c r="H96" i="1"/>
  <c r="J96" i="1" s="1"/>
  <c r="C96" i="1" s="1"/>
  <c r="H95" i="1"/>
  <c r="J95" i="1" s="1"/>
  <c r="C95" i="1" s="1"/>
  <c r="H89" i="1"/>
  <c r="J89" i="1" s="1"/>
  <c r="C89" i="1" s="1"/>
  <c r="H114" i="1"/>
  <c r="J114" i="1" s="1"/>
  <c r="C114" i="1" s="1"/>
  <c r="H111" i="1"/>
  <c r="J111" i="1" s="1"/>
  <c r="C111" i="1" s="1"/>
  <c r="H115" i="1"/>
  <c r="J115" i="1" s="1"/>
  <c r="C115" i="1" s="1"/>
  <c r="H110" i="1"/>
  <c r="J110" i="1" s="1"/>
  <c r="C110" i="1" s="1"/>
  <c r="H99" i="1"/>
  <c r="J99" i="1" s="1"/>
  <c r="C99" i="1" s="1"/>
  <c r="H98" i="1"/>
  <c r="J98" i="1" s="1"/>
  <c r="C98" i="1" s="1"/>
  <c r="H103" i="1"/>
  <c r="J103" i="1" s="1"/>
  <c r="C103" i="1" s="1"/>
  <c r="H90" i="1"/>
  <c r="J90" i="1" s="1"/>
  <c r="C90" i="1" s="1"/>
  <c r="H88" i="1"/>
  <c r="J88" i="1" s="1"/>
  <c r="C88" i="1" s="1"/>
  <c r="H145" i="1"/>
  <c r="J145" i="1" s="1"/>
  <c r="C145" i="1" s="1"/>
  <c r="H142" i="1"/>
  <c r="J142" i="1" s="1"/>
  <c r="C142" i="1" s="1"/>
  <c r="H138" i="1"/>
  <c r="J138" i="1" s="1"/>
  <c r="C138" i="1" s="1"/>
  <c r="F59" i="1"/>
  <c r="BW33" i="1" s="1"/>
  <c r="G59" i="1"/>
  <c r="BX33" i="1" s="1"/>
  <c r="F60" i="1"/>
  <c r="BW34" i="1" s="1"/>
  <c r="G60" i="1"/>
  <c r="BX34" i="1" s="1"/>
  <c r="F62" i="1"/>
  <c r="BW35" i="1" s="1"/>
  <c r="G62" i="1"/>
  <c r="BX35" i="1" s="1"/>
  <c r="F63" i="1"/>
  <c r="BW36" i="1" s="1"/>
  <c r="G63" i="1"/>
  <c r="BX36" i="1" s="1"/>
  <c r="F64" i="1"/>
  <c r="BW37" i="1" s="1"/>
  <c r="G64" i="1"/>
  <c r="BX37" i="1" s="1"/>
  <c r="F66" i="1"/>
  <c r="BW38" i="1" s="1"/>
  <c r="G66" i="1"/>
  <c r="BX38" i="1" s="1"/>
  <c r="F67" i="1"/>
  <c r="BW39" i="1" s="1"/>
  <c r="G67" i="1"/>
  <c r="BX39" i="1" s="1"/>
  <c r="F68" i="1"/>
  <c r="BW40" i="1" s="1"/>
  <c r="G68" i="1"/>
  <c r="BX40" i="1" s="1"/>
  <c r="F58" i="1"/>
  <c r="BW31" i="1" s="1"/>
  <c r="G58" i="1"/>
  <c r="BX31" i="1" s="1"/>
  <c r="G73" i="1"/>
  <c r="BX42" i="1" s="1"/>
  <c r="F73" i="1"/>
  <c r="BW42" i="1" s="1"/>
  <c r="G72" i="1"/>
  <c r="BX41" i="1" s="1"/>
  <c r="F72" i="1"/>
  <c r="BW41" i="1" s="1"/>
  <c r="G74" i="1"/>
  <c r="BX43" i="1" s="1"/>
  <c r="F74" i="1"/>
  <c r="BW43" i="1" s="1"/>
  <c r="C13" i="2"/>
  <c r="C12" i="2"/>
  <c r="C11" i="2"/>
  <c r="C9" i="2"/>
  <c r="C8" i="2"/>
  <c r="C7" i="2"/>
  <c r="AE8" i="1" s="1"/>
  <c r="C6" i="2"/>
  <c r="AE37" i="1"/>
  <c r="AE99" i="1"/>
  <c r="CQ34" i="1" l="1"/>
  <c r="CR34" i="1" s="1"/>
  <c r="CZ13" i="1"/>
  <c r="DA13" i="1" s="1"/>
  <c r="CQ15" i="1"/>
  <c r="CR15" i="1" s="1"/>
  <c r="CZ7" i="1"/>
  <c r="DA7" i="1" s="1"/>
  <c r="CQ36" i="1"/>
  <c r="CR36" i="1" s="1"/>
  <c r="CZ17" i="1"/>
  <c r="DA17" i="1" s="1"/>
  <c r="CZ36" i="1"/>
  <c r="DA36" i="1" s="1"/>
  <c r="CQ29" i="1"/>
  <c r="CR29" i="1" s="1"/>
  <c r="CQ31" i="1"/>
  <c r="CR31" i="1" s="1"/>
  <c r="CQ24" i="1"/>
  <c r="CR24" i="1" s="1"/>
  <c r="CZ37" i="1"/>
  <c r="DA37" i="1" s="1"/>
  <c r="CZ15" i="1"/>
  <c r="DA15" i="1" s="1"/>
  <c r="CQ38" i="1"/>
  <c r="CR38" i="1" s="1"/>
  <c r="CQ30" i="1"/>
  <c r="CR30" i="1" s="1"/>
  <c r="CZ29" i="1"/>
  <c r="DA29" i="1" s="1"/>
  <c r="CQ9" i="1"/>
  <c r="CR9" i="1" s="1"/>
  <c r="CZ30" i="1"/>
  <c r="DA30" i="1" s="1"/>
  <c r="CZ38" i="1"/>
  <c r="DA38" i="1" s="1"/>
  <c r="CZ34" i="1"/>
  <c r="DA34" i="1" s="1"/>
  <c r="CZ8" i="1"/>
  <c r="DA8" i="1" s="1"/>
  <c r="CZ18" i="1"/>
  <c r="DA18" i="1" s="1"/>
  <c r="CZ16" i="1"/>
  <c r="DA16" i="1" s="1"/>
  <c r="AE78" i="1"/>
  <c r="AE67" i="1"/>
  <c r="AE101" i="1"/>
  <c r="AE46" i="1"/>
  <c r="AZ86" i="1"/>
  <c r="AZ42" i="1"/>
  <c r="AE89" i="1"/>
  <c r="AE58" i="1"/>
  <c r="AE35" i="1"/>
  <c r="AZ74" i="1"/>
  <c r="AZ38" i="1"/>
  <c r="AE79" i="1"/>
  <c r="AE57" i="1"/>
  <c r="AE15" i="1"/>
  <c r="AZ106" i="1"/>
  <c r="AZ70" i="1"/>
  <c r="AZ22" i="1"/>
  <c r="AZ102" i="1"/>
  <c r="AZ54" i="1"/>
  <c r="AZ10" i="1"/>
  <c r="W6" i="5"/>
  <c r="S6" i="5"/>
  <c r="V6" i="5"/>
  <c r="R6" i="5"/>
  <c r="U6" i="5"/>
  <c r="Q6" i="5"/>
  <c r="X6" i="5"/>
  <c r="T6" i="5"/>
  <c r="AZ90" i="1"/>
  <c r="AZ58" i="1"/>
  <c r="AZ26" i="1"/>
  <c r="J56" i="2"/>
  <c r="AZ98" i="1"/>
  <c r="AZ82" i="1"/>
  <c r="AZ66" i="1"/>
  <c r="AZ50" i="1"/>
  <c r="AZ34" i="1"/>
  <c r="AZ18" i="1"/>
  <c r="AE90" i="1"/>
  <c r="AE69" i="1"/>
  <c r="AE47" i="1"/>
  <c r="AE26" i="1"/>
  <c r="BR6" i="1"/>
  <c r="AW6" i="1"/>
  <c r="AZ94" i="1"/>
  <c r="AZ78" i="1"/>
  <c r="AZ62" i="1"/>
  <c r="AZ46" i="1"/>
  <c r="AZ30" i="1"/>
  <c r="AZ14" i="1"/>
  <c r="J124" i="1"/>
  <c r="C124" i="1" s="1"/>
  <c r="J130" i="1"/>
  <c r="C130" i="1" s="1"/>
  <c r="I72" i="1"/>
  <c r="H72" i="1"/>
  <c r="H73" i="1"/>
  <c r="I73" i="1"/>
  <c r="I74" i="1"/>
  <c r="H74" i="1"/>
  <c r="J132" i="1"/>
  <c r="C132" i="1" s="1"/>
  <c r="J123" i="1"/>
  <c r="C123" i="1" s="1"/>
  <c r="J131" i="1"/>
  <c r="C131" i="1" s="1"/>
  <c r="J81" i="1"/>
  <c r="C81" i="1" s="1"/>
  <c r="J85" i="1"/>
  <c r="C85" i="1" s="1"/>
  <c r="J127" i="1"/>
  <c r="C127" i="1" s="1"/>
  <c r="J82" i="1"/>
  <c r="C82" i="1" s="1"/>
  <c r="J125" i="1"/>
  <c r="C125" i="1" s="1"/>
  <c r="J126" i="1"/>
  <c r="C126" i="1" s="1"/>
  <c r="J83" i="1"/>
  <c r="C83" i="1" s="1"/>
  <c r="J80" i="1"/>
  <c r="C80" i="1" s="1"/>
  <c r="J84" i="1"/>
  <c r="C84" i="1" s="1"/>
  <c r="AZ105" i="1"/>
  <c r="AZ97" i="1"/>
  <c r="AZ89" i="1"/>
  <c r="AZ81" i="1"/>
  <c r="AZ73" i="1"/>
  <c r="AZ65" i="1"/>
  <c r="AZ49" i="1"/>
  <c r="AZ9" i="1"/>
  <c r="AE106" i="1"/>
  <c r="AE95" i="1"/>
  <c r="AE85" i="1"/>
  <c r="AE74" i="1"/>
  <c r="AE63" i="1"/>
  <c r="AE53" i="1"/>
  <c r="AE42" i="1"/>
  <c r="AE31" i="1"/>
  <c r="AE21" i="1"/>
  <c r="AE10" i="1"/>
  <c r="AZ104" i="1"/>
  <c r="AZ100" i="1"/>
  <c r="AZ96" i="1"/>
  <c r="AZ92" i="1"/>
  <c r="AZ88" i="1"/>
  <c r="AZ84" i="1"/>
  <c r="AZ80" i="1"/>
  <c r="AZ76" i="1"/>
  <c r="AZ72" i="1"/>
  <c r="AZ68" i="1"/>
  <c r="AZ64" i="1"/>
  <c r="AZ60" i="1"/>
  <c r="AZ56" i="1"/>
  <c r="AZ52" i="1"/>
  <c r="AZ48" i="1"/>
  <c r="AZ44" i="1"/>
  <c r="AZ40" i="1"/>
  <c r="AZ36" i="1"/>
  <c r="AZ32" i="1"/>
  <c r="AZ28" i="1"/>
  <c r="AZ24" i="1"/>
  <c r="AZ20" i="1"/>
  <c r="AZ16" i="1"/>
  <c r="AZ12" i="1"/>
  <c r="AZ8" i="1"/>
  <c r="AE25" i="1"/>
  <c r="AE14" i="1"/>
  <c r="AZ101" i="1"/>
  <c r="AZ93" i="1"/>
  <c r="AZ85" i="1"/>
  <c r="AZ77" i="1"/>
  <c r="AZ69" i="1"/>
  <c r="AZ61" i="1"/>
  <c r="AZ57" i="1"/>
  <c r="AZ53" i="1"/>
  <c r="AZ45" i="1"/>
  <c r="AZ41" i="1"/>
  <c r="AZ37" i="1"/>
  <c r="AZ33" i="1"/>
  <c r="AZ29" i="1"/>
  <c r="AZ25" i="1"/>
  <c r="AZ21" i="1"/>
  <c r="AZ17" i="1"/>
  <c r="AZ13" i="1"/>
  <c r="AE105" i="1"/>
  <c r="AE94" i="1"/>
  <c r="AE83" i="1"/>
  <c r="AE73" i="1"/>
  <c r="AE62" i="1"/>
  <c r="AE51" i="1"/>
  <c r="AE41" i="1"/>
  <c r="AE30" i="1"/>
  <c r="AE19" i="1"/>
  <c r="AE9" i="1"/>
  <c r="AZ6" i="1"/>
  <c r="AZ103" i="1"/>
  <c r="AZ99" i="1"/>
  <c r="AZ95" i="1"/>
  <c r="AZ91" i="1"/>
  <c r="AZ87" i="1"/>
  <c r="AZ83" i="1"/>
  <c r="AZ79" i="1"/>
  <c r="AZ75" i="1"/>
  <c r="AZ71" i="1"/>
  <c r="AZ67" i="1"/>
  <c r="AZ63" i="1"/>
  <c r="AZ59" i="1"/>
  <c r="AZ55" i="1"/>
  <c r="AZ51" i="1"/>
  <c r="AZ47" i="1"/>
  <c r="AZ43" i="1"/>
  <c r="AZ39" i="1"/>
  <c r="AZ35" i="1"/>
  <c r="AZ31" i="1"/>
  <c r="AZ27" i="1"/>
  <c r="AZ23" i="1"/>
  <c r="AZ19" i="1"/>
  <c r="AZ15" i="1"/>
  <c r="AZ11" i="1"/>
  <c r="AZ7" i="1"/>
  <c r="H58" i="1"/>
  <c r="J58" i="1" s="1"/>
  <c r="H67" i="1"/>
  <c r="J67" i="1" s="1"/>
  <c r="H64" i="1"/>
  <c r="J64" i="1" s="1"/>
  <c r="H62" i="1"/>
  <c r="J62" i="1" s="1"/>
  <c r="H59" i="1"/>
  <c r="J59" i="1" s="1"/>
  <c r="H68" i="1"/>
  <c r="J68" i="1" s="1"/>
  <c r="H66" i="1"/>
  <c r="J66" i="1" s="1"/>
  <c r="H63" i="1"/>
  <c r="J63" i="1" s="1"/>
  <c r="H60" i="1"/>
  <c r="J60" i="1" s="1"/>
  <c r="AE103" i="1"/>
  <c r="AE98" i="1"/>
  <c r="AE93" i="1"/>
  <c r="AE87" i="1"/>
  <c r="AE82" i="1"/>
  <c r="AE77" i="1"/>
  <c r="AE71" i="1"/>
  <c r="AE66" i="1"/>
  <c r="AE61" i="1"/>
  <c r="AE55" i="1"/>
  <c r="AE50" i="1"/>
  <c r="AE45" i="1"/>
  <c r="AE39" i="1"/>
  <c r="AE34" i="1"/>
  <c r="AE29" i="1"/>
  <c r="AE23" i="1"/>
  <c r="AE18" i="1"/>
  <c r="AE13" i="1"/>
  <c r="AE7" i="1"/>
  <c r="AE6" i="1"/>
  <c r="AE102" i="1"/>
  <c r="AE97" i="1"/>
  <c r="AE91" i="1"/>
  <c r="AE86" i="1"/>
  <c r="AE81" i="1"/>
  <c r="AE75" i="1"/>
  <c r="AE70" i="1"/>
  <c r="AE65" i="1"/>
  <c r="AE59" i="1"/>
  <c r="AE54" i="1"/>
  <c r="AE49" i="1"/>
  <c r="AE43" i="1"/>
  <c r="AE38" i="1"/>
  <c r="AE33" i="1"/>
  <c r="AE27" i="1"/>
  <c r="AE22" i="1"/>
  <c r="AE17" i="1"/>
  <c r="AE11" i="1"/>
  <c r="AE104" i="1"/>
  <c r="AE100" i="1"/>
  <c r="AE96" i="1"/>
  <c r="AE92" i="1"/>
  <c r="AE88" i="1"/>
  <c r="AE84" i="1"/>
  <c r="AE80" i="1"/>
  <c r="AE76" i="1"/>
  <c r="AE72" i="1"/>
  <c r="AE68" i="1"/>
  <c r="AE64" i="1"/>
  <c r="AE60" i="1"/>
  <c r="AE56" i="1"/>
  <c r="AE52" i="1"/>
  <c r="AE48" i="1"/>
  <c r="AE44" i="1"/>
  <c r="AE40" i="1"/>
  <c r="AE36" i="1"/>
  <c r="AE32" i="1"/>
  <c r="AE28" i="1"/>
  <c r="AE24" i="1"/>
  <c r="AE20" i="1"/>
  <c r="AE16" i="1"/>
  <c r="AE12" i="1"/>
  <c r="AR7" i="1" l="1"/>
  <c r="BM7" i="1"/>
  <c r="J74" i="1"/>
  <c r="C74" i="1" s="1"/>
  <c r="J72" i="1"/>
  <c r="C72" i="1" s="1"/>
  <c r="J73" i="1"/>
  <c r="C73" i="1" s="1"/>
  <c r="C67" i="1"/>
  <c r="C66" i="1"/>
  <c r="C68" i="1"/>
  <c r="C63" i="1"/>
  <c r="C62" i="1"/>
  <c r="C64" i="1"/>
  <c r="C59" i="1"/>
  <c r="C58" i="1"/>
  <c r="C60" i="1"/>
  <c r="G53" i="1"/>
  <c r="BX30" i="1" s="1"/>
  <c r="F53" i="1"/>
  <c r="BW30" i="1" s="1"/>
  <c r="G52" i="1"/>
  <c r="BX29" i="1" s="1"/>
  <c r="F52" i="1"/>
  <c r="BW29" i="1" s="1"/>
  <c r="G49" i="1"/>
  <c r="BX28" i="1" s="1"/>
  <c r="F49" i="1"/>
  <c r="BW28" i="1" s="1"/>
  <c r="G45" i="1"/>
  <c r="BX26" i="1" s="1"/>
  <c r="F45" i="1"/>
  <c r="BW26" i="1" s="1"/>
  <c r="G48" i="1"/>
  <c r="BX27" i="1" s="1"/>
  <c r="F48" i="1"/>
  <c r="BW27" i="1" s="1"/>
  <c r="G44" i="1"/>
  <c r="BX25" i="1" s="1"/>
  <c r="F44" i="1"/>
  <c r="BW25" i="1" s="1"/>
  <c r="G39" i="1"/>
  <c r="BX24" i="1" s="1"/>
  <c r="G38" i="1"/>
  <c r="BX32" i="1" s="1"/>
  <c r="F39" i="1"/>
  <c r="BW24" i="1" s="1"/>
  <c r="F38" i="1"/>
  <c r="BW32" i="1" s="1"/>
  <c r="BB2" i="4"/>
  <c r="AR2" i="4"/>
  <c r="AH2" i="4"/>
  <c r="X2" i="4"/>
  <c r="R2" i="4"/>
  <c r="V53" i="1" l="1"/>
  <c r="V48" i="1"/>
  <c r="V33" i="1"/>
  <c r="V93" i="1"/>
  <c r="V83" i="1"/>
  <c r="V98" i="1"/>
  <c r="V73" i="1"/>
  <c r="V88" i="1"/>
  <c r="V58" i="1"/>
  <c r="V68" i="1"/>
  <c r="V103" i="1"/>
  <c r="V78" i="1"/>
  <c r="V63" i="1"/>
  <c r="V99" i="1"/>
  <c r="V69" i="1"/>
  <c r="V84" i="1"/>
  <c r="V89" i="1"/>
  <c r="V104" i="1"/>
  <c r="V79" i="1"/>
  <c r="V74" i="1"/>
  <c r="V59" i="1"/>
  <c r="V94" i="1"/>
  <c r="V64" i="1"/>
  <c r="V87" i="1"/>
  <c r="V102" i="1"/>
  <c r="V57" i="1"/>
  <c r="V72" i="1"/>
  <c r="V82" i="1"/>
  <c r="V97" i="1"/>
  <c r="V67" i="1"/>
  <c r="V77" i="1"/>
  <c r="V62" i="1"/>
  <c r="V92" i="1"/>
  <c r="V51" i="1"/>
  <c r="V52" i="1"/>
  <c r="I39" i="1"/>
  <c r="H39" i="1"/>
  <c r="H48" i="1"/>
  <c r="I48" i="1"/>
  <c r="I49" i="1"/>
  <c r="H49" i="1"/>
  <c r="I53" i="1"/>
  <c r="H53" i="1"/>
  <c r="H52" i="1"/>
  <c r="I52" i="1"/>
  <c r="H44" i="1"/>
  <c r="I44" i="1"/>
  <c r="I45" i="1"/>
  <c r="H45" i="1"/>
  <c r="H38" i="1"/>
  <c r="I38" i="1"/>
  <c r="V8" i="1"/>
  <c r="V38" i="1"/>
  <c r="V43" i="1"/>
  <c r="V28" i="1"/>
  <c r="V13" i="1"/>
  <c r="V23" i="1"/>
  <c r="V26" i="1"/>
  <c r="V41" i="1"/>
  <c r="V11" i="1"/>
  <c r="V32" i="1"/>
  <c r="V47" i="1"/>
  <c r="V17" i="1"/>
  <c r="V21" i="1"/>
  <c r="V36" i="1"/>
  <c r="V6" i="1"/>
  <c r="V12" i="1"/>
  <c r="V42" i="1"/>
  <c r="V27" i="1"/>
  <c r="V18" i="1"/>
  <c r="V7" i="1"/>
  <c r="V22" i="1"/>
  <c r="V37" i="1"/>
  <c r="V31" i="1"/>
  <c r="V46" i="1"/>
  <c r="V16" i="1"/>
  <c r="F39" i="5"/>
  <c r="N17" i="5"/>
  <c r="AP6" i="5"/>
  <c r="AO6" i="5"/>
  <c r="AN6" i="5"/>
  <c r="AM6" i="5"/>
  <c r="AL6" i="5"/>
  <c r="AK6" i="5"/>
  <c r="AJ6" i="5"/>
  <c r="AI6" i="5"/>
  <c r="AH6" i="5"/>
  <c r="AV6" i="5" s="1"/>
  <c r="AG6" i="5"/>
  <c r="AU6" i="5" s="1"/>
  <c r="AF6" i="5"/>
  <c r="AT6" i="5" s="1"/>
  <c r="AE6" i="5"/>
  <c r="AS6" i="5" s="1"/>
  <c r="AV4" i="5"/>
  <c r="AU4" i="5"/>
  <c r="AT4" i="5"/>
  <c r="AS4" i="5"/>
  <c r="P15" i="4"/>
  <c r="O15" i="4"/>
  <c r="N15" i="4"/>
  <c r="L15" i="4"/>
  <c r="P12" i="4"/>
  <c r="AZ1" i="4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N5" i="3"/>
  <c r="N6" i="3" s="1"/>
  <c r="N4" i="3"/>
  <c r="V70" i="1" l="1"/>
  <c r="V54" i="1"/>
  <c r="V60" i="1"/>
  <c r="V85" i="1"/>
  <c r="V95" i="1"/>
  <c r="V100" i="1"/>
  <c r="V65" i="1"/>
  <c r="V90" i="1"/>
  <c r="V80" i="1"/>
  <c r="V75" i="1"/>
  <c r="V105" i="1"/>
  <c r="C5" i="5"/>
  <c r="D5" i="5" s="1"/>
  <c r="V39" i="1"/>
  <c r="V19" i="1"/>
  <c r="V49" i="1"/>
  <c r="V24" i="1"/>
  <c r="V44" i="1"/>
  <c r="V29" i="1"/>
  <c r="V34" i="1"/>
  <c r="V14" i="1"/>
  <c r="J52" i="1"/>
  <c r="C52" i="1" s="1"/>
  <c r="V9" i="1"/>
  <c r="J44" i="1"/>
  <c r="C44" i="1" s="1"/>
  <c r="J45" i="1"/>
  <c r="C45" i="1" s="1"/>
  <c r="J38" i="1"/>
  <c r="C38" i="1" s="1"/>
  <c r="J39" i="1"/>
  <c r="C39" i="1" s="1"/>
  <c r="J49" i="1"/>
  <c r="C49" i="1" s="1"/>
  <c r="J53" i="1"/>
  <c r="C53" i="1" s="1"/>
  <c r="J48" i="1"/>
  <c r="C48" i="1" s="1"/>
  <c r="M56" i="2"/>
  <c r="N56" i="2" s="1"/>
  <c r="H56" i="2"/>
  <c r="M55" i="2"/>
  <c r="N55" i="2" s="1"/>
  <c r="G55" i="2"/>
  <c r="F55" i="2"/>
  <c r="M42" i="2"/>
  <c r="N42" i="2" s="1"/>
  <c r="M41" i="2"/>
  <c r="N41" i="2" s="1"/>
  <c r="I41" i="2"/>
  <c r="M40" i="2"/>
  <c r="N40" i="2" s="1"/>
  <c r="M39" i="2"/>
  <c r="N39" i="2" s="1"/>
  <c r="M38" i="2"/>
  <c r="N38" i="2" s="1"/>
  <c r="M37" i="2"/>
  <c r="N37" i="2" s="1"/>
  <c r="M36" i="2"/>
  <c r="N36" i="2" s="1"/>
  <c r="M35" i="2"/>
  <c r="N35" i="2" s="1"/>
  <c r="C53" i="2"/>
  <c r="N52" i="2"/>
  <c r="H52" i="2"/>
  <c r="N51" i="2"/>
  <c r="H51" i="2"/>
  <c r="I51" i="2" s="1"/>
  <c r="N50" i="2"/>
  <c r="H50" i="2"/>
  <c r="N49" i="2"/>
  <c r="H49" i="2"/>
  <c r="I49" i="2" s="1"/>
  <c r="N48" i="2"/>
  <c r="H48" i="2"/>
  <c r="N47" i="2"/>
  <c r="I47" i="2"/>
  <c r="N46" i="2"/>
  <c r="H46" i="2"/>
  <c r="I46" i="2" s="1"/>
  <c r="N45" i="2"/>
  <c r="H45" i="2"/>
  <c r="I45" i="2" s="1"/>
  <c r="C33" i="2"/>
  <c r="M32" i="2"/>
  <c r="N32" i="2" s="1"/>
  <c r="I32" i="2"/>
  <c r="M31" i="2"/>
  <c r="N31" i="2" s="1"/>
  <c r="M30" i="2"/>
  <c r="N30" i="2" s="1"/>
  <c r="I30" i="2"/>
  <c r="M29" i="2"/>
  <c r="N29" i="2" s="1"/>
  <c r="M28" i="2"/>
  <c r="N28" i="2" s="1"/>
  <c r="I28" i="2"/>
  <c r="M27" i="2"/>
  <c r="N27" i="2" s="1"/>
  <c r="M26" i="2"/>
  <c r="N26" i="2" s="1"/>
  <c r="I26" i="2"/>
  <c r="M25" i="2"/>
  <c r="N25" i="2" s="1"/>
  <c r="G22" i="2"/>
  <c r="F22" i="2"/>
  <c r="G21" i="2"/>
  <c r="F21" i="2"/>
  <c r="G20" i="2"/>
  <c r="F20" i="2"/>
  <c r="T93" i="1" l="1"/>
  <c r="T42" i="1"/>
  <c r="T78" i="1"/>
  <c r="T27" i="1"/>
  <c r="T22" i="1"/>
  <c r="T73" i="1"/>
  <c r="C50" i="1"/>
  <c r="T88" i="1"/>
  <c r="T37" i="1"/>
  <c r="C54" i="1"/>
  <c r="T63" i="1"/>
  <c r="T12" i="1"/>
  <c r="T58" i="1"/>
  <c r="T7" i="1"/>
  <c r="C46" i="1"/>
  <c r="C40" i="1"/>
  <c r="K45" i="2"/>
  <c r="C45" i="2" s="1"/>
  <c r="AR15" i="4" s="1"/>
  <c r="K46" i="2"/>
  <c r="C46" i="2" s="1"/>
  <c r="AS15" i="4" s="1"/>
  <c r="I25" i="2"/>
  <c r="I27" i="2"/>
  <c r="I29" i="2"/>
  <c r="I31" i="2"/>
  <c r="I37" i="2"/>
  <c r="H19" i="2"/>
  <c r="M19" i="2" s="1"/>
  <c r="N19" i="2" s="1"/>
  <c r="O19" i="2" s="1"/>
  <c r="H22" i="2"/>
  <c r="K22" i="2" s="1"/>
  <c r="C22" i="2" s="1"/>
  <c r="U15" i="4" s="1"/>
  <c r="H21" i="2"/>
  <c r="I55" i="2"/>
  <c r="I48" i="2"/>
  <c r="K48" i="2" s="1"/>
  <c r="C48" i="2" s="1"/>
  <c r="AU15" i="4" s="1"/>
  <c r="Q48" i="2"/>
  <c r="I50" i="2"/>
  <c r="K50" i="2" s="1"/>
  <c r="C50" i="2" s="1"/>
  <c r="AW15" i="4" s="1"/>
  <c r="Q50" i="2"/>
  <c r="H20" i="2"/>
  <c r="I52" i="2"/>
  <c r="K52" i="2" s="1"/>
  <c r="C52" i="2" s="1"/>
  <c r="AY15" i="4" s="1"/>
  <c r="Q52" i="2"/>
  <c r="Q47" i="2"/>
  <c r="Q49" i="2"/>
  <c r="Q51" i="2"/>
  <c r="H36" i="2"/>
  <c r="H40" i="2"/>
  <c r="H55" i="2"/>
  <c r="Q45" i="2"/>
  <c r="Q46" i="2"/>
  <c r="H35" i="2"/>
  <c r="H38" i="2"/>
  <c r="H39" i="2"/>
  <c r="H42" i="2"/>
  <c r="I56" i="2"/>
  <c r="K56" i="2" s="1"/>
  <c r="C56" i="2" s="1"/>
  <c r="BC15" i="4" s="1"/>
  <c r="H41" i="2"/>
  <c r="I40" i="2"/>
  <c r="H37" i="2"/>
  <c r="I36" i="2"/>
  <c r="H25" i="2"/>
  <c r="H26" i="2"/>
  <c r="H27" i="2"/>
  <c r="H28" i="2"/>
  <c r="H29" i="2"/>
  <c r="H30" i="2"/>
  <c r="H31" i="2"/>
  <c r="H32" i="2"/>
  <c r="K47" i="2"/>
  <c r="K49" i="2"/>
  <c r="C49" i="2" s="1"/>
  <c r="AV15" i="4" s="1"/>
  <c r="K51" i="2"/>
  <c r="C51" i="2" s="1"/>
  <c r="AX15" i="4" s="1"/>
  <c r="I35" i="2"/>
  <c r="I38" i="2"/>
  <c r="I39" i="2"/>
  <c r="I42" i="2"/>
  <c r="Q4" i="1"/>
  <c r="U4" i="1"/>
  <c r="S4" i="1"/>
  <c r="T32" i="1" l="1"/>
  <c r="T83" i="1"/>
  <c r="T98" i="1"/>
  <c r="T47" i="1"/>
  <c r="C47" i="2"/>
  <c r="AT15" i="4" s="1"/>
  <c r="T68" i="1"/>
  <c r="T17" i="1"/>
  <c r="P19" i="2"/>
  <c r="Q19" i="2" s="1"/>
  <c r="K19" i="2"/>
  <c r="C19" i="2" s="1"/>
  <c r="R15" i="4" s="1"/>
  <c r="M22" i="2"/>
  <c r="N22" i="2" s="1"/>
  <c r="O22" i="2" s="1"/>
  <c r="P22" i="2"/>
  <c r="K20" i="2"/>
  <c r="C20" i="2" s="1"/>
  <c r="S15" i="4" s="1"/>
  <c r="M20" i="2"/>
  <c r="N20" i="2" s="1"/>
  <c r="O20" i="2" s="1"/>
  <c r="P20" i="2"/>
  <c r="K21" i="2"/>
  <c r="C21" i="2" s="1"/>
  <c r="T15" i="4" s="1"/>
  <c r="P21" i="2"/>
  <c r="M21" i="2"/>
  <c r="N21" i="2" s="1"/>
  <c r="O21" i="2" s="1"/>
  <c r="J30" i="2"/>
  <c r="Q30" i="2" s="1"/>
  <c r="K30" i="2"/>
  <c r="C30" i="2" s="1"/>
  <c r="AC15" i="4" s="1"/>
  <c r="J26" i="2"/>
  <c r="Q26" i="2" s="1"/>
  <c r="K26" i="2"/>
  <c r="C26" i="2" s="1"/>
  <c r="Y15" i="4" s="1"/>
  <c r="J37" i="2"/>
  <c r="Q37" i="2" s="1"/>
  <c r="K37" i="2"/>
  <c r="K35" i="2"/>
  <c r="C35" i="2" s="1"/>
  <c r="AH15" i="4" s="1"/>
  <c r="J35" i="2"/>
  <c r="Q35" i="2" s="1"/>
  <c r="K55" i="2"/>
  <c r="C55" i="2" s="1"/>
  <c r="BB15" i="4" s="1"/>
  <c r="J36" i="2"/>
  <c r="Q36" i="2" s="1"/>
  <c r="K36" i="2"/>
  <c r="C36" i="2" s="1"/>
  <c r="AI15" i="4" s="1"/>
  <c r="J31" i="2"/>
  <c r="Q31" i="2" s="1"/>
  <c r="K31" i="2"/>
  <c r="C31" i="2" s="1"/>
  <c r="AD15" i="4" s="1"/>
  <c r="J27" i="2"/>
  <c r="Q27" i="2" s="1"/>
  <c r="K27" i="2"/>
  <c r="J29" i="2"/>
  <c r="Q29" i="2" s="1"/>
  <c r="K29" i="2"/>
  <c r="C29" i="2" s="1"/>
  <c r="AB15" i="4" s="1"/>
  <c r="J25" i="2"/>
  <c r="Q25" i="2" s="1"/>
  <c r="K25" i="2"/>
  <c r="C25" i="2" s="1"/>
  <c r="X15" i="4" s="1"/>
  <c r="J42" i="2"/>
  <c r="Q42" i="2" s="1"/>
  <c r="K42" i="2"/>
  <c r="C42" i="2" s="1"/>
  <c r="AO15" i="4" s="1"/>
  <c r="J38" i="2"/>
  <c r="Q38" i="2" s="1"/>
  <c r="K38" i="2"/>
  <c r="C38" i="2" s="1"/>
  <c r="AK15" i="4" s="1"/>
  <c r="J40" i="2"/>
  <c r="Q40" i="2" s="1"/>
  <c r="K40" i="2"/>
  <c r="C40" i="2" s="1"/>
  <c r="AM15" i="4" s="1"/>
  <c r="J32" i="2"/>
  <c r="Q32" i="2" s="1"/>
  <c r="K32" i="2"/>
  <c r="C32" i="2" s="1"/>
  <c r="AE15" i="4" s="1"/>
  <c r="J28" i="2"/>
  <c r="Q28" i="2" s="1"/>
  <c r="K28" i="2"/>
  <c r="C28" i="2" s="1"/>
  <c r="AA15" i="4" s="1"/>
  <c r="J41" i="2"/>
  <c r="Q41" i="2" s="1"/>
  <c r="K41" i="2"/>
  <c r="C41" i="2" s="1"/>
  <c r="AN15" i="4" s="1"/>
  <c r="K39" i="2"/>
  <c r="C39" i="2" s="1"/>
  <c r="AL15" i="4" s="1"/>
  <c r="J39" i="2"/>
  <c r="Q39" i="2" s="1"/>
  <c r="C27" i="2" l="1"/>
  <c r="Z15" i="4" s="1"/>
  <c r="C37" i="2"/>
  <c r="AJ15" i="4" s="1"/>
  <c r="L7" i="1"/>
  <c r="L4" i="1"/>
  <c r="Q22" i="2"/>
  <c r="Q21" i="2"/>
  <c r="Q20" i="2"/>
  <c r="L6" i="1" l="1"/>
  <c r="T103" i="1"/>
  <c r="T52" i="1"/>
  <c r="R27" i="1"/>
  <c r="R78" i="1"/>
  <c r="R63" i="1"/>
  <c r="R42" i="1"/>
  <c r="R12" i="1"/>
  <c r="R93" i="1"/>
  <c r="L5" i="1"/>
  <c r="J55" i="2"/>
  <c r="Q55" i="2" s="1"/>
  <c r="Q56" i="2"/>
  <c r="AA19" i="1" l="1"/>
  <c r="Z8" i="1"/>
  <c r="X16" i="1"/>
  <c r="AA14" i="1"/>
  <c r="AJ6" i="1" s="1"/>
  <c r="AJ7" i="1" s="1"/>
  <c r="AJ8" i="1" s="1"/>
  <c r="AJ9" i="1" s="1"/>
  <c r="AJ10" i="1" s="1"/>
  <c r="AJ11" i="1" s="1"/>
  <c r="AJ12" i="1" s="1"/>
  <c r="AJ13" i="1" s="1"/>
  <c r="AJ14" i="1" s="1"/>
  <c r="AJ15" i="1" s="1"/>
  <c r="AJ16" i="1" s="1"/>
  <c r="AJ17" i="1" s="1"/>
  <c r="AJ18" i="1" s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X11" i="1"/>
  <c r="AA9" i="1"/>
  <c r="AI6" i="1" s="1"/>
  <c r="X6" i="1"/>
  <c r="Y12" i="1"/>
  <c r="Y17" i="1"/>
  <c r="Z18" i="1"/>
  <c r="Y7" i="1"/>
  <c r="Z13" i="1"/>
  <c r="AA49" i="1"/>
  <c r="AA44" i="1"/>
  <c r="AN6" i="1" s="1"/>
  <c r="AN7" i="1" s="1"/>
  <c r="AN8" i="1" s="1"/>
  <c r="AN9" i="1" s="1"/>
  <c r="AN10" i="1" s="1"/>
  <c r="AN11" i="1" s="1"/>
  <c r="AN12" i="1" s="1"/>
  <c r="AN13" i="1" s="1"/>
  <c r="AN14" i="1" s="1"/>
  <c r="AN15" i="1" s="1"/>
  <c r="AN16" i="1" s="1"/>
  <c r="AN17" i="1" s="1"/>
  <c r="AN18" i="1" s="1"/>
  <c r="AN19" i="1" s="1"/>
  <c r="AN20" i="1" s="1"/>
  <c r="AN21" i="1" s="1"/>
  <c r="AN22" i="1" s="1"/>
  <c r="AN23" i="1" s="1"/>
  <c r="AN24" i="1" s="1"/>
  <c r="AN25" i="1" s="1"/>
  <c r="AN26" i="1" s="1"/>
  <c r="AN27" i="1" s="1"/>
  <c r="AN28" i="1" s="1"/>
  <c r="AN29" i="1" s="1"/>
  <c r="AN30" i="1" s="1"/>
  <c r="AN31" i="1" s="1"/>
  <c r="AN32" i="1" s="1"/>
  <c r="AN33" i="1" s="1"/>
  <c r="AN34" i="1" s="1"/>
  <c r="AN35" i="1" s="1"/>
  <c r="AN36" i="1" s="1"/>
  <c r="AN37" i="1" s="1"/>
  <c r="AN38" i="1" s="1"/>
  <c r="AN39" i="1" s="1"/>
  <c r="AN40" i="1" s="1"/>
  <c r="AN41" i="1" s="1"/>
  <c r="AN42" i="1" s="1"/>
  <c r="AN43" i="1" s="1"/>
  <c r="AN44" i="1" s="1"/>
  <c r="AN45" i="1" s="1"/>
  <c r="AN46" i="1" s="1"/>
  <c r="AN47" i="1" s="1"/>
  <c r="AN48" i="1" s="1"/>
  <c r="AN49" i="1" s="1"/>
  <c r="AN50" i="1" s="1"/>
  <c r="AN51" i="1" s="1"/>
  <c r="AN52" i="1" s="1"/>
  <c r="AN53" i="1" s="1"/>
  <c r="AN54" i="1" s="1"/>
  <c r="AN55" i="1" s="1"/>
  <c r="AN56" i="1" s="1"/>
  <c r="AN57" i="1" s="1"/>
  <c r="AN58" i="1" s="1"/>
  <c r="AN59" i="1" s="1"/>
  <c r="AN60" i="1" s="1"/>
  <c r="AN61" i="1" s="1"/>
  <c r="AN62" i="1" s="1"/>
  <c r="AN63" i="1" s="1"/>
  <c r="AN64" i="1" s="1"/>
  <c r="AN65" i="1" s="1"/>
  <c r="AN66" i="1" s="1"/>
  <c r="AN67" i="1" s="1"/>
  <c r="AN68" i="1" s="1"/>
  <c r="AN69" i="1" s="1"/>
  <c r="AN70" i="1" s="1"/>
  <c r="AN71" i="1" s="1"/>
  <c r="AN72" i="1" s="1"/>
  <c r="AN73" i="1" s="1"/>
  <c r="AN74" i="1" s="1"/>
  <c r="AN75" i="1" s="1"/>
  <c r="AN76" i="1" s="1"/>
  <c r="AN77" i="1" s="1"/>
  <c r="AN78" i="1" s="1"/>
  <c r="AN79" i="1" s="1"/>
  <c r="AN80" i="1" s="1"/>
  <c r="AN81" i="1" s="1"/>
  <c r="AN82" i="1" s="1"/>
  <c r="AN83" i="1" s="1"/>
  <c r="AN84" i="1" s="1"/>
  <c r="AN85" i="1" s="1"/>
  <c r="AN86" i="1" s="1"/>
  <c r="AN87" i="1" s="1"/>
  <c r="AN88" i="1" s="1"/>
  <c r="AN89" i="1" s="1"/>
  <c r="AN90" i="1" s="1"/>
  <c r="AN91" i="1" s="1"/>
  <c r="AN92" i="1" s="1"/>
  <c r="AN93" i="1" s="1"/>
  <c r="AN94" i="1" s="1"/>
  <c r="AN95" i="1" s="1"/>
  <c r="AN96" i="1" s="1"/>
  <c r="AN97" i="1" s="1"/>
  <c r="AN98" i="1" s="1"/>
  <c r="AN99" i="1" s="1"/>
  <c r="AN100" i="1" s="1"/>
  <c r="AN101" i="1" s="1"/>
  <c r="AN102" i="1" s="1"/>
  <c r="AN103" i="1" s="1"/>
  <c r="AN104" i="1" s="1"/>
  <c r="AN105" i="1" s="1"/>
  <c r="AN106" i="1" s="1"/>
  <c r="Z43" i="1"/>
  <c r="X46" i="1"/>
  <c r="AA39" i="1"/>
  <c r="AM6" i="1" s="1"/>
  <c r="AM7" i="1" s="1"/>
  <c r="AM8" i="1" s="1"/>
  <c r="AM9" i="1" s="1"/>
  <c r="AM10" i="1" s="1"/>
  <c r="AM11" i="1" s="1"/>
  <c r="AM12" i="1" s="1"/>
  <c r="AM13" i="1" s="1"/>
  <c r="AM14" i="1" s="1"/>
  <c r="AM15" i="1" s="1"/>
  <c r="AM16" i="1" s="1"/>
  <c r="AM17" i="1" s="1"/>
  <c r="AM18" i="1" s="1"/>
  <c r="AM19" i="1" s="1"/>
  <c r="AM20" i="1" s="1"/>
  <c r="AM21" i="1" s="1"/>
  <c r="AM22" i="1" s="1"/>
  <c r="AM23" i="1" s="1"/>
  <c r="AM24" i="1" s="1"/>
  <c r="AM25" i="1" s="1"/>
  <c r="AM26" i="1" s="1"/>
  <c r="AM27" i="1" s="1"/>
  <c r="AM28" i="1" s="1"/>
  <c r="AM29" i="1" s="1"/>
  <c r="AM30" i="1" s="1"/>
  <c r="AM31" i="1" s="1"/>
  <c r="AM32" i="1" s="1"/>
  <c r="AM33" i="1" s="1"/>
  <c r="AM34" i="1" s="1"/>
  <c r="AM35" i="1" s="1"/>
  <c r="AM36" i="1" s="1"/>
  <c r="AM37" i="1" s="1"/>
  <c r="AM38" i="1" s="1"/>
  <c r="AM39" i="1" s="1"/>
  <c r="AM40" i="1" s="1"/>
  <c r="AM41" i="1" s="1"/>
  <c r="AM42" i="1" s="1"/>
  <c r="AM43" i="1" s="1"/>
  <c r="AM44" i="1" s="1"/>
  <c r="AM45" i="1" s="1"/>
  <c r="AM46" i="1" s="1"/>
  <c r="AM47" i="1" s="1"/>
  <c r="AM48" i="1" s="1"/>
  <c r="AM49" i="1" s="1"/>
  <c r="AM50" i="1" s="1"/>
  <c r="AM51" i="1" s="1"/>
  <c r="AM52" i="1" s="1"/>
  <c r="AM53" i="1" s="1"/>
  <c r="AM54" i="1" s="1"/>
  <c r="AM55" i="1" s="1"/>
  <c r="AM56" i="1" s="1"/>
  <c r="AM57" i="1" s="1"/>
  <c r="AM58" i="1" s="1"/>
  <c r="AM59" i="1" s="1"/>
  <c r="AM60" i="1" s="1"/>
  <c r="AM61" i="1" s="1"/>
  <c r="AM62" i="1" s="1"/>
  <c r="AM63" i="1" s="1"/>
  <c r="AM64" i="1" s="1"/>
  <c r="AM65" i="1" s="1"/>
  <c r="AM66" i="1" s="1"/>
  <c r="AM67" i="1" s="1"/>
  <c r="AM68" i="1" s="1"/>
  <c r="AM69" i="1" s="1"/>
  <c r="AM70" i="1" s="1"/>
  <c r="AM71" i="1" s="1"/>
  <c r="AM72" i="1" s="1"/>
  <c r="AM73" i="1" s="1"/>
  <c r="AM74" i="1" s="1"/>
  <c r="AM75" i="1" s="1"/>
  <c r="AM76" i="1" s="1"/>
  <c r="AM77" i="1" s="1"/>
  <c r="AM78" i="1" s="1"/>
  <c r="AM79" i="1" s="1"/>
  <c r="AM80" i="1" s="1"/>
  <c r="AM81" i="1" s="1"/>
  <c r="AM82" i="1" s="1"/>
  <c r="AM83" i="1" s="1"/>
  <c r="AM84" i="1" s="1"/>
  <c r="AM85" i="1" s="1"/>
  <c r="AM86" i="1" s="1"/>
  <c r="AM87" i="1" s="1"/>
  <c r="AM88" i="1" s="1"/>
  <c r="AM89" i="1" s="1"/>
  <c r="AM90" i="1" s="1"/>
  <c r="AM91" i="1" s="1"/>
  <c r="AM92" i="1" s="1"/>
  <c r="AM93" i="1" s="1"/>
  <c r="AM94" i="1" s="1"/>
  <c r="AM95" i="1" s="1"/>
  <c r="AM96" i="1" s="1"/>
  <c r="AM97" i="1" s="1"/>
  <c r="AM98" i="1" s="1"/>
  <c r="AM99" i="1" s="1"/>
  <c r="AM100" i="1" s="1"/>
  <c r="AM101" i="1" s="1"/>
  <c r="AM102" i="1" s="1"/>
  <c r="AM103" i="1" s="1"/>
  <c r="AM104" i="1" s="1"/>
  <c r="AM105" i="1" s="1"/>
  <c r="AM106" i="1" s="1"/>
  <c r="X36" i="1"/>
  <c r="Y47" i="1"/>
  <c r="Z38" i="1"/>
  <c r="Y37" i="1"/>
  <c r="Y42" i="1"/>
  <c r="Z48" i="1"/>
  <c r="X41" i="1"/>
  <c r="AA54" i="1"/>
  <c r="Y52" i="1"/>
  <c r="Z53" i="1"/>
  <c r="X51" i="1"/>
  <c r="Y93" i="1"/>
  <c r="Z94" i="1"/>
  <c r="AA90" i="1"/>
  <c r="BH6" i="1" s="1"/>
  <c r="BH7" i="1" s="1"/>
  <c r="BH8" i="1" s="1"/>
  <c r="BH9" i="1" s="1"/>
  <c r="BH10" i="1" s="1"/>
  <c r="BH11" i="1" s="1"/>
  <c r="BH12" i="1" s="1"/>
  <c r="BH13" i="1" s="1"/>
  <c r="BH14" i="1" s="1"/>
  <c r="BH15" i="1" s="1"/>
  <c r="BH16" i="1" s="1"/>
  <c r="BH17" i="1" s="1"/>
  <c r="BH18" i="1" s="1"/>
  <c r="BH19" i="1" s="1"/>
  <c r="BH20" i="1" s="1"/>
  <c r="BH21" i="1" s="1"/>
  <c r="BH22" i="1" s="1"/>
  <c r="BH23" i="1" s="1"/>
  <c r="BH24" i="1" s="1"/>
  <c r="BH25" i="1" s="1"/>
  <c r="BH26" i="1" s="1"/>
  <c r="BH27" i="1" s="1"/>
  <c r="BH28" i="1" s="1"/>
  <c r="BH29" i="1" s="1"/>
  <c r="BH30" i="1" s="1"/>
  <c r="BH31" i="1" s="1"/>
  <c r="BH32" i="1" s="1"/>
  <c r="BH33" i="1" s="1"/>
  <c r="BH34" i="1" s="1"/>
  <c r="BH35" i="1" s="1"/>
  <c r="BH36" i="1" s="1"/>
  <c r="BH37" i="1" s="1"/>
  <c r="BH38" i="1" s="1"/>
  <c r="BH39" i="1" s="1"/>
  <c r="BH40" i="1" s="1"/>
  <c r="BH41" i="1" s="1"/>
  <c r="BH42" i="1" s="1"/>
  <c r="BH43" i="1" s="1"/>
  <c r="BH44" i="1" s="1"/>
  <c r="BH45" i="1" s="1"/>
  <c r="BH46" i="1" s="1"/>
  <c r="BH47" i="1" s="1"/>
  <c r="BH48" i="1" s="1"/>
  <c r="BH49" i="1" s="1"/>
  <c r="BH50" i="1" s="1"/>
  <c r="BH51" i="1" s="1"/>
  <c r="BH52" i="1" s="1"/>
  <c r="BH53" i="1" s="1"/>
  <c r="BH54" i="1" s="1"/>
  <c r="BH55" i="1" s="1"/>
  <c r="BH56" i="1" s="1"/>
  <c r="BH57" i="1" s="1"/>
  <c r="BH58" i="1" s="1"/>
  <c r="BH59" i="1" s="1"/>
  <c r="BH60" i="1" s="1"/>
  <c r="BH61" i="1" s="1"/>
  <c r="BH62" i="1" s="1"/>
  <c r="BH63" i="1" s="1"/>
  <c r="BH64" i="1" s="1"/>
  <c r="BH65" i="1" s="1"/>
  <c r="BH66" i="1" s="1"/>
  <c r="BH67" i="1" s="1"/>
  <c r="BH68" i="1" s="1"/>
  <c r="BH69" i="1" s="1"/>
  <c r="BH70" i="1" s="1"/>
  <c r="BH71" i="1" s="1"/>
  <c r="BH72" i="1" s="1"/>
  <c r="BH73" i="1" s="1"/>
  <c r="BH74" i="1" s="1"/>
  <c r="BH75" i="1" s="1"/>
  <c r="BH76" i="1" s="1"/>
  <c r="BH77" i="1" s="1"/>
  <c r="BH78" i="1" s="1"/>
  <c r="BH79" i="1" s="1"/>
  <c r="BH80" i="1" s="1"/>
  <c r="BH81" i="1" s="1"/>
  <c r="BH82" i="1" s="1"/>
  <c r="BH83" i="1" s="1"/>
  <c r="BH84" i="1" s="1"/>
  <c r="BH85" i="1" s="1"/>
  <c r="BH86" i="1" s="1"/>
  <c r="BH87" i="1" s="1"/>
  <c r="BH88" i="1" s="1"/>
  <c r="BH89" i="1" s="1"/>
  <c r="BH90" i="1" s="1"/>
  <c r="BH91" i="1" s="1"/>
  <c r="BH92" i="1" s="1"/>
  <c r="BH93" i="1" s="1"/>
  <c r="BH94" i="1" s="1"/>
  <c r="BH95" i="1" s="1"/>
  <c r="BH96" i="1" s="1"/>
  <c r="BH97" i="1" s="1"/>
  <c r="BH98" i="1" s="1"/>
  <c r="BH99" i="1" s="1"/>
  <c r="BH100" i="1" s="1"/>
  <c r="BH101" i="1" s="1"/>
  <c r="BH102" i="1" s="1"/>
  <c r="BH103" i="1" s="1"/>
  <c r="BH104" i="1" s="1"/>
  <c r="BH105" i="1" s="1"/>
  <c r="BH106" i="1" s="1"/>
  <c r="X97" i="1"/>
  <c r="AA100" i="1"/>
  <c r="Z89" i="1"/>
  <c r="Z99" i="1"/>
  <c r="X87" i="1"/>
  <c r="AA95" i="1"/>
  <c r="BI6" i="1" s="1"/>
  <c r="BI7" i="1" s="1"/>
  <c r="BI8" i="1" s="1"/>
  <c r="BI9" i="1" s="1"/>
  <c r="BI10" i="1" s="1"/>
  <c r="BI11" i="1" s="1"/>
  <c r="BI12" i="1" s="1"/>
  <c r="BI13" i="1" s="1"/>
  <c r="BI14" i="1" s="1"/>
  <c r="BI15" i="1" s="1"/>
  <c r="BI16" i="1" s="1"/>
  <c r="BI17" i="1" s="1"/>
  <c r="BI18" i="1" s="1"/>
  <c r="BI19" i="1" s="1"/>
  <c r="BI20" i="1" s="1"/>
  <c r="BI21" i="1" s="1"/>
  <c r="BI22" i="1" s="1"/>
  <c r="BI23" i="1" s="1"/>
  <c r="BI24" i="1" s="1"/>
  <c r="BI25" i="1" s="1"/>
  <c r="BI26" i="1" s="1"/>
  <c r="BI27" i="1" s="1"/>
  <c r="BI28" i="1" s="1"/>
  <c r="BI29" i="1" s="1"/>
  <c r="BI30" i="1" s="1"/>
  <c r="BI31" i="1" s="1"/>
  <c r="BI32" i="1" s="1"/>
  <c r="BI33" i="1" s="1"/>
  <c r="BI34" i="1" s="1"/>
  <c r="BI35" i="1" s="1"/>
  <c r="BI36" i="1" s="1"/>
  <c r="BI37" i="1" s="1"/>
  <c r="BI38" i="1" s="1"/>
  <c r="BI39" i="1" s="1"/>
  <c r="BI40" i="1" s="1"/>
  <c r="BI41" i="1" s="1"/>
  <c r="BI42" i="1" s="1"/>
  <c r="BI43" i="1" s="1"/>
  <c r="BI44" i="1" s="1"/>
  <c r="BI45" i="1" s="1"/>
  <c r="BI46" i="1" s="1"/>
  <c r="BI47" i="1" s="1"/>
  <c r="BI48" i="1" s="1"/>
  <c r="BI49" i="1" s="1"/>
  <c r="BI50" i="1" s="1"/>
  <c r="BI51" i="1" s="1"/>
  <c r="BI52" i="1" s="1"/>
  <c r="BI53" i="1" s="1"/>
  <c r="BI54" i="1" s="1"/>
  <c r="BI55" i="1" s="1"/>
  <c r="BI56" i="1" s="1"/>
  <c r="BI57" i="1" s="1"/>
  <c r="BI58" i="1" s="1"/>
  <c r="BI59" i="1" s="1"/>
  <c r="BI60" i="1" s="1"/>
  <c r="BI61" i="1" s="1"/>
  <c r="BI62" i="1" s="1"/>
  <c r="BI63" i="1" s="1"/>
  <c r="BI64" i="1" s="1"/>
  <c r="BI65" i="1" s="1"/>
  <c r="BI66" i="1" s="1"/>
  <c r="BI67" i="1" s="1"/>
  <c r="BI68" i="1" s="1"/>
  <c r="BI69" i="1" s="1"/>
  <c r="BI70" i="1" s="1"/>
  <c r="BI71" i="1" s="1"/>
  <c r="BI72" i="1" s="1"/>
  <c r="BI73" i="1" s="1"/>
  <c r="BI74" i="1" s="1"/>
  <c r="BI75" i="1" s="1"/>
  <c r="BI76" i="1" s="1"/>
  <c r="BI77" i="1" s="1"/>
  <c r="BI78" i="1" s="1"/>
  <c r="BI79" i="1" s="1"/>
  <c r="BI80" i="1" s="1"/>
  <c r="BI81" i="1" s="1"/>
  <c r="BI82" i="1" s="1"/>
  <c r="BI83" i="1" s="1"/>
  <c r="BI84" i="1" s="1"/>
  <c r="BI85" i="1" s="1"/>
  <c r="BI86" i="1" s="1"/>
  <c r="BI87" i="1" s="1"/>
  <c r="BI88" i="1" s="1"/>
  <c r="BI89" i="1" s="1"/>
  <c r="BI90" i="1" s="1"/>
  <c r="BI91" i="1" s="1"/>
  <c r="BI92" i="1" s="1"/>
  <c r="BI93" i="1" s="1"/>
  <c r="BI94" i="1" s="1"/>
  <c r="BI95" i="1" s="1"/>
  <c r="BI96" i="1" s="1"/>
  <c r="BI97" i="1" s="1"/>
  <c r="BI98" i="1" s="1"/>
  <c r="BI99" i="1" s="1"/>
  <c r="BI100" i="1" s="1"/>
  <c r="BI101" i="1" s="1"/>
  <c r="BI102" i="1" s="1"/>
  <c r="BI103" i="1" s="1"/>
  <c r="BI104" i="1" s="1"/>
  <c r="BI105" i="1" s="1"/>
  <c r="BI106" i="1" s="1"/>
  <c r="Y98" i="1"/>
  <c r="Y88" i="1"/>
  <c r="X92" i="1"/>
  <c r="X82" i="1"/>
  <c r="Z79" i="1"/>
  <c r="AA85" i="1"/>
  <c r="X72" i="1"/>
  <c r="Y78" i="1"/>
  <c r="AA75" i="1"/>
  <c r="BF6" i="1" s="1"/>
  <c r="BF7" i="1" s="1"/>
  <c r="BF8" i="1" s="1"/>
  <c r="BF9" i="1" s="1"/>
  <c r="BF10" i="1" s="1"/>
  <c r="BF11" i="1" s="1"/>
  <c r="BF12" i="1" s="1"/>
  <c r="BF13" i="1" s="1"/>
  <c r="BF14" i="1" s="1"/>
  <c r="BF15" i="1" s="1"/>
  <c r="BF16" i="1" s="1"/>
  <c r="BF17" i="1" s="1"/>
  <c r="BF18" i="1" s="1"/>
  <c r="BF19" i="1" s="1"/>
  <c r="BF20" i="1" s="1"/>
  <c r="BF21" i="1" s="1"/>
  <c r="BF22" i="1" s="1"/>
  <c r="BF23" i="1" s="1"/>
  <c r="BF24" i="1" s="1"/>
  <c r="BF25" i="1" s="1"/>
  <c r="BF26" i="1" s="1"/>
  <c r="BF27" i="1" s="1"/>
  <c r="BF28" i="1" s="1"/>
  <c r="BF29" i="1" s="1"/>
  <c r="BF30" i="1" s="1"/>
  <c r="BF31" i="1" s="1"/>
  <c r="BF32" i="1" s="1"/>
  <c r="BF33" i="1" s="1"/>
  <c r="BF34" i="1" s="1"/>
  <c r="BF35" i="1" s="1"/>
  <c r="BF36" i="1" s="1"/>
  <c r="BF37" i="1" s="1"/>
  <c r="BF38" i="1" s="1"/>
  <c r="BF39" i="1" s="1"/>
  <c r="BF40" i="1" s="1"/>
  <c r="BF41" i="1" s="1"/>
  <c r="BF42" i="1" s="1"/>
  <c r="BF43" i="1" s="1"/>
  <c r="BF44" i="1" s="1"/>
  <c r="BF45" i="1" s="1"/>
  <c r="BF46" i="1" s="1"/>
  <c r="BF47" i="1" s="1"/>
  <c r="BF48" i="1" s="1"/>
  <c r="BF49" i="1" s="1"/>
  <c r="BF50" i="1" s="1"/>
  <c r="BF51" i="1" s="1"/>
  <c r="BF52" i="1" s="1"/>
  <c r="BF53" i="1" s="1"/>
  <c r="BF54" i="1" s="1"/>
  <c r="BF55" i="1" s="1"/>
  <c r="BF56" i="1" s="1"/>
  <c r="BF57" i="1" s="1"/>
  <c r="BF58" i="1" s="1"/>
  <c r="BF59" i="1" s="1"/>
  <c r="BF60" i="1" s="1"/>
  <c r="BF61" i="1" s="1"/>
  <c r="BF62" i="1" s="1"/>
  <c r="BF63" i="1" s="1"/>
  <c r="BF64" i="1" s="1"/>
  <c r="BF65" i="1" s="1"/>
  <c r="BF66" i="1" s="1"/>
  <c r="BF67" i="1" s="1"/>
  <c r="BF68" i="1" s="1"/>
  <c r="BF69" i="1" s="1"/>
  <c r="BF70" i="1" s="1"/>
  <c r="BF71" i="1" s="1"/>
  <c r="BF72" i="1" s="1"/>
  <c r="BF73" i="1" s="1"/>
  <c r="BF74" i="1" s="1"/>
  <c r="BF75" i="1" s="1"/>
  <c r="BF76" i="1" s="1"/>
  <c r="BF77" i="1" s="1"/>
  <c r="BF78" i="1" s="1"/>
  <c r="BF79" i="1" s="1"/>
  <c r="BF80" i="1" s="1"/>
  <c r="BF81" i="1" s="1"/>
  <c r="BF82" i="1" s="1"/>
  <c r="BF83" i="1" s="1"/>
  <c r="BF84" i="1" s="1"/>
  <c r="BF85" i="1" s="1"/>
  <c r="BF86" i="1" s="1"/>
  <c r="BF87" i="1" s="1"/>
  <c r="BF88" i="1" s="1"/>
  <c r="BF89" i="1" s="1"/>
  <c r="BF90" i="1" s="1"/>
  <c r="BF91" i="1" s="1"/>
  <c r="BF92" i="1" s="1"/>
  <c r="BF93" i="1" s="1"/>
  <c r="BF94" i="1" s="1"/>
  <c r="BF95" i="1" s="1"/>
  <c r="BF96" i="1" s="1"/>
  <c r="BF97" i="1" s="1"/>
  <c r="BF98" i="1" s="1"/>
  <c r="BF99" i="1" s="1"/>
  <c r="BF100" i="1" s="1"/>
  <c r="BF101" i="1" s="1"/>
  <c r="BF102" i="1" s="1"/>
  <c r="BF103" i="1" s="1"/>
  <c r="BF104" i="1" s="1"/>
  <c r="BF105" i="1" s="1"/>
  <c r="BF106" i="1" s="1"/>
  <c r="X77" i="1"/>
  <c r="Y73" i="1"/>
  <c r="Z74" i="1"/>
  <c r="Z84" i="1"/>
  <c r="AA80" i="1"/>
  <c r="BG6" i="1" s="1"/>
  <c r="BG7" i="1" s="1"/>
  <c r="BG8" i="1" s="1"/>
  <c r="BG9" i="1" s="1"/>
  <c r="BG10" i="1" s="1"/>
  <c r="BG11" i="1" s="1"/>
  <c r="BG12" i="1" s="1"/>
  <c r="BG13" i="1" s="1"/>
  <c r="BG14" i="1" s="1"/>
  <c r="BG15" i="1" s="1"/>
  <c r="BG16" i="1" s="1"/>
  <c r="BG17" i="1" s="1"/>
  <c r="BG18" i="1" s="1"/>
  <c r="BG19" i="1" s="1"/>
  <c r="BG20" i="1" s="1"/>
  <c r="BG21" i="1" s="1"/>
  <c r="BG22" i="1" s="1"/>
  <c r="BG23" i="1" s="1"/>
  <c r="BG24" i="1" s="1"/>
  <c r="BG25" i="1" s="1"/>
  <c r="BG26" i="1" s="1"/>
  <c r="BG27" i="1" s="1"/>
  <c r="BG28" i="1" s="1"/>
  <c r="BG29" i="1" s="1"/>
  <c r="BG30" i="1" s="1"/>
  <c r="BG31" i="1" s="1"/>
  <c r="BG32" i="1" s="1"/>
  <c r="BG33" i="1" s="1"/>
  <c r="BG34" i="1" s="1"/>
  <c r="BG35" i="1" s="1"/>
  <c r="BG36" i="1" s="1"/>
  <c r="BG37" i="1" s="1"/>
  <c r="BG38" i="1" s="1"/>
  <c r="BG39" i="1" s="1"/>
  <c r="BG40" i="1" s="1"/>
  <c r="BG41" i="1" s="1"/>
  <c r="BG42" i="1" s="1"/>
  <c r="BG43" i="1" s="1"/>
  <c r="BG44" i="1" s="1"/>
  <c r="BG45" i="1" s="1"/>
  <c r="BG46" i="1" s="1"/>
  <c r="BG47" i="1" s="1"/>
  <c r="BG48" i="1" s="1"/>
  <c r="BG49" i="1" s="1"/>
  <c r="BG50" i="1" s="1"/>
  <c r="BG51" i="1" s="1"/>
  <c r="BG52" i="1" s="1"/>
  <c r="BG53" i="1" s="1"/>
  <c r="BG54" i="1" s="1"/>
  <c r="BG55" i="1" s="1"/>
  <c r="BG56" i="1" s="1"/>
  <c r="BG57" i="1" s="1"/>
  <c r="BG58" i="1" s="1"/>
  <c r="BG59" i="1" s="1"/>
  <c r="BG60" i="1" s="1"/>
  <c r="BG61" i="1" s="1"/>
  <c r="BG62" i="1" s="1"/>
  <c r="BG63" i="1" s="1"/>
  <c r="BG64" i="1" s="1"/>
  <c r="BG65" i="1" s="1"/>
  <c r="BG66" i="1" s="1"/>
  <c r="BG67" i="1" s="1"/>
  <c r="BG68" i="1" s="1"/>
  <c r="BG69" i="1" s="1"/>
  <c r="BG70" i="1" s="1"/>
  <c r="BG71" i="1" s="1"/>
  <c r="BG72" i="1" s="1"/>
  <c r="BG73" i="1" s="1"/>
  <c r="BG74" i="1" s="1"/>
  <c r="BG75" i="1" s="1"/>
  <c r="BG76" i="1" s="1"/>
  <c r="BG77" i="1" s="1"/>
  <c r="BG78" i="1" s="1"/>
  <c r="BG79" i="1" s="1"/>
  <c r="BG80" i="1" s="1"/>
  <c r="BG81" i="1" s="1"/>
  <c r="BG82" i="1" s="1"/>
  <c r="BG83" i="1" s="1"/>
  <c r="BG84" i="1" s="1"/>
  <c r="BG85" i="1" s="1"/>
  <c r="BG86" i="1" s="1"/>
  <c r="BG87" i="1" s="1"/>
  <c r="BG88" i="1" s="1"/>
  <c r="BG89" i="1" s="1"/>
  <c r="BG90" i="1" s="1"/>
  <c r="BG91" i="1" s="1"/>
  <c r="BG92" i="1" s="1"/>
  <c r="BG93" i="1" s="1"/>
  <c r="BG94" i="1" s="1"/>
  <c r="BG95" i="1" s="1"/>
  <c r="BG96" i="1" s="1"/>
  <c r="BG97" i="1" s="1"/>
  <c r="BG98" i="1" s="1"/>
  <c r="BG99" i="1" s="1"/>
  <c r="BG100" i="1" s="1"/>
  <c r="BG101" i="1" s="1"/>
  <c r="BG102" i="1" s="1"/>
  <c r="BG103" i="1" s="1"/>
  <c r="BG104" i="1" s="1"/>
  <c r="BG105" i="1" s="1"/>
  <c r="BG106" i="1" s="1"/>
  <c r="Y83" i="1"/>
  <c r="Y27" i="1"/>
  <c r="X31" i="1"/>
  <c r="Z33" i="1"/>
  <c r="AA29" i="1"/>
  <c r="AL6" i="1" s="1"/>
  <c r="AL7" i="1" s="1"/>
  <c r="AL8" i="1" s="1"/>
  <c r="AL9" i="1" s="1"/>
  <c r="AL10" i="1" s="1"/>
  <c r="AL11" i="1" s="1"/>
  <c r="AL12" i="1" s="1"/>
  <c r="AL13" i="1" s="1"/>
  <c r="AL14" i="1" s="1"/>
  <c r="AL15" i="1" s="1"/>
  <c r="AL16" i="1" s="1"/>
  <c r="AL17" i="1" s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X26" i="1"/>
  <c r="X21" i="1"/>
  <c r="AA24" i="1"/>
  <c r="AK6" i="1" s="1"/>
  <c r="AK7" i="1" s="1"/>
  <c r="AK8" i="1" s="1"/>
  <c r="AK9" i="1" s="1"/>
  <c r="AK10" i="1" s="1"/>
  <c r="AK11" i="1" s="1"/>
  <c r="AK12" i="1" s="1"/>
  <c r="AK13" i="1" s="1"/>
  <c r="AK14" i="1" s="1"/>
  <c r="AK15" i="1" s="1"/>
  <c r="AK16" i="1" s="1"/>
  <c r="AK17" i="1" s="1"/>
  <c r="AK18" i="1" s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Z23" i="1"/>
  <c r="Y22" i="1"/>
  <c r="Y32" i="1"/>
  <c r="AA34" i="1"/>
  <c r="Z28" i="1"/>
  <c r="Z69" i="1"/>
  <c r="AA65" i="1"/>
  <c r="BE6" i="1" s="1"/>
  <c r="BE7" i="1" s="1"/>
  <c r="BE8" i="1" s="1"/>
  <c r="BE9" i="1" s="1"/>
  <c r="BE10" i="1" s="1"/>
  <c r="BE11" i="1" s="1"/>
  <c r="BE12" i="1" s="1"/>
  <c r="BE13" i="1" s="1"/>
  <c r="BE14" i="1" s="1"/>
  <c r="BE15" i="1" s="1"/>
  <c r="BE16" i="1" s="1"/>
  <c r="BE17" i="1" s="1"/>
  <c r="BE18" i="1" s="1"/>
  <c r="BE19" i="1" s="1"/>
  <c r="BE20" i="1" s="1"/>
  <c r="BE21" i="1" s="1"/>
  <c r="BE22" i="1" s="1"/>
  <c r="BE23" i="1" s="1"/>
  <c r="BE24" i="1" s="1"/>
  <c r="BE25" i="1" s="1"/>
  <c r="BE26" i="1" s="1"/>
  <c r="BE27" i="1" s="1"/>
  <c r="BE28" i="1" s="1"/>
  <c r="BE29" i="1" s="1"/>
  <c r="BE30" i="1" s="1"/>
  <c r="BE31" i="1" s="1"/>
  <c r="BE32" i="1" s="1"/>
  <c r="BE33" i="1" s="1"/>
  <c r="BE34" i="1" s="1"/>
  <c r="BE35" i="1" s="1"/>
  <c r="BE36" i="1" s="1"/>
  <c r="BE37" i="1" s="1"/>
  <c r="BE38" i="1" s="1"/>
  <c r="BE39" i="1" s="1"/>
  <c r="BE40" i="1" s="1"/>
  <c r="BE41" i="1" s="1"/>
  <c r="BE42" i="1" s="1"/>
  <c r="BE43" i="1" s="1"/>
  <c r="BE44" i="1" s="1"/>
  <c r="BE45" i="1" s="1"/>
  <c r="BE46" i="1" s="1"/>
  <c r="BE47" i="1" s="1"/>
  <c r="BE48" i="1" s="1"/>
  <c r="BE49" i="1" s="1"/>
  <c r="BE50" i="1" s="1"/>
  <c r="BE51" i="1" s="1"/>
  <c r="BE52" i="1" s="1"/>
  <c r="BE53" i="1" s="1"/>
  <c r="BE54" i="1" s="1"/>
  <c r="BE55" i="1" s="1"/>
  <c r="BE56" i="1" s="1"/>
  <c r="BE57" i="1" s="1"/>
  <c r="BE58" i="1" s="1"/>
  <c r="BE59" i="1" s="1"/>
  <c r="BE60" i="1" s="1"/>
  <c r="BE61" i="1" s="1"/>
  <c r="BE62" i="1" s="1"/>
  <c r="BE63" i="1" s="1"/>
  <c r="BE64" i="1" s="1"/>
  <c r="BE65" i="1" s="1"/>
  <c r="BE66" i="1" s="1"/>
  <c r="BE67" i="1" s="1"/>
  <c r="BE68" i="1" s="1"/>
  <c r="BE69" i="1" s="1"/>
  <c r="BE70" i="1" s="1"/>
  <c r="BE71" i="1" s="1"/>
  <c r="BE72" i="1" s="1"/>
  <c r="BE73" i="1" s="1"/>
  <c r="BE74" i="1" s="1"/>
  <c r="BE75" i="1" s="1"/>
  <c r="BE76" i="1" s="1"/>
  <c r="BE77" i="1" s="1"/>
  <c r="BE78" i="1" s="1"/>
  <c r="BE79" i="1" s="1"/>
  <c r="BE80" i="1" s="1"/>
  <c r="BE81" i="1" s="1"/>
  <c r="BE82" i="1" s="1"/>
  <c r="BE83" i="1" s="1"/>
  <c r="BE84" i="1" s="1"/>
  <c r="BE85" i="1" s="1"/>
  <c r="BE86" i="1" s="1"/>
  <c r="BE87" i="1" s="1"/>
  <c r="BE88" i="1" s="1"/>
  <c r="BE89" i="1" s="1"/>
  <c r="BE90" i="1" s="1"/>
  <c r="BE91" i="1" s="1"/>
  <c r="BE92" i="1" s="1"/>
  <c r="BE93" i="1" s="1"/>
  <c r="BE94" i="1" s="1"/>
  <c r="BE95" i="1" s="1"/>
  <c r="BE96" i="1" s="1"/>
  <c r="BE97" i="1" s="1"/>
  <c r="BE98" i="1" s="1"/>
  <c r="BE99" i="1" s="1"/>
  <c r="BE100" i="1" s="1"/>
  <c r="BE101" i="1" s="1"/>
  <c r="BE102" i="1" s="1"/>
  <c r="BE103" i="1" s="1"/>
  <c r="BE104" i="1" s="1"/>
  <c r="BE105" i="1" s="1"/>
  <c r="BE106" i="1" s="1"/>
  <c r="Y68" i="1"/>
  <c r="X67" i="1"/>
  <c r="Y58" i="1"/>
  <c r="Y63" i="1"/>
  <c r="Z59" i="1"/>
  <c r="Z64" i="1"/>
  <c r="AA70" i="1"/>
  <c r="AA60" i="1"/>
  <c r="BD6" i="1" s="1"/>
  <c r="BD7" i="1" s="1"/>
  <c r="BD8" i="1" s="1"/>
  <c r="BD9" i="1" s="1"/>
  <c r="BD10" i="1" s="1"/>
  <c r="BD11" i="1" s="1"/>
  <c r="BD12" i="1" s="1"/>
  <c r="BD13" i="1" s="1"/>
  <c r="BD14" i="1" s="1"/>
  <c r="BD15" i="1" s="1"/>
  <c r="BD16" i="1" s="1"/>
  <c r="BD17" i="1" s="1"/>
  <c r="BD18" i="1" s="1"/>
  <c r="BD19" i="1" s="1"/>
  <c r="BD20" i="1" s="1"/>
  <c r="BD21" i="1" s="1"/>
  <c r="BD22" i="1" s="1"/>
  <c r="BD23" i="1" s="1"/>
  <c r="BD24" i="1" s="1"/>
  <c r="BD25" i="1" s="1"/>
  <c r="BD26" i="1" s="1"/>
  <c r="BD27" i="1" s="1"/>
  <c r="BD28" i="1" s="1"/>
  <c r="BD29" i="1" s="1"/>
  <c r="BD30" i="1" s="1"/>
  <c r="BD31" i="1" s="1"/>
  <c r="BD32" i="1" s="1"/>
  <c r="BD33" i="1" s="1"/>
  <c r="BD34" i="1" s="1"/>
  <c r="BD35" i="1" s="1"/>
  <c r="BD36" i="1" s="1"/>
  <c r="BD37" i="1" s="1"/>
  <c r="BD38" i="1" s="1"/>
  <c r="BD39" i="1" s="1"/>
  <c r="BD40" i="1" s="1"/>
  <c r="BD41" i="1" s="1"/>
  <c r="BD42" i="1" s="1"/>
  <c r="BD43" i="1" s="1"/>
  <c r="BD44" i="1" s="1"/>
  <c r="BD45" i="1" s="1"/>
  <c r="BD46" i="1" s="1"/>
  <c r="BD47" i="1" s="1"/>
  <c r="BD48" i="1" s="1"/>
  <c r="BD49" i="1" s="1"/>
  <c r="BD50" i="1" s="1"/>
  <c r="BD51" i="1" s="1"/>
  <c r="BD52" i="1" s="1"/>
  <c r="BD53" i="1" s="1"/>
  <c r="BD54" i="1" s="1"/>
  <c r="BD55" i="1" s="1"/>
  <c r="BD56" i="1" s="1"/>
  <c r="BD57" i="1" s="1"/>
  <c r="BD58" i="1" s="1"/>
  <c r="BD59" i="1" s="1"/>
  <c r="BD60" i="1" s="1"/>
  <c r="BD61" i="1" s="1"/>
  <c r="BD62" i="1" s="1"/>
  <c r="BD63" i="1" s="1"/>
  <c r="BD64" i="1" s="1"/>
  <c r="BD65" i="1" s="1"/>
  <c r="BD66" i="1" s="1"/>
  <c r="BD67" i="1" s="1"/>
  <c r="BD68" i="1" s="1"/>
  <c r="BD69" i="1" s="1"/>
  <c r="BD70" i="1" s="1"/>
  <c r="BD71" i="1" s="1"/>
  <c r="BD72" i="1" s="1"/>
  <c r="BD73" i="1" s="1"/>
  <c r="BD74" i="1" s="1"/>
  <c r="BD75" i="1" s="1"/>
  <c r="BD76" i="1" s="1"/>
  <c r="BD77" i="1" s="1"/>
  <c r="BD78" i="1" s="1"/>
  <c r="BD79" i="1" s="1"/>
  <c r="BD80" i="1" s="1"/>
  <c r="BD81" i="1" s="1"/>
  <c r="BD82" i="1" s="1"/>
  <c r="BD83" i="1" s="1"/>
  <c r="BD84" i="1" s="1"/>
  <c r="BD85" i="1" s="1"/>
  <c r="BD86" i="1" s="1"/>
  <c r="BD87" i="1" s="1"/>
  <c r="BD88" i="1" s="1"/>
  <c r="BD89" i="1" s="1"/>
  <c r="BD90" i="1" s="1"/>
  <c r="BD91" i="1" s="1"/>
  <c r="BD92" i="1" s="1"/>
  <c r="BD93" i="1" s="1"/>
  <c r="BD94" i="1" s="1"/>
  <c r="BD95" i="1" s="1"/>
  <c r="BD96" i="1" s="1"/>
  <c r="BD97" i="1" s="1"/>
  <c r="BD98" i="1" s="1"/>
  <c r="BD99" i="1" s="1"/>
  <c r="BD100" i="1" s="1"/>
  <c r="BD101" i="1" s="1"/>
  <c r="BD102" i="1" s="1"/>
  <c r="BD103" i="1" s="1"/>
  <c r="BD104" i="1" s="1"/>
  <c r="BD105" i="1" s="1"/>
  <c r="BD106" i="1" s="1"/>
  <c r="X62" i="1"/>
  <c r="X57" i="1"/>
  <c r="AA105" i="1"/>
  <c r="X102" i="1"/>
  <c r="Z104" i="1"/>
  <c r="Y103" i="1"/>
  <c r="BP6" i="1" l="1"/>
  <c r="AU6" i="1"/>
  <c r="AI7" i="1"/>
  <c r="AM3" i="1"/>
  <c r="BH3" i="1"/>
  <c r="BF3" i="1"/>
  <c r="BI3" i="1"/>
  <c r="AL3" i="1"/>
  <c r="AJ3" i="1"/>
  <c r="AN3" i="1"/>
  <c r="BE3" i="1"/>
  <c r="BA6" i="1"/>
  <c r="BA7" i="1" s="1"/>
  <c r="BA8" i="1" s="1"/>
  <c r="BA9" i="1" s="1"/>
  <c r="BA10" i="1" s="1"/>
  <c r="BA11" i="1" s="1"/>
  <c r="BA12" i="1" s="1"/>
  <c r="BA13" i="1" s="1"/>
  <c r="BA14" i="1" s="1"/>
  <c r="BA15" i="1" s="1"/>
  <c r="BA16" i="1" s="1"/>
  <c r="BA17" i="1" s="1"/>
  <c r="BA18" i="1" s="1"/>
  <c r="BA19" i="1" s="1"/>
  <c r="BA20" i="1" s="1"/>
  <c r="BA21" i="1" s="1"/>
  <c r="BA22" i="1" s="1"/>
  <c r="BA23" i="1" s="1"/>
  <c r="BA24" i="1" s="1"/>
  <c r="BA25" i="1" s="1"/>
  <c r="BA26" i="1" s="1"/>
  <c r="BA27" i="1" s="1"/>
  <c r="BA28" i="1" s="1"/>
  <c r="BA29" i="1" s="1"/>
  <c r="BA30" i="1" s="1"/>
  <c r="BA31" i="1" s="1"/>
  <c r="BA32" i="1" s="1"/>
  <c r="BA33" i="1" s="1"/>
  <c r="BA34" i="1" s="1"/>
  <c r="BA35" i="1" s="1"/>
  <c r="BA36" i="1" s="1"/>
  <c r="BA37" i="1" s="1"/>
  <c r="BA38" i="1" s="1"/>
  <c r="BA39" i="1" s="1"/>
  <c r="BA40" i="1" s="1"/>
  <c r="BA41" i="1" s="1"/>
  <c r="BA42" i="1" s="1"/>
  <c r="BA43" i="1" s="1"/>
  <c r="BA44" i="1" s="1"/>
  <c r="BA45" i="1" s="1"/>
  <c r="BA46" i="1" s="1"/>
  <c r="BA47" i="1" s="1"/>
  <c r="BA48" i="1" s="1"/>
  <c r="BA49" i="1" s="1"/>
  <c r="BA50" i="1" s="1"/>
  <c r="BA51" i="1" s="1"/>
  <c r="BA52" i="1" s="1"/>
  <c r="BA53" i="1" s="1"/>
  <c r="BA54" i="1" s="1"/>
  <c r="BA55" i="1" s="1"/>
  <c r="BA56" i="1" s="1"/>
  <c r="BA57" i="1" s="1"/>
  <c r="BA58" i="1" s="1"/>
  <c r="BA59" i="1" s="1"/>
  <c r="BA60" i="1" s="1"/>
  <c r="BA61" i="1" s="1"/>
  <c r="BA62" i="1" s="1"/>
  <c r="BA63" i="1" s="1"/>
  <c r="BA64" i="1" s="1"/>
  <c r="BA65" i="1" s="1"/>
  <c r="BA66" i="1" s="1"/>
  <c r="BA67" i="1" s="1"/>
  <c r="BA68" i="1" s="1"/>
  <c r="BA69" i="1" s="1"/>
  <c r="BA70" i="1" s="1"/>
  <c r="BA71" i="1" s="1"/>
  <c r="BA72" i="1" s="1"/>
  <c r="BA73" i="1" s="1"/>
  <c r="BA74" i="1" s="1"/>
  <c r="BA75" i="1" s="1"/>
  <c r="BA76" i="1" s="1"/>
  <c r="BA77" i="1" s="1"/>
  <c r="BA78" i="1" s="1"/>
  <c r="BA79" i="1" s="1"/>
  <c r="BA80" i="1" s="1"/>
  <c r="BA81" i="1" s="1"/>
  <c r="BA82" i="1" s="1"/>
  <c r="BA83" i="1" s="1"/>
  <c r="BA84" i="1" s="1"/>
  <c r="BA85" i="1" s="1"/>
  <c r="BA86" i="1" s="1"/>
  <c r="BA87" i="1" s="1"/>
  <c r="BA88" i="1" s="1"/>
  <c r="BA89" i="1" s="1"/>
  <c r="BA90" i="1" s="1"/>
  <c r="BA91" i="1" s="1"/>
  <c r="BA92" i="1" s="1"/>
  <c r="BA93" i="1" s="1"/>
  <c r="BA94" i="1" s="1"/>
  <c r="BA95" i="1" s="1"/>
  <c r="BA96" i="1" s="1"/>
  <c r="BA97" i="1" s="1"/>
  <c r="BA98" i="1" s="1"/>
  <c r="BA99" i="1" s="1"/>
  <c r="BA100" i="1" s="1"/>
  <c r="BA101" i="1" s="1"/>
  <c r="BA102" i="1" s="1"/>
  <c r="BA103" i="1" s="1"/>
  <c r="BA104" i="1" s="1"/>
  <c r="BA105" i="1" s="1"/>
  <c r="BA106" i="1" s="1"/>
  <c r="AG6" i="1"/>
  <c r="AG7" i="1" s="1"/>
  <c r="AF6" i="1"/>
  <c r="BG3" i="1"/>
  <c r="AH6" i="1"/>
  <c r="AH7" i="1" s="1"/>
  <c r="AK3" i="1"/>
  <c r="BC6" i="1"/>
  <c r="BC7" i="1" s="1"/>
  <c r="BC8" i="1" s="1"/>
  <c r="BC9" i="1" s="1"/>
  <c r="BC10" i="1" s="1"/>
  <c r="BC11" i="1" s="1"/>
  <c r="BC12" i="1" s="1"/>
  <c r="BC13" i="1" s="1"/>
  <c r="BC14" i="1" s="1"/>
  <c r="BC15" i="1" s="1"/>
  <c r="BC16" i="1" s="1"/>
  <c r="BC17" i="1" s="1"/>
  <c r="BC18" i="1" s="1"/>
  <c r="BC19" i="1" s="1"/>
  <c r="BC20" i="1" s="1"/>
  <c r="BC21" i="1" s="1"/>
  <c r="BC22" i="1" s="1"/>
  <c r="BC23" i="1" s="1"/>
  <c r="BC24" i="1" s="1"/>
  <c r="BC25" i="1" s="1"/>
  <c r="BC26" i="1" s="1"/>
  <c r="BC27" i="1" s="1"/>
  <c r="BC28" i="1" s="1"/>
  <c r="BC29" i="1" s="1"/>
  <c r="BC30" i="1" s="1"/>
  <c r="BC31" i="1" s="1"/>
  <c r="BC32" i="1" s="1"/>
  <c r="BC33" i="1" s="1"/>
  <c r="BC34" i="1" s="1"/>
  <c r="BC35" i="1" s="1"/>
  <c r="BC36" i="1" s="1"/>
  <c r="BC37" i="1" s="1"/>
  <c r="BC38" i="1" s="1"/>
  <c r="BC39" i="1" s="1"/>
  <c r="BC40" i="1" s="1"/>
  <c r="BC41" i="1" s="1"/>
  <c r="BC42" i="1" s="1"/>
  <c r="BC43" i="1" s="1"/>
  <c r="BC44" i="1" s="1"/>
  <c r="BC45" i="1" s="1"/>
  <c r="BC46" i="1" s="1"/>
  <c r="BC47" i="1" s="1"/>
  <c r="BC48" i="1" s="1"/>
  <c r="BC49" i="1" s="1"/>
  <c r="BC50" i="1" s="1"/>
  <c r="BC51" i="1" s="1"/>
  <c r="BC52" i="1" s="1"/>
  <c r="BC53" i="1" s="1"/>
  <c r="BC54" i="1" s="1"/>
  <c r="BC55" i="1" s="1"/>
  <c r="BC56" i="1" s="1"/>
  <c r="BC57" i="1" s="1"/>
  <c r="BC58" i="1" s="1"/>
  <c r="BC59" i="1" s="1"/>
  <c r="BC60" i="1" s="1"/>
  <c r="BC61" i="1" s="1"/>
  <c r="BC62" i="1" s="1"/>
  <c r="BC63" i="1" s="1"/>
  <c r="BC64" i="1" s="1"/>
  <c r="BC65" i="1" s="1"/>
  <c r="BC66" i="1" s="1"/>
  <c r="BC67" i="1" s="1"/>
  <c r="BC68" i="1" s="1"/>
  <c r="BC69" i="1" s="1"/>
  <c r="BC70" i="1" s="1"/>
  <c r="BC71" i="1" s="1"/>
  <c r="BC72" i="1" s="1"/>
  <c r="BC73" i="1" s="1"/>
  <c r="BC74" i="1" s="1"/>
  <c r="BC75" i="1" s="1"/>
  <c r="BC76" i="1" s="1"/>
  <c r="BC77" i="1" s="1"/>
  <c r="BC78" i="1" s="1"/>
  <c r="BC79" i="1" s="1"/>
  <c r="BC80" i="1" s="1"/>
  <c r="BC81" i="1" s="1"/>
  <c r="BC82" i="1" s="1"/>
  <c r="BC83" i="1" s="1"/>
  <c r="BC84" i="1" s="1"/>
  <c r="BC85" i="1" s="1"/>
  <c r="BC86" i="1" s="1"/>
  <c r="BC87" i="1" s="1"/>
  <c r="BC88" i="1" s="1"/>
  <c r="BC89" i="1" s="1"/>
  <c r="BC90" i="1" s="1"/>
  <c r="BC91" i="1" s="1"/>
  <c r="BC92" i="1" s="1"/>
  <c r="BC93" i="1" s="1"/>
  <c r="BC94" i="1" s="1"/>
  <c r="BC95" i="1" s="1"/>
  <c r="BC96" i="1" s="1"/>
  <c r="BC97" i="1" s="1"/>
  <c r="BC98" i="1" s="1"/>
  <c r="BC99" i="1" s="1"/>
  <c r="BC100" i="1" s="1"/>
  <c r="BC101" i="1" s="1"/>
  <c r="BC102" i="1" s="1"/>
  <c r="BC103" i="1" s="1"/>
  <c r="BC104" i="1" s="1"/>
  <c r="BC105" i="1" s="1"/>
  <c r="BC106" i="1" s="1"/>
  <c r="BJ6" i="1"/>
  <c r="BJ7" i="1" s="1"/>
  <c r="BJ8" i="1" s="1"/>
  <c r="BJ9" i="1" s="1"/>
  <c r="BJ10" i="1" s="1"/>
  <c r="BJ11" i="1" s="1"/>
  <c r="BJ12" i="1" s="1"/>
  <c r="BJ13" i="1" s="1"/>
  <c r="BJ14" i="1" s="1"/>
  <c r="BJ15" i="1" s="1"/>
  <c r="BJ16" i="1" s="1"/>
  <c r="BJ17" i="1" s="1"/>
  <c r="BJ18" i="1" s="1"/>
  <c r="BJ19" i="1" s="1"/>
  <c r="BJ20" i="1" s="1"/>
  <c r="BJ21" i="1" s="1"/>
  <c r="BJ22" i="1" s="1"/>
  <c r="BJ23" i="1" s="1"/>
  <c r="BJ24" i="1" s="1"/>
  <c r="BJ25" i="1" s="1"/>
  <c r="BJ26" i="1" s="1"/>
  <c r="BJ27" i="1" s="1"/>
  <c r="BJ28" i="1" s="1"/>
  <c r="BJ29" i="1" s="1"/>
  <c r="BJ30" i="1" s="1"/>
  <c r="BJ31" i="1" s="1"/>
  <c r="BJ32" i="1" s="1"/>
  <c r="BJ33" i="1" s="1"/>
  <c r="BJ34" i="1" s="1"/>
  <c r="BJ35" i="1" s="1"/>
  <c r="BJ36" i="1" s="1"/>
  <c r="BJ37" i="1" s="1"/>
  <c r="BJ38" i="1" s="1"/>
  <c r="BJ39" i="1" s="1"/>
  <c r="BJ40" i="1" s="1"/>
  <c r="BJ41" i="1" s="1"/>
  <c r="BJ42" i="1" s="1"/>
  <c r="BJ43" i="1" s="1"/>
  <c r="BJ44" i="1" s="1"/>
  <c r="BJ45" i="1" s="1"/>
  <c r="BJ46" i="1" s="1"/>
  <c r="BJ47" i="1" s="1"/>
  <c r="BJ48" i="1" s="1"/>
  <c r="BJ49" i="1" s="1"/>
  <c r="BJ50" i="1" s="1"/>
  <c r="BJ51" i="1" s="1"/>
  <c r="BJ52" i="1" s="1"/>
  <c r="BJ53" i="1" s="1"/>
  <c r="BJ54" i="1" s="1"/>
  <c r="BJ55" i="1" s="1"/>
  <c r="BJ56" i="1" s="1"/>
  <c r="BJ57" i="1" s="1"/>
  <c r="BJ58" i="1" s="1"/>
  <c r="BJ59" i="1" s="1"/>
  <c r="BJ60" i="1" s="1"/>
  <c r="BJ61" i="1" s="1"/>
  <c r="BJ62" i="1" s="1"/>
  <c r="BJ63" i="1" s="1"/>
  <c r="BJ64" i="1" s="1"/>
  <c r="BJ65" i="1" s="1"/>
  <c r="BJ66" i="1" s="1"/>
  <c r="BJ67" i="1" s="1"/>
  <c r="BJ68" i="1" s="1"/>
  <c r="BJ69" i="1" s="1"/>
  <c r="BJ70" i="1" s="1"/>
  <c r="BJ71" i="1" s="1"/>
  <c r="BJ72" i="1" s="1"/>
  <c r="BJ73" i="1" s="1"/>
  <c r="BJ74" i="1" s="1"/>
  <c r="BJ75" i="1" s="1"/>
  <c r="BJ76" i="1" s="1"/>
  <c r="BJ77" i="1" s="1"/>
  <c r="BJ78" i="1" s="1"/>
  <c r="BJ79" i="1" s="1"/>
  <c r="BJ80" i="1" s="1"/>
  <c r="BJ81" i="1" s="1"/>
  <c r="BJ82" i="1" s="1"/>
  <c r="BJ83" i="1" s="1"/>
  <c r="BJ84" i="1" s="1"/>
  <c r="BJ85" i="1" s="1"/>
  <c r="BJ86" i="1" s="1"/>
  <c r="BJ87" i="1" s="1"/>
  <c r="BJ88" i="1" s="1"/>
  <c r="BJ89" i="1" s="1"/>
  <c r="BJ90" i="1" s="1"/>
  <c r="BJ91" i="1" s="1"/>
  <c r="BJ92" i="1" s="1"/>
  <c r="BJ93" i="1" s="1"/>
  <c r="BJ94" i="1" s="1"/>
  <c r="BJ95" i="1" s="1"/>
  <c r="BJ96" i="1" s="1"/>
  <c r="BJ97" i="1" s="1"/>
  <c r="BJ98" i="1" s="1"/>
  <c r="BJ99" i="1" s="1"/>
  <c r="BJ100" i="1" s="1"/>
  <c r="BJ101" i="1" s="1"/>
  <c r="BJ102" i="1" s="1"/>
  <c r="BJ103" i="1" s="1"/>
  <c r="BJ104" i="1" s="1"/>
  <c r="BJ105" i="1" s="1"/>
  <c r="BJ106" i="1" s="1"/>
  <c r="BB6" i="1"/>
  <c r="BB7" i="1" s="1"/>
  <c r="BB8" i="1" s="1"/>
  <c r="BB9" i="1" s="1"/>
  <c r="BB10" i="1" s="1"/>
  <c r="BB11" i="1" s="1"/>
  <c r="BB12" i="1" s="1"/>
  <c r="BB13" i="1" s="1"/>
  <c r="BB14" i="1" s="1"/>
  <c r="BB15" i="1" s="1"/>
  <c r="BB16" i="1" s="1"/>
  <c r="BB17" i="1" s="1"/>
  <c r="BB18" i="1" s="1"/>
  <c r="BB19" i="1" s="1"/>
  <c r="BB20" i="1" s="1"/>
  <c r="BB21" i="1" s="1"/>
  <c r="BB22" i="1" s="1"/>
  <c r="BB23" i="1" s="1"/>
  <c r="BB24" i="1" s="1"/>
  <c r="BB25" i="1" s="1"/>
  <c r="BB26" i="1" s="1"/>
  <c r="BB27" i="1" s="1"/>
  <c r="BB28" i="1" s="1"/>
  <c r="BB29" i="1" s="1"/>
  <c r="BB30" i="1" s="1"/>
  <c r="BB31" i="1" s="1"/>
  <c r="BB32" i="1" s="1"/>
  <c r="BB33" i="1" s="1"/>
  <c r="BB34" i="1" s="1"/>
  <c r="BB35" i="1" s="1"/>
  <c r="BB36" i="1" s="1"/>
  <c r="BB37" i="1" s="1"/>
  <c r="BB38" i="1" s="1"/>
  <c r="BB39" i="1" s="1"/>
  <c r="BB40" i="1" s="1"/>
  <c r="BB41" i="1" s="1"/>
  <c r="BB42" i="1" s="1"/>
  <c r="BB43" i="1" s="1"/>
  <c r="BB44" i="1" s="1"/>
  <c r="BB45" i="1" s="1"/>
  <c r="BB46" i="1" s="1"/>
  <c r="BB47" i="1" s="1"/>
  <c r="BB48" i="1" s="1"/>
  <c r="BB49" i="1" s="1"/>
  <c r="BB50" i="1" s="1"/>
  <c r="BB51" i="1" s="1"/>
  <c r="BB52" i="1" s="1"/>
  <c r="BB53" i="1" s="1"/>
  <c r="BB54" i="1" s="1"/>
  <c r="BB55" i="1" s="1"/>
  <c r="BB56" i="1" s="1"/>
  <c r="BB57" i="1" s="1"/>
  <c r="BB58" i="1" s="1"/>
  <c r="BB59" i="1" s="1"/>
  <c r="BB60" i="1" s="1"/>
  <c r="BB61" i="1" s="1"/>
  <c r="BB62" i="1" s="1"/>
  <c r="BB63" i="1" s="1"/>
  <c r="BB64" i="1" s="1"/>
  <c r="BB65" i="1" s="1"/>
  <c r="BB66" i="1" s="1"/>
  <c r="BB67" i="1" s="1"/>
  <c r="BB68" i="1" s="1"/>
  <c r="BB69" i="1" s="1"/>
  <c r="BB70" i="1" s="1"/>
  <c r="BB71" i="1" s="1"/>
  <c r="BB72" i="1" s="1"/>
  <c r="BB73" i="1" s="1"/>
  <c r="BB74" i="1" s="1"/>
  <c r="BB75" i="1" s="1"/>
  <c r="BB76" i="1" s="1"/>
  <c r="BB77" i="1" s="1"/>
  <c r="BB78" i="1" s="1"/>
  <c r="BB79" i="1" s="1"/>
  <c r="BB80" i="1" s="1"/>
  <c r="BB81" i="1" s="1"/>
  <c r="BB82" i="1" s="1"/>
  <c r="BB83" i="1" s="1"/>
  <c r="BB84" i="1" s="1"/>
  <c r="BB85" i="1" s="1"/>
  <c r="BB86" i="1" s="1"/>
  <c r="BB87" i="1" s="1"/>
  <c r="BB88" i="1" s="1"/>
  <c r="BB89" i="1" s="1"/>
  <c r="BB90" i="1" s="1"/>
  <c r="BB91" i="1" s="1"/>
  <c r="BB92" i="1" s="1"/>
  <c r="BB93" i="1" s="1"/>
  <c r="BB94" i="1" s="1"/>
  <c r="BB95" i="1" s="1"/>
  <c r="BB96" i="1" s="1"/>
  <c r="BB97" i="1" s="1"/>
  <c r="BB98" i="1" s="1"/>
  <c r="BB99" i="1" s="1"/>
  <c r="BB100" i="1" s="1"/>
  <c r="BB101" i="1" s="1"/>
  <c r="BB102" i="1" s="1"/>
  <c r="BB103" i="1" s="1"/>
  <c r="BB104" i="1" s="1"/>
  <c r="BB105" i="1" s="1"/>
  <c r="BB106" i="1" s="1"/>
  <c r="AO6" i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O91" i="1" s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AO106" i="1" s="1"/>
  <c r="Y6" i="5"/>
  <c r="Y3" i="5" s="1"/>
  <c r="AG8" i="1" l="1"/>
  <c r="AH8" i="1"/>
  <c r="AI8" i="1"/>
  <c r="BN7" i="1"/>
  <c r="BL7" i="1"/>
  <c r="BK7" i="1"/>
  <c r="AF7" i="1"/>
  <c r="AS7" i="1"/>
  <c r="AQ7" i="1"/>
  <c r="AP7" i="1"/>
  <c r="AT6" i="1"/>
  <c r="AV6" i="1"/>
  <c r="AO3" i="1"/>
  <c r="BQ6" i="1"/>
  <c r="BO6" i="1"/>
  <c r="Z6" i="5"/>
  <c r="AA6" i="5"/>
  <c r="AB6" i="5"/>
  <c r="AU7" i="1" l="1"/>
  <c r="BP7" i="1"/>
  <c r="AG9" i="1"/>
  <c r="AR8" i="1"/>
  <c r="BM8" i="1"/>
  <c r="AI9" i="1"/>
  <c r="AH9" i="1"/>
  <c r="AS8" i="1"/>
  <c r="BL8" i="1"/>
  <c r="AP8" i="1"/>
  <c r="AQ8" i="1"/>
  <c r="AF8" i="1"/>
  <c r="BN8" i="1"/>
  <c r="BK8" i="1"/>
  <c r="AW7" i="1"/>
  <c r="BR7" i="1"/>
  <c r="BQ7" i="1"/>
  <c r="BO7" i="1"/>
  <c r="AT7" i="1"/>
  <c r="AV7" i="1"/>
  <c r="BP8" i="1" l="1"/>
  <c r="AU8" i="1"/>
  <c r="AI10" i="1"/>
  <c r="AG10" i="1"/>
  <c r="AH10" i="1"/>
  <c r="BN9" i="1"/>
  <c r="AR9" i="1"/>
  <c r="BM9" i="1"/>
  <c r="AP9" i="1"/>
  <c r="AQ9" i="1"/>
  <c r="AF9" i="1"/>
  <c r="BK9" i="1"/>
  <c r="BL9" i="1"/>
  <c r="AS9" i="1"/>
  <c r="BQ8" i="1"/>
  <c r="BO8" i="1"/>
  <c r="AW8" i="1"/>
  <c r="AT8" i="1"/>
  <c r="AV8" i="1"/>
  <c r="BR8" i="1"/>
  <c r="AU9" i="1" l="1"/>
  <c r="BP9" i="1"/>
  <c r="AG11" i="1"/>
  <c r="AH11" i="1"/>
  <c r="AI11" i="1"/>
  <c r="AR10" i="1"/>
  <c r="BN10" i="1"/>
  <c r="BM10" i="1"/>
  <c r="AS10" i="1"/>
  <c r="AF10" i="1"/>
  <c r="AP10" i="1"/>
  <c r="AQ10" i="1"/>
  <c r="BL10" i="1"/>
  <c r="BK10" i="1"/>
  <c r="BQ9" i="1"/>
  <c r="AV9" i="1"/>
  <c r="AT9" i="1"/>
  <c r="AW9" i="1"/>
  <c r="BR9" i="1"/>
  <c r="BO9" i="1"/>
  <c r="BP10" i="1" l="1"/>
  <c r="AU10" i="1"/>
  <c r="AI12" i="1"/>
  <c r="AG12" i="1"/>
  <c r="AH12" i="1"/>
  <c r="AR11" i="1"/>
  <c r="AS11" i="1"/>
  <c r="BL11" i="1"/>
  <c r="BK11" i="1"/>
  <c r="BM11" i="1"/>
  <c r="AP11" i="1"/>
  <c r="AQ11" i="1"/>
  <c r="AF11" i="1"/>
  <c r="BN11" i="1"/>
  <c r="BO10" i="1"/>
  <c r="BR10" i="1"/>
  <c r="BQ10" i="1"/>
  <c r="AT10" i="1"/>
  <c r="AV10" i="1"/>
  <c r="AW10" i="1"/>
  <c r="AU11" i="1" l="1"/>
  <c r="BP11" i="1"/>
  <c r="AH13" i="1"/>
  <c r="AG13" i="1"/>
  <c r="AI13" i="1"/>
  <c r="AS12" i="1"/>
  <c r="AR12" i="1"/>
  <c r="BL12" i="1"/>
  <c r="BK12" i="1"/>
  <c r="BN12" i="1"/>
  <c r="AF12" i="1"/>
  <c r="AP12" i="1"/>
  <c r="AQ12" i="1"/>
  <c r="BM12" i="1"/>
  <c r="BQ11" i="1"/>
  <c r="AV11" i="1"/>
  <c r="AT11" i="1"/>
  <c r="BR11" i="1"/>
  <c r="AW11" i="1"/>
  <c r="BO11" i="1"/>
  <c r="BP12" i="1" l="1"/>
  <c r="AU12" i="1"/>
  <c r="AI14" i="1"/>
  <c r="AG14" i="1"/>
  <c r="AH14" i="1"/>
  <c r="BM13" i="1"/>
  <c r="AR13" i="1"/>
  <c r="AQ13" i="1"/>
  <c r="AF13" i="1"/>
  <c r="AP13" i="1"/>
  <c r="BN13" i="1"/>
  <c r="BL13" i="1"/>
  <c r="BK13" i="1"/>
  <c r="AS13" i="1"/>
  <c r="BR12" i="1"/>
  <c r="AT12" i="1"/>
  <c r="AV12" i="1"/>
  <c r="BO12" i="1"/>
  <c r="BQ12" i="1"/>
  <c r="AW12" i="1"/>
  <c r="AU13" i="1" l="1"/>
  <c r="BP13" i="1"/>
  <c r="AG15" i="1"/>
  <c r="AH15" i="1"/>
  <c r="AI15" i="1"/>
  <c r="BM14" i="1"/>
  <c r="AR14" i="1"/>
  <c r="BL14" i="1"/>
  <c r="BK14" i="1"/>
  <c r="AP14" i="1"/>
  <c r="AF14" i="1"/>
  <c r="AQ14" i="1"/>
  <c r="AS14" i="1"/>
  <c r="BN14" i="1"/>
  <c r="AW13" i="1"/>
  <c r="BQ13" i="1"/>
  <c r="AV13" i="1"/>
  <c r="AT13" i="1"/>
  <c r="BO13" i="1"/>
  <c r="BR13" i="1"/>
  <c r="BP14" i="1" l="1"/>
  <c r="AU14" i="1"/>
  <c r="AH16" i="1"/>
  <c r="AI16" i="1"/>
  <c r="AG16" i="1"/>
  <c r="AR15" i="1"/>
  <c r="AS15" i="1"/>
  <c r="BM15" i="1"/>
  <c r="BK15" i="1"/>
  <c r="BL15" i="1"/>
  <c r="AQ15" i="1"/>
  <c r="AP15" i="1"/>
  <c r="AF15" i="1"/>
  <c r="BN15" i="1"/>
  <c r="BR14" i="1"/>
  <c r="BQ14" i="1"/>
  <c r="BO14" i="1"/>
  <c r="AW14" i="1"/>
  <c r="AV14" i="1"/>
  <c r="AT14" i="1"/>
  <c r="AG17" i="1" l="1"/>
  <c r="BP15" i="1"/>
  <c r="AU15" i="1"/>
  <c r="AH17" i="1"/>
  <c r="AI17" i="1"/>
  <c r="AS16" i="1"/>
  <c r="AR16" i="1"/>
  <c r="AP16" i="1"/>
  <c r="AQ16" i="1"/>
  <c r="AF16" i="1"/>
  <c r="BL16" i="1"/>
  <c r="BK16" i="1"/>
  <c r="BM16" i="1"/>
  <c r="BN16" i="1"/>
  <c r="AV15" i="1"/>
  <c r="AT15" i="1"/>
  <c r="BO15" i="1"/>
  <c r="BR15" i="1"/>
  <c r="AW15" i="1"/>
  <c r="BQ15" i="1"/>
  <c r="AH18" i="1" l="1"/>
  <c r="AU16" i="1"/>
  <c r="BP16" i="1"/>
  <c r="AG18" i="1"/>
  <c r="AI18" i="1"/>
  <c r="AR17" i="1"/>
  <c r="AQ17" i="1"/>
  <c r="AP17" i="1"/>
  <c r="AF17" i="1"/>
  <c r="BK17" i="1"/>
  <c r="BL17" i="1"/>
  <c r="BM17" i="1"/>
  <c r="BN17" i="1"/>
  <c r="AS17" i="1"/>
  <c r="AW16" i="1"/>
  <c r="BR16" i="1"/>
  <c r="BQ16" i="1"/>
  <c r="BO16" i="1"/>
  <c r="AT16" i="1"/>
  <c r="AV16" i="1"/>
  <c r="AU17" i="1" l="1"/>
  <c r="BP17" i="1"/>
  <c r="AH19" i="1"/>
  <c r="AI19" i="1"/>
  <c r="AG19" i="1"/>
  <c r="AR18" i="1"/>
  <c r="BN18" i="1"/>
  <c r="AS18" i="1"/>
  <c r="AP18" i="1"/>
  <c r="AF18" i="1"/>
  <c r="AQ18" i="1"/>
  <c r="BK18" i="1"/>
  <c r="BL18" i="1"/>
  <c r="BM18" i="1"/>
  <c r="AV17" i="1"/>
  <c r="AT17" i="1"/>
  <c r="BO17" i="1"/>
  <c r="BR17" i="1"/>
  <c r="AW17" i="1"/>
  <c r="BQ17" i="1"/>
  <c r="AU18" i="1" l="1"/>
  <c r="AH20" i="1"/>
  <c r="BP18" i="1"/>
  <c r="AG20" i="1"/>
  <c r="AI20" i="1"/>
  <c r="BN19" i="1"/>
  <c r="AS19" i="1"/>
  <c r="AR19" i="1"/>
  <c r="BL19" i="1"/>
  <c r="BK19" i="1"/>
  <c r="AQ19" i="1"/>
  <c r="AP19" i="1"/>
  <c r="AF19" i="1"/>
  <c r="BM19" i="1"/>
  <c r="BQ18" i="1"/>
  <c r="BO18" i="1"/>
  <c r="BR18" i="1"/>
  <c r="AW18" i="1"/>
  <c r="AV18" i="1"/>
  <c r="AT18" i="1"/>
  <c r="AU19" i="1" l="1"/>
  <c r="BP19" i="1"/>
  <c r="AG21" i="1"/>
  <c r="AI21" i="1"/>
  <c r="AH21" i="1"/>
  <c r="BM20" i="1"/>
  <c r="AR20" i="1"/>
  <c r="BK20" i="1"/>
  <c r="BL20" i="1"/>
  <c r="AF20" i="1"/>
  <c r="AP20" i="1"/>
  <c r="AQ20" i="1"/>
  <c r="AS20" i="1"/>
  <c r="BN20" i="1"/>
  <c r="AW19" i="1"/>
  <c r="BQ19" i="1"/>
  <c r="BO19" i="1"/>
  <c r="AV19" i="1"/>
  <c r="AT19" i="1"/>
  <c r="BR19" i="1"/>
  <c r="AH22" i="1" l="1"/>
  <c r="AU20" i="1"/>
  <c r="BP20" i="1"/>
  <c r="AI22" i="1"/>
  <c r="AG22" i="1"/>
  <c r="AR21" i="1"/>
  <c r="BM21" i="1"/>
  <c r="AS21" i="1"/>
  <c r="BL21" i="1"/>
  <c r="BK21" i="1"/>
  <c r="BN21" i="1"/>
  <c r="AF21" i="1"/>
  <c r="AQ21" i="1"/>
  <c r="AP21" i="1"/>
  <c r="AV20" i="1"/>
  <c r="AT20" i="1"/>
  <c r="BQ20" i="1"/>
  <c r="BO20" i="1"/>
  <c r="AW20" i="1"/>
  <c r="BR20" i="1"/>
  <c r="AH23" i="1" l="1"/>
  <c r="BP21" i="1"/>
  <c r="AU21" i="1"/>
  <c r="AI23" i="1"/>
  <c r="AG23" i="1"/>
  <c r="AR22" i="1"/>
  <c r="BM22" i="1"/>
  <c r="AQ22" i="1"/>
  <c r="AF22" i="1"/>
  <c r="AP22" i="1"/>
  <c r="BN22" i="1"/>
  <c r="AS22" i="1"/>
  <c r="BL22" i="1"/>
  <c r="BK22" i="1"/>
  <c r="BO21" i="1"/>
  <c r="BR21" i="1"/>
  <c r="AV21" i="1"/>
  <c r="AT21" i="1"/>
  <c r="AW21" i="1"/>
  <c r="BQ21" i="1"/>
  <c r="AH24" i="1" l="1"/>
  <c r="BP22" i="1"/>
  <c r="AU22" i="1"/>
  <c r="AG24" i="1"/>
  <c r="AI24" i="1"/>
  <c r="AR23" i="1"/>
  <c r="AS23" i="1"/>
  <c r="BK23" i="1"/>
  <c r="BL23" i="1"/>
  <c r="AF23" i="1"/>
  <c r="AQ23" i="1"/>
  <c r="AP23" i="1"/>
  <c r="BM23" i="1"/>
  <c r="BN23" i="1"/>
  <c r="BQ22" i="1"/>
  <c r="AT22" i="1"/>
  <c r="AV22" i="1"/>
  <c r="AW22" i="1"/>
  <c r="BO22" i="1"/>
  <c r="BR22" i="1"/>
  <c r="AH25" i="1" l="1"/>
  <c r="AU23" i="1"/>
  <c r="BP23" i="1"/>
  <c r="AG25" i="1"/>
  <c r="AI25" i="1"/>
  <c r="AR24" i="1"/>
  <c r="AQ24" i="1"/>
  <c r="AP24" i="1"/>
  <c r="AF24" i="1"/>
  <c r="AS24" i="1"/>
  <c r="BK24" i="1"/>
  <c r="BL24" i="1"/>
  <c r="BN24" i="1"/>
  <c r="BM24" i="1"/>
  <c r="AW23" i="1"/>
  <c r="BR23" i="1"/>
  <c r="AT23" i="1"/>
  <c r="AV23" i="1"/>
  <c r="BQ23" i="1"/>
  <c r="BO23" i="1"/>
  <c r="BP24" i="1" l="1"/>
  <c r="AU24" i="1"/>
  <c r="AG26" i="1"/>
  <c r="AH26" i="1"/>
  <c r="AI26" i="1"/>
  <c r="AR25" i="1"/>
  <c r="BN25" i="1"/>
  <c r="BM25" i="1"/>
  <c r="AS25" i="1"/>
  <c r="BL25" i="1"/>
  <c r="BK25" i="1"/>
  <c r="AF25" i="1"/>
  <c r="AP25" i="1"/>
  <c r="AQ25" i="1"/>
  <c r="AW24" i="1"/>
  <c r="BO24" i="1"/>
  <c r="BR24" i="1"/>
  <c r="BQ24" i="1"/>
  <c r="AV24" i="1"/>
  <c r="AT24" i="1"/>
  <c r="AU25" i="1" l="1"/>
  <c r="BP25" i="1"/>
  <c r="AG27" i="1"/>
  <c r="AH27" i="1"/>
  <c r="AI27" i="1"/>
  <c r="BM26" i="1"/>
  <c r="AR26" i="1"/>
  <c r="AF26" i="1"/>
  <c r="AQ26" i="1"/>
  <c r="AP26" i="1"/>
  <c r="AS26" i="1"/>
  <c r="BL26" i="1"/>
  <c r="BK26" i="1"/>
  <c r="BN26" i="1"/>
  <c r="AT25" i="1"/>
  <c r="AV25" i="1"/>
  <c r="BQ25" i="1"/>
  <c r="BO25" i="1"/>
  <c r="AW25" i="1"/>
  <c r="BR25" i="1"/>
  <c r="BP26" i="1" l="1"/>
  <c r="AU26" i="1"/>
  <c r="AH28" i="1"/>
  <c r="AI28" i="1"/>
  <c r="AG28" i="1"/>
  <c r="BM27" i="1"/>
  <c r="AR27" i="1"/>
  <c r="BK27" i="1"/>
  <c r="BL27" i="1"/>
  <c r="AQ27" i="1"/>
  <c r="AF27" i="1"/>
  <c r="AP27" i="1"/>
  <c r="BN27" i="1"/>
  <c r="AS27" i="1"/>
  <c r="AW26" i="1"/>
  <c r="BQ26" i="1"/>
  <c r="BO26" i="1"/>
  <c r="BR26" i="1"/>
  <c r="AT26" i="1"/>
  <c r="AV26" i="1"/>
  <c r="BP27" i="1" l="1"/>
  <c r="AU27" i="1"/>
  <c r="AH29" i="1"/>
  <c r="AG29" i="1"/>
  <c r="AI29" i="1"/>
  <c r="AR28" i="1"/>
  <c r="BN28" i="1"/>
  <c r="BL28" i="1"/>
  <c r="BK28" i="1"/>
  <c r="AS28" i="1"/>
  <c r="AF28" i="1"/>
  <c r="AP28" i="1"/>
  <c r="AQ28" i="1"/>
  <c r="BM28" i="1"/>
  <c r="AT27" i="1"/>
  <c r="AV27" i="1"/>
  <c r="AW27" i="1"/>
  <c r="BR27" i="1"/>
  <c r="BQ27" i="1"/>
  <c r="BO27" i="1"/>
  <c r="BP28" i="1" l="1"/>
  <c r="AU28" i="1"/>
  <c r="AI30" i="1"/>
  <c r="AG30" i="1"/>
  <c r="AH30" i="1"/>
  <c r="AR29" i="1"/>
  <c r="BN29" i="1"/>
  <c r="AS29" i="1"/>
  <c r="BL29" i="1"/>
  <c r="BK29" i="1"/>
  <c r="BM29" i="1"/>
  <c r="AQ29" i="1"/>
  <c r="AP29" i="1"/>
  <c r="AF29" i="1"/>
  <c r="AW28" i="1"/>
  <c r="BQ28" i="1"/>
  <c r="BO28" i="1"/>
  <c r="BR28" i="1"/>
  <c r="AT28" i="1"/>
  <c r="AV28" i="1"/>
  <c r="AU29" i="1" l="1"/>
  <c r="BP29" i="1"/>
  <c r="AH31" i="1"/>
  <c r="AG31" i="1"/>
  <c r="AI31" i="1"/>
  <c r="AR30" i="1"/>
  <c r="AS30" i="1"/>
  <c r="BN30" i="1"/>
  <c r="AQ30" i="1"/>
  <c r="AP30" i="1"/>
  <c r="AF30" i="1"/>
  <c r="BL30" i="1"/>
  <c r="BK30" i="1"/>
  <c r="BM30" i="1"/>
  <c r="BO29" i="1"/>
  <c r="BR29" i="1"/>
  <c r="AW29" i="1"/>
  <c r="BQ29" i="1"/>
  <c r="AV29" i="1"/>
  <c r="AT29" i="1"/>
  <c r="BP30" i="1" l="1"/>
  <c r="AU30" i="1"/>
  <c r="AH32" i="1"/>
  <c r="AG32" i="1"/>
  <c r="AI32" i="1"/>
  <c r="AS31" i="1"/>
  <c r="AR31" i="1"/>
  <c r="BK31" i="1"/>
  <c r="BL31" i="1"/>
  <c r="BM31" i="1"/>
  <c r="AQ31" i="1"/>
  <c r="AF31" i="1"/>
  <c r="AP31" i="1"/>
  <c r="BN31" i="1"/>
  <c r="AV30" i="1"/>
  <c r="AT30" i="1"/>
  <c r="BQ30" i="1"/>
  <c r="BO30" i="1"/>
  <c r="BR30" i="1"/>
  <c r="AW30" i="1"/>
  <c r="AU31" i="1" l="1"/>
  <c r="BP31" i="1"/>
  <c r="AG33" i="1"/>
  <c r="AI33" i="1"/>
  <c r="AH33" i="1"/>
  <c r="BN32" i="1"/>
  <c r="AR32" i="1"/>
  <c r="AF32" i="1"/>
  <c r="AQ32" i="1"/>
  <c r="AP32" i="1"/>
  <c r="BM32" i="1"/>
  <c r="AS32" i="1"/>
  <c r="BK32" i="1"/>
  <c r="BL32" i="1"/>
  <c r="AW31" i="1"/>
  <c r="BO31" i="1"/>
  <c r="BR31" i="1"/>
  <c r="BQ31" i="1"/>
  <c r="AV31" i="1"/>
  <c r="AT31" i="1"/>
  <c r="BP32" i="1" l="1"/>
  <c r="AU32" i="1"/>
  <c r="AI34" i="1"/>
  <c r="AH34" i="1"/>
  <c r="AG34" i="1"/>
  <c r="AR33" i="1"/>
  <c r="BM33" i="1"/>
  <c r="AS33" i="1"/>
  <c r="AP33" i="1"/>
  <c r="AF33" i="1"/>
  <c r="AQ33" i="1"/>
  <c r="BL33" i="1"/>
  <c r="BK33" i="1"/>
  <c r="BN33" i="1"/>
  <c r="AV32" i="1"/>
  <c r="AT32" i="1"/>
  <c r="BO32" i="1"/>
  <c r="BR32" i="1"/>
  <c r="AW32" i="1"/>
  <c r="BQ32" i="1"/>
  <c r="AU33" i="1" l="1"/>
  <c r="BP33" i="1"/>
  <c r="AG35" i="1"/>
  <c r="AH35" i="1"/>
  <c r="AI35" i="1"/>
  <c r="AR34" i="1"/>
  <c r="AS34" i="1"/>
  <c r="BM34" i="1"/>
  <c r="AQ34" i="1"/>
  <c r="AP34" i="1"/>
  <c r="AF34" i="1"/>
  <c r="BK34" i="1"/>
  <c r="BL34" i="1"/>
  <c r="BN34" i="1"/>
  <c r="BO33" i="1"/>
  <c r="BR33" i="1"/>
  <c r="BQ33" i="1"/>
  <c r="AW33" i="1"/>
  <c r="AT33" i="1"/>
  <c r="AV33" i="1"/>
  <c r="BP34" i="1" l="1"/>
  <c r="AU34" i="1"/>
  <c r="AG36" i="1"/>
  <c r="AI36" i="1"/>
  <c r="AH36" i="1"/>
  <c r="AR35" i="1"/>
  <c r="AS35" i="1"/>
  <c r="BM35" i="1"/>
  <c r="BN35" i="1"/>
  <c r="BK35" i="1"/>
  <c r="BL35" i="1"/>
  <c r="AF35" i="1"/>
  <c r="AQ35" i="1"/>
  <c r="AP35" i="1"/>
  <c r="AW34" i="1"/>
  <c r="BQ34" i="1"/>
  <c r="BO34" i="1"/>
  <c r="AT34" i="1"/>
  <c r="AV34" i="1"/>
  <c r="BR34" i="1"/>
  <c r="AU35" i="1" l="1"/>
  <c r="AG37" i="1"/>
  <c r="BP35" i="1"/>
  <c r="AH37" i="1"/>
  <c r="AI37" i="1"/>
  <c r="AR36" i="1"/>
  <c r="BM36" i="1"/>
  <c r="AS36" i="1"/>
  <c r="BN36" i="1"/>
  <c r="AQ36" i="1"/>
  <c r="AF36" i="1"/>
  <c r="AP36" i="1"/>
  <c r="BL36" i="1"/>
  <c r="BK36" i="1"/>
  <c r="AW35" i="1"/>
  <c r="BQ35" i="1"/>
  <c r="AT35" i="1"/>
  <c r="AV35" i="1"/>
  <c r="BO35" i="1"/>
  <c r="BR35" i="1"/>
  <c r="BP36" i="1" l="1"/>
  <c r="AU36" i="1"/>
  <c r="AH38" i="1"/>
  <c r="AG38" i="1"/>
  <c r="AI38" i="1"/>
  <c r="BM37" i="1"/>
  <c r="AR37" i="1"/>
  <c r="AS37" i="1"/>
  <c r="BK37" i="1"/>
  <c r="BL37" i="1"/>
  <c r="BN37" i="1"/>
  <c r="AQ37" i="1"/>
  <c r="AP37" i="1"/>
  <c r="AF37" i="1"/>
  <c r="AT36" i="1"/>
  <c r="AV36" i="1"/>
  <c r="BQ36" i="1"/>
  <c r="AW36" i="1"/>
  <c r="BO36" i="1"/>
  <c r="BR36" i="1"/>
  <c r="AU37" i="1" l="1"/>
  <c r="BP37" i="1"/>
  <c r="AG39" i="1"/>
  <c r="AI39" i="1"/>
  <c r="AH39" i="1"/>
  <c r="AR38" i="1"/>
  <c r="BN38" i="1"/>
  <c r="AQ38" i="1"/>
  <c r="AP38" i="1"/>
  <c r="AF38" i="1"/>
  <c r="BK38" i="1"/>
  <c r="BL38" i="1"/>
  <c r="BM38" i="1"/>
  <c r="AS38" i="1"/>
  <c r="AW37" i="1"/>
  <c r="BQ37" i="1"/>
  <c r="BO37" i="1"/>
  <c r="AT37" i="1"/>
  <c r="AV37" i="1"/>
  <c r="BR37" i="1"/>
  <c r="AU38" i="1" l="1"/>
  <c r="BP38" i="1"/>
  <c r="AH40" i="1"/>
  <c r="AI40" i="1"/>
  <c r="AG40" i="1"/>
  <c r="BN39" i="1"/>
  <c r="AR39" i="1"/>
  <c r="AS39" i="1"/>
  <c r="BM39" i="1"/>
  <c r="AQ39" i="1"/>
  <c r="AF39" i="1"/>
  <c r="AP39" i="1"/>
  <c r="BK39" i="1"/>
  <c r="BL39" i="1"/>
  <c r="BO38" i="1"/>
  <c r="BR38" i="1"/>
  <c r="BQ38" i="1"/>
  <c r="AW38" i="1"/>
  <c r="AV38" i="1"/>
  <c r="AT38" i="1"/>
  <c r="AU39" i="1" l="1"/>
  <c r="BP39" i="1"/>
  <c r="AG41" i="1"/>
  <c r="AI41" i="1"/>
  <c r="AH41" i="1"/>
  <c r="AR40" i="1"/>
  <c r="AQ40" i="1"/>
  <c r="AP40" i="1"/>
  <c r="AF40" i="1"/>
  <c r="BM40" i="1"/>
  <c r="BK40" i="1"/>
  <c r="BL40" i="1"/>
  <c r="AS40" i="1"/>
  <c r="BN40" i="1"/>
  <c r="AV39" i="1"/>
  <c r="AT39" i="1"/>
  <c r="BQ39" i="1"/>
  <c r="BO39" i="1"/>
  <c r="BR39" i="1"/>
  <c r="AW39" i="1"/>
  <c r="AU40" i="1" l="1"/>
  <c r="BP40" i="1"/>
  <c r="AH42" i="1"/>
  <c r="AI42" i="1"/>
  <c r="AG42" i="1"/>
  <c r="AR41" i="1"/>
  <c r="BM41" i="1"/>
  <c r="AP41" i="1"/>
  <c r="AQ41" i="1"/>
  <c r="AF41" i="1"/>
  <c r="BK41" i="1"/>
  <c r="BL41" i="1"/>
  <c r="BN41" i="1"/>
  <c r="AS41" i="1"/>
  <c r="BO40" i="1"/>
  <c r="BR40" i="1"/>
  <c r="AT40" i="1"/>
  <c r="AV40" i="1"/>
  <c r="AW40" i="1"/>
  <c r="BQ40" i="1"/>
  <c r="BP41" i="1" l="1"/>
  <c r="AU41" i="1"/>
  <c r="AG43" i="1"/>
  <c r="AI43" i="1"/>
  <c r="AH43" i="1"/>
  <c r="BN42" i="1"/>
  <c r="AR42" i="1"/>
  <c r="BM42" i="1"/>
  <c r="AS42" i="1"/>
  <c r="BL42" i="1"/>
  <c r="BK42" i="1"/>
  <c r="AQ42" i="1"/>
  <c r="AP42" i="1"/>
  <c r="AF42" i="1"/>
  <c r="AW41" i="1"/>
  <c r="AT41" i="1"/>
  <c r="AV41" i="1"/>
  <c r="BR41" i="1"/>
  <c r="BQ41" i="1"/>
  <c r="BO41" i="1"/>
  <c r="BP42" i="1" l="1"/>
  <c r="AU42" i="1"/>
  <c r="AH44" i="1"/>
  <c r="AG44" i="1"/>
  <c r="AI44" i="1"/>
  <c r="BN43" i="1"/>
  <c r="AR43" i="1"/>
  <c r="AS43" i="1"/>
  <c r="AF43" i="1"/>
  <c r="AP43" i="1"/>
  <c r="AQ43" i="1"/>
  <c r="BL43" i="1"/>
  <c r="BK43" i="1"/>
  <c r="BM43" i="1"/>
  <c r="BR42" i="1"/>
  <c r="AV42" i="1"/>
  <c r="AT42" i="1"/>
  <c r="AW42" i="1"/>
  <c r="BQ42" i="1"/>
  <c r="BO42" i="1"/>
  <c r="BP43" i="1" l="1"/>
  <c r="AU43" i="1"/>
  <c r="AG45" i="1"/>
  <c r="AI45" i="1"/>
  <c r="AH45" i="1"/>
  <c r="BN44" i="1"/>
  <c r="AR44" i="1"/>
  <c r="BM44" i="1"/>
  <c r="AF44" i="1"/>
  <c r="AQ44" i="1"/>
  <c r="AP44" i="1"/>
  <c r="AS44" i="1"/>
  <c r="BL44" i="1"/>
  <c r="BK44" i="1"/>
  <c r="AT43" i="1"/>
  <c r="AV43" i="1"/>
  <c r="BR43" i="1"/>
  <c r="AW43" i="1"/>
  <c r="BQ43" i="1"/>
  <c r="BO43" i="1"/>
  <c r="BP44" i="1" l="1"/>
  <c r="AU44" i="1"/>
  <c r="AG46" i="1"/>
  <c r="AH46" i="1"/>
  <c r="AI46" i="1"/>
  <c r="AR45" i="1"/>
  <c r="BM45" i="1"/>
  <c r="BL45" i="1"/>
  <c r="BK45" i="1"/>
  <c r="AF45" i="1"/>
  <c r="AQ45" i="1"/>
  <c r="AP45" i="1"/>
  <c r="AS45" i="1"/>
  <c r="BN45" i="1"/>
  <c r="AW44" i="1"/>
  <c r="BQ44" i="1"/>
  <c r="BO44" i="1"/>
  <c r="BR44" i="1"/>
  <c r="AT44" i="1"/>
  <c r="AV44" i="1"/>
  <c r="AU45" i="1" l="1"/>
  <c r="BP45" i="1"/>
  <c r="AG47" i="1"/>
  <c r="AI47" i="1"/>
  <c r="AH47" i="1"/>
  <c r="AS46" i="1"/>
  <c r="BM46" i="1"/>
  <c r="AR46" i="1"/>
  <c r="BN46" i="1"/>
  <c r="BK46" i="1"/>
  <c r="BL46" i="1"/>
  <c r="AF46" i="1"/>
  <c r="AQ46" i="1"/>
  <c r="AP46" i="1"/>
  <c r="BQ45" i="1"/>
  <c r="BO45" i="1"/>
  <c r="AW45" i="1"/>
  <c r="AT45" i="1"/>
  <c r="AV45" i="1"/>
  <c r="BR45" i="1"/>
  <c r="BP46" i="1" l="1"/>
  <c r="AU46" i="1"/>
  <c r="AG48" i="1"/>
  <c r="AH48" i="1"/>
  <c r="AI48" i="1"/>
  <c r="AR47" i="1"/>
  <c r="BN47" i="1"/>
  <c r="BM47" i="1"/>
  <c r="BL47" i="1"/>
  <c r="BK47" i="1"/>
  <c r="AP47" i="1"/>
  <c r="AF47" i="1"/>
  <c r="AQ47" i="1"/>
  <c r="AS47" i="1"/>
  <c r="AT46" i="1"/>
  <c r="AV46" i="1"/>
  <c r="BQ46" i="1"/>
  <c r="AW46" i="1"/>
  <c r="BO46" i="1"/>
  <c r="BR46" i="1"/>
  <c r="AU47" i="1" l="1"/>
  <c r="BP47" i="1"/>
  <c r="AG49" i="1"/>
  <c r="AI49" i="1"/>
  <c r="AH49" i="1"/>
  <c r="AS48" i="1"/>
  <c r="BM48" i="1"/>
  <c r="AR48" i="1"/>
  <c r="BN48" i="1"/>
  <c r="AF48" i="1"/>
  <c r="AQ48" i="1"/>
  <c r="AP48" i="1"/>
  <c r="BK48" i="1"/>
  <c r="BL48" i="1"/>
  <c r="BQ47" i="1"/>
  <c r="BO47" i="1"/>
  <c r="BR47" i="1"/>
  <c r="AW47" i="1"/>
  <c r="AV47" i="1"/>
  <c r="AT47" i="1"/>
  <c r="AU48" i="1" l="1"/>
  <c r="BP48" i="1"/>
  <c r="AG50" i="1"/>
  <c r="AH50" i="1"/>
  <c r="AI50" i="1"/>
  <c r="AR49" i="1"/>
  <c r="AQ49" i="1"/>
  <c r="AP49" i="1"/>
  <c r="AF49" i="1"/>
  <c r="BK49" i="1"/>
  <c r="BL49" i="1"/>
  <c r="BM49" i="1"/>
  <c r="BN49" i="1"/>
  <c r="AS49" i="1"/>
  <c r="BO48" i="1"/>
  <c r="BR48" i="1"/>
  <c r="AT48" i="1"/>
  <c r="AV48" i="1"/>
  <c r="AW48" i="1"/>
  <c r="BQ48" i="1"/>
  <c r="BP49" i="1" l="1"/>
  <c r="AU49" i="1"/>
  <c r="AH51" i="1"/>
  <c r="AG51" i="1"/>
  <c r="AI51" i="1"/>
  <c r="AR50" i="1"/>
  <c r="AP50" i="1"/>
  <c r="AQ50" i="1"/>
  <c r="AF50" i="1"/>
  <c r="AS50" i="1"/>
  <c r="BL50" i="1"/>
  <c r="BK50" i="1"/>
  <c r="BN50" i="1"/>
  <c r="BM50" i="1"/>
  <c r="BQ49" i="1"/>
  <c r="BO49" i="1"/>
  <c r="AV49" i="1"/>
  <c r="AT49" i="1"/>
  <c r="BR49" i="1"/>
  <c r="AW49" i="1"/>
  <c r="AU50" i="1" l="1"/>
  <c r="BP50" i="1"/>
  <c r="AG52" i="1"/>
  <c r="AI52" i="1"/>
  <c r="AH52" i="1"/>
  <c r="AR51" i="1"/>
  <c r="BM51" i="1"/>
  <c r="AS51" i="1"/>
  <c r="BL51" i="1"/>
  <c r="BK51" i="1"/>
  <c r="AP51" i="1"/>
  <c r="AQ51" i="1"/>
  <c r="AF51" i="1"/>
  <c r="BN51" i="1"/>
  <c r="BR50" i="1"/>
  <c r="AT50" i="1"/>
  <c r="AV50" i="1"/>
  <c r="AW50" i="1"/>
  <c r="BQ50" i="1"/>
  <c r="BO50" i="1"/>
  <c r="BP51" i="1" l="1"/>
  <c r="AU51" i="1"/>
  <c r="AG53" i="1"/>
  <c r="AH53" i="1"/>
  <c r="AI53" i="1"/>
  <c r="AS52" i="1"/>
  <c r="BM52" i="1"/>
  <c r="AR52" i="1"/>
  <c r="BN52" i="1"/>
  <c r="BL52" i="1"/>
  <c r="BK52" i="1"/>
  <c r="AP52" i="1"/>
  <c r="AF52" i="1"/>
  <c r="AQ52" i="1"/>
  <c r="BQ51" i="1"/>
  <c r="BO51" i="1"/>
  <c r="BR51" i="1"/>
  <c r="AW51" i="1"/>
  <c r="AT51" i="1"/>
  <c r="AV51" i="1"/>
  <c r="AU52" i="1" l="1"/>
  <c r="BP52" i="1"/>
  <c r="AG54" i="1"/>
  <c r="AI54" i="1"/>
  <c r="AH54" i="1"/>
  <c r="AR53" i="1"/>
  <c r="AF53" i="1"/>
  <c r="AP53" i="1"/>
  <c r="AQ53" i="1"/>
  <c r="AS53" i="1"/>
  <c r="BL53" i="1"/>
  <c r="BK53" i="1"/>
  <c r="BN53" i="1"/>
  <c r="BM53" i="1"/>
  <c r="BR52" i="1"/>
  <c r="AV52" i="1"/>
  <c r="AT52" i="1"/>
  <c r="AW52" i="1"/>
  <c r="BQ52" i="1"/>
  <c r="BO52" i="1"/>
  <c r="AU53" i="1" l="1"/>
  <c r="BP53" i="1"/>
  <c r="AG55" i="1"/>
  <c r="AH55" i="1"/>
  <c r="AI55" i="1"/>
  <c r="AR54" i="1"/>
  <c r="BL54" i="1"/>
  <c r="BK54" i="1"/>
  <c r="AS54" i="1"/>
  <c r="BM54" i="1"/>
  <c r="BN54" i="1"/>
  <c r="AP54" i="1"/>
  <c r="AQ54" i="1"/>
  <c r="AF54" i="1"/>
  <c r="AV53" i="1"/>
  <c r="AT53" i="1"/>
  <c r="BR53" i="1"/>
  <c r="BQ53" i="1"/>
  <c r="BO53" i="1"/>
  <c r="AW53" i="1"/>
  <c r="AU54" i="1" l="1"/>
  <c r="BP54" i="1"/>
  <c r="AI56" i="1"/>
  <c r="AG56" i="1"/>
  <c r="AH56" i="1"/>
  <c r="AR55" i="1"/>
  <c r="AS55" i="1"/>
  <c r="BN55" i="1"/>
  <c r="BL55" i="1"/>
  <c r="BK55" i="1"/>
  <c r="AQ55" i="1"/>
  <c r="AP55" i="1"/>
  <c r="AF55" i="1"/>
  <c r="BM55" i="1"/>
  <c r="BO54" i="1"/>
  <c r="BR54" i="1"/>
  <c r="AW54" i="1"/>
  <c r="BQ54" i="1"/>
  <c r="AV54" i="1"/>
  <c r="AT54" i="1"/>
  <c r="BP55" i="1" l="1"/>
  <c r="AU55" i="1"/>
  <c r="AG57" i="1"/>
  <c r="AH57" i="1"/>
  <c r="AI57" i="1"/>
  <c r="AR56" i="1"/>
  <c r="BM56" i="1"/>
  <c r="BN56" i="1"/>
  <c r="AP56" i="1"/>
  <c r="AQ56" i="1"/>
  <c r="AF56" i="1"/>
  <c r="BK56" i="1"/>
  <c r="BL56" i="1"/>
  <c r="AS56" i="1"/>
  <c r="AV55" i="1"/>
  <c r="AT55" i="1"/>
  <c r="BQ55" i="1"/>
  <c r="BO55" i="1"/>
  <c r="BR55" i="1"/>
  <c r="AW55" i="1"/>
  <c r="AU56" i="1" l="1"/>
  <c r="BP56" i="1"/>
  <c r="AH58" i="1"/>
  <c r="AG58" i="1"/>
  <c r="AI58" i="1"/>
  <c r="AR57" i="1"/>
  <c r="AS57" i="1"/>
  <c r="BN57" i="1"/>
  <c r="BM57" i="1"/>
  <c r="AP57" i="1"/>
  <c r="AF57" i="1"/>
  <c r="AQ57" i="1"/>
  <c r="BL57" i="1"/>
  <c r="BK57" i="1"/>
  <c r="BQ56" i="1"/>
  <c r="BO56" i="1"/>
  <c r="AV56" i="1"/>
  <c r="AT56" i="1"/>
  <c r="AW56" i="1"/>
  <c r="BR56" i="1"/>
  <c r="AU57" i="1" l="1"/>
  <c r="BP57" i="1"/>
  <c r="AG59" i="1"/>
  <c r="AH59" i="1"/>
  <c r="AI59" i="1"/>
  <c r="AR58" i="1"/>
  <c r="BM58" i="1"/>
  <c r="AS58" i="1"/>
  <c r="BK58" i="1"/>
  <c r="BL58" i="1"/>
  <c r="BN58" i="1"/>
  <c r="AF58" i="1"/>
  <c r="AQ58" i="1"/>
  <c r="AP58" i="1"/>
  <c r="AW57" i="1"/>
  <c r="BR57" i="1"/>
  <c r="AV57" i="1"/>
  <c r="AT57" i="1"/>
  <c r="BQ57" i="1"/>
  <c r="BO57" i="1"/>
  <c r="AU58" i="1" l="1"/>
  <c r="BP58" i="1"/>
  <c r="AG60" i="1"/>
  <c r="AH60" i="1"/>
  <c r="AI60" i="1"/>
  <c r="AR59" i="1"/>
  <c r="BM59" i="1"/>
  <c r="BL59" i="1"/>
  <c r="BK59" i="1"/>
  <c r="AP59" i="1"/>
  <c r="AQ59" i="1"/>
  <c r="AF59" i="1"/>
  <c r="BN59" i="1"/>
  <c r="AS59" i="1"/>
  <c r="BQ58" i="1"/>
  <c r="BO58" i="1"/>
  <c r="AW58" i="1"/>
  <c r="AV58" i="1"/>
  <c r="AT58" i="1"/>
  <c r="BR58" i="1"/>
  <c r="BJ3" i="1"/>
  <c r="BP59" i="1" l="1"/>
  <c r="AU59" i="1"/>
  <c r="BB3" i="1"/>
  <c r="BC3" i="1"/>
  <c r="AI61" i="1"/>
  <c r="AI3" i="1" s="1"/>
  <c r="AH61" i="1"/>
  <c r="AG61" i="1"/>
  <c r="BM60" i="1"/>
  <c r="AR60" i="1"/>
  <c r="BN60" i="1"/>
  <c r="BL60" i="1"/>
  <c r="BK60" i="1"/>
  <c r="AQ60" i="1"/>
  <c r="AP60" i="1"/>
  <c r="AF60" i="1"/>
  <c r="AS60" i="1"/>
  <c r="AW59" i="1"/>
  <c r="BQ59" i="1"/>
  <c r="BO59" i="1"/>
  <c r="BR59" i="1"/>
  <c r="AT59" i="1"/>
  <c r="AV59" i="1"/>
  <c r="BP60" i="1" l="1"/>
  <c r="AU60" i="1"/>
  <c r="AH62" i="1"/>
  <c r="AH3" i="1"/>
  <c r="AG62" i="1"/>
  <c r="AG3" i="1"/>
  <c r="BD3" i="1"/>
  <c r="AI62" i="1"/>
  <c r="BM61" i="1"/>
  <c r="BM3" i="1" s="1"/>
  <c r="AR61" i="1"/>
  <c r="AR3" i="1" s="1"/>
  <c r="BL61" i="1"/>
  <c r="BL3" i="1" s="1"/>
  <c r="BK61" i="1"/>
  <c r="BK3" i="1" s="1"/>
  <c r="AQ61" i="1"/>
  <c r="AQ3" i="1" s="1"/>
  <c r="AF61" i="1"/>
  <c r="AP61" i="1"/>
  <c r="AS61" i="1"/>
  <c r="BN61" i="1"/>
  <c r="AT60" i="1"/>
  <c r="AV60" i="1"/>
  <c r="AW60" i="1"/>
  <c r="BO60" i="1"/>
  <c r="BR60" i="1"/>
  <c r="BQ60" i="1"/>
  <c r="AU61" i="1" l="1"/>
  <c r="AU3" i="1" s="1"/>
  <c r="F5" i="1" s="1"/>
  <c r="Q5" i="2" s="1"/>
  <c r="I6" i="2" s="1"/>
  <c r="C15" i="4" s="1"/>
  <c r="BP61" i="1"/>
  <c r="BP3" i="1" s="1"/>
  <c r="F6" i="1" s="1"/>
  <c r="AG63" i="1"/>
  <c r="AI63" i="1"/>
  <c r="AH63" i="1"/>
  <c r="AR62" i="1"/>
  <c r="BM62" i="1"/>
  <c r="AS62" i="1"/>
  <c r="AF62" i="1"/>
  <c r="AP62" i="1"/>
  <c r="AQ62" i="1"/>
  <c r="BK62" i="1"/>
  <c r="BL62" i="1"/>
  <c r="BN62" i="1"/>
  <c r="BQ61" i="1"/>
  <c r="BQ3" i="1" s="1"/>
  <c r="G6" i="1" s="1"/>
  <c r="BA3" i="1"/>
  <c r="BO61" i="1"/>
  <c r="BR61" i="1"/>
  <c r="BR3" i="1" s="1"/>
  <c r="H6" i="1" s="1"/>
  <c r="AW61" i="1"/>
  <c r="AW3" i="1" s="1"/>
  <c r="H5" i="1" s="1"/>
  <c r="AP3" i="1"/>
  <c r="AT61" i="1"/>
  <c r="AV61" i="1"/>
  <c r="AV3" i="1" s="1"/>
  <c r="G5" i="1" s="1"/>
  <c r="AF3" i="1"/>
  <c r="AU62" i="1" l="1"/>
  <c r="BP62" i="1"/>
  <c r="AH64" i="1"/>
  <c r="AI64" i="1"/>
  <c r="AG64" i="1"/>
  <c r="BM63" i="1"/>
  <c r="AR63" i="1"/>
  <c r="AP63" i="1"/>
  <c r="AF63" i="1"/>
  <c r="AQ63" i="1"/>
  <c r="BL63" i="1"/>
  <c r="BK63" i="1"/>
  <c r="AS63" i="1"/>
  <c r="BN63" i="1"/>
  <c r="H7" i="1"/>
  <c r="F7" i="1"/>
  <c r="BZ92" i="1" s="1"/>
  <c r="BV92" i="1" s="1"/>
  <c r="T5" i="2"/>
  <c r="J8" i="2" s="1"/>
  <c r="F15" i="4" s="1"/>
  <c r="N3" i="3" s="1"/>
  <c r="N9" i="3" s="1"/>
  <c r="BH15" i="4"/>
  <c r="BR62" i="1"/>
  <c r="BG15" i="4"/>
  <c r="S5" i="2"/>
  <c r="I8" i="2" s="1"/>
  <c r="E15" i="4" s="1"/>
  <c r="G15" i="4" s="1"/>
  <c r="AW62" i="1"/>
  <c r="R5" i="2"/>
  <c r="J6" i="2" s="1"/>
  <c r="G7" i="1"/>
  <c r="BZ93" i="1" s="1"/>
  <c r="BF15" i="4"/>
  <c r="BE15" i="4"/>
  <c r="AV62" i="1"/>
  <c r="AT62" i="1"/>
  <c r="BO62" i="1"/>
  <c r="BQ62" i="1"/>
  <c r="BP63" i="1" l="1"/>
  <c r="AU63" i="1"/>
  <c r="AH65" i="1"/>
  <c r="AG65" i="1"/>
  <c r="AI65" i="1"/>
  <c r="AS64" i="1"/>
  <c r="AR64" i="1"/>
  <c r="BN64" i="1"/>
  <c r="BM64" i="1"/>
  <c r="AP64" i="1"/>
  <c r="AF64" i="1"/>
  <c r="AQ64" i="1"/>
  <c r="BL64" i="1"/>
  <c r="BK64" i="1"/>
  <c r="CA94" i="1"/>
  <c r="I6" i="1"/>
  <c r="BZ94" i="1" s="1"/>
  <c r="D15" i="4"/>
  <c r="H15" i="4" s="1"/>
  <c r="L12" i="4" s="1"/>
  <c r="J10" i="2"/>
  <c r="BR63" i="1"/>
  <c r="AT63" i="1"/>
  <c r="AV63" i="1"/>
  <c r="BO63" i="1"/>
  <c r="BQ63" i="1"/>
  <c r="AW63" i="1"/>
  <c r="I10" i="2"/>
  <c r="BP64" i="1" l="1"/>
  <c r="AU64" i="1"/>
  <c r="AH66" i="1"/>
  <c r="AG66" i="1"/>
  <c r="AI66" i="1"/>
  <c r="AR65" i="1"/>
  <c r="BN65" i="1"/>
  <c r="BL65" i="1"/>
  <c r="BK65" i="1"/>
  <c r="AP65" i="1"/>
  <c r="AF65" i="1"/>
  <c r="AQ65" i="1"/>
  <c r="AS65" i="1"/>
  <c r="BM65" i="1"/>
  <c r="I12" i="2"/>
  <c r="BO64" i="1"/>
  <c r="BQ64" i="1"/>
  <c r="AT64" i="1"/>
  <c r="AV64" i="1"/>
  <c r="AW64" i="1"/>
  <c r="BR64" i="1"/>
  <c r="AU65" i="1" l="1"/>
  <c r="BP65" i="1"/>
  <c r="AH67" i="1"/>
  <c r="AG67" i="1"/>
  <c r="AI67" i="1"/>
  <c r="AR66" i="1"/>
  <c r="AS66" i="1"/>
  <c r="BM66" i="1"/>
  <c r="AQ66" i="1"/>
  <c r="AF66" i="1"/>
  <c r="AP66" i="1"/>
  <c r="BK66" i="1"/>
  <c r="BL66" i="1"/>
  <c r="BN66" i="1"/>
  <c r="BR65" i="1"/>
  <c r="BO65" i="1"/>
  <c r="BQ65" i="1"/>
  <c r="AW65" i="1"/>
  <c r="AV65" i="1"/>
  <c r="AT65" i="1"/>
  <c r="BP66" i="1" l="1"/>
  <c r="AU66" i="1"/>
  <c r="AI68" i="1"/>
  <c r="AG68" i="1"/>
  <c r="AH68" i="1"/>
  <c r="BN67" i="1"/>
  <c r="AR67" i="1"/>
  <c r="BL67" i="1"/>
  <c r="BK67" i="1"/>
  <c r="AQ67" i="1"/>
  <c r="AF67" i="1"/>
  <c r="AP67" i="1"/>
  <c r="AS67" i="1"/>
  <c r="BM67" i="1"/>
  <c r="BO66" i="1"/>
  <c r="BQ66" i="1"/>
  <c r="AT66" i="1"/>
  <c r="AV66" i="1"/>
  <c r="AW66" i="1"/>
  <c r="BR66" i="1"/>
  <c r="AH69" i="1" l="1"/>
  <c r="AU67" i="1"/>
  <c r="BP67" i="1"/>
  <c r="AI69" i="1"/>
  <c r="AG69" i="1"/>
  <c r="AR68" i="1"/>
  <c r="AP68" i="1"/>
  <c r="AF68" i="1"/>
  <c r="AQ68" i="1"/>
  <c r="AS68" i="1"/>
  <c r="BN68" i="1"/>
  <c r="BM68" i="1"/>
  <c r="BK68" i="1"/>
  <c r="BL68" i="1"/>
  <c r="AW67" i="1"/>
  <c r="BO67" i="1"/>
  <c r="BQ67" i="1"/>
  <c r="BR67" i="1"/>
  <c r="AV67" i="1"/>
  <c r="AT67" i="1"/>
  <c r="AU68" i="1" l="1"/>
  <c r="BP68" i="1"/>
  <c r="AG70" i="1"/>
  <c r="AI70" i="1"/>
  <c r="AH70" i="1"/>
  <c r="BN69" i="1"/>
  <c r="AR69" i="1"/>
  <c r="BL69" i="1"/>
  <c r="BK69" i="1"/>
  <c r="AQ69" i="1"/>
  <c r="AF69" i="1"/>
  <c r="AP69" i="1"/>
  <c r="BM69" i="1"/>
  <c r="AS69" i="1"/>
  <c r="BR68" i="1"/>
  <c r="BO68" i="1"/>
  <c r="BQ68" i="1"/>
  <c r="AW68" i="1"/>
  <c r="AT68" i="1"/>
  <c r="AV68" i="1"/>
  <c r="AU69" i="1" l="1"/>
  <c r="BP69" i="1"/>
  <c r="AG71" i="1"/>
  <c r="AH71" i="1"/>
  <c r="AI71" i="1"/>
  <c r="BN70" i="1"/>
  <c r="AR70" i="1"/>
  <c r="BM70" i="1"/>
  <c r="AS70" i="1"/>
  <c r="AF70" i="1"/>
  <c r="AP70" i="1"/>
  <c r="AQ70" i="1"/>
  <c r="BL70" i="1"/>
  <c r="BK70" i="1"/>
  <c r="AT69" i="1"/>
  <c r="AV69" i="1"/>
  <c r="AW69" i="1"/>
  <c r="BO69" i="1"/>
  <c r="BQ69" i="1"/>
  <c r="BR69" i="1"/>
  <c r="BP70" i="1" l="1"/>
  <c r="AU70" i="1"/>
  <c r="AG72" i="1"/>
  <c r="AH72" i="1"/>
  <c r="AI72" i="1"/>
  <c r="AR71" i="1"/>
  <c r="BM71" i="1"/>
  <c r="BN71" i="1"/>
  <c r="BK71" i="1"/>
  <c r="BL71" i="1"/>
  <c r="AS71" i="1"/>
  <c r="AF71" i="1"/>
  <c r="AP71" i="1"/>
  <c r="AQ71" i="1"/>
  <c r="AW70" i="1"/>
  <c r="BO70" i="1"/>
  <c r="BQ70" i="1"/>
  <c r="BR70" i="1"/>
  <c r="AT70" i="1"/>
  <c r="AV70" i="1"/>
  <c r="BP71" i="1" l="1"/>
  <c r="AU71" i="1"/>
  <c r="AH73" i="1"/>
  <c r="AI73" i="1"/>
  <c r="AG73" i="1"/>
  <c r="BM72" i="1"/>
  <c r="AS72" i="1"/>
  <c r="AR72" i="1"/>
  <c r="AP72" i="1"/>
  <c r="AF72" i="1"/>
  <c r="AQ72" i="1"/>
  <c r="BL72" i="1"/>
  <c r="BK72" i="1"/>
  <c r="BN72" i="1"/>
  <c r="BR71" i="1"/>
  <c r="AT71" i="1"/>
  <c r="AV71" i="1"/>
  <c r="BO71" i="1"/>
  <c r="BQ71" i="1"/>
  <c r="AW71" i="1"/>
  <c r="AU72" i="1" l="1"/>
  <c r="BP72" i="1"/>
  <c r="AH74" i="1"/>
  <c r="AG74" i="1"/>
  <c r="AI74" i="1"/>
  <c r="AR73" i="1"/>
  <c r="BN73" i="1"/>
  <c r="BM73" i="1"/>
  <c r="AQ73" i="1"/>
  <c r="AP73" i="1"/>
  <c r="AF73" i="1"/>
  <c r="BL73" i="1"/>
  <c r="BK73" i="1"/>
  <c r="AS73" i="1"/>
  <c r="AW72" i="1"/>
  <c r="AT72" i="1"/>
  <c r="AV72" i="1"/>
  <c r="BO72" i="1"/>
  <c r="BQ72" i="1"/>
  <c r="BR72" i="1"/>
  <c r="AU73" i="1" l="1"/>
  <c r="BP73" i="1"/>
  <c r="AI75" i="1"/>
  <c r="AH75" i="1"/>
  <c r="AG75" i="1"/>
  <c r="AR74" i="1"/>
  <c r="BM74" i="1"/>
  <c r="BL74" i="1"/>
  <c r="BK74" i="1"/>
  <c r="AS74" i="1"/>
  <c r="AF74" i="1"/>
  <c r="AP74" i="1"/>
  <c r="AQ74" i="1"/>
  <c r="BN74" i="1"/>
  <c r="AW73" i="1"/>
  <c r="BR73" i="1"/>
  <c r="BO73" i="1"/>
  <c r="BQ73" i="1"/>
  <c r="AT73" i="1"/>
  <c r="AV73" i="1"/>
  <c r="BP74" i="1" l="1"/>
  <c r="AH76" i="1"/>
  <c r="AU74" i="1"/>
  <c r="AG76" i="1"/>
  <c r="AI76" i="1"/>
  <c r="AR75" i="1"/>
  <c r="BN75" i="1"/>
  <c r="AS75" i="1"/>
  <c r="BM75" i="1"/>
  <c r="BL75" i="1"/>
  <c r="BK75" i="1"/>
  <c r="AP75" i="1"/>
  <c r="AQ75" i="1"/>
  <c r="AF75" i="1"/>
  <c r="AW74" i="1"/>
  <c r="BR74" i="1"/>
  <c r="AV74" i="1"/>
  <c r="AT74" i="1"/>
  <c r="BO74" i="1"/>
  <c r="BQ74" i="1"/>
  <c r="AU75" i="1" l="1"/>
  <c r="BP75" i="1"/>
  <c r="AI77" i="1"/>
  <c r="AG77" i="1"/>
  <c r="AH77" i="1"/>
  <c r="AR76" i="1"/>
  <c r="AS76" i="1"/>
  <c r="BL76" i="1"/>
  <c r="BK76" i="1"/>
  <c r="AQ76" i="1"/>
  <c r="AP76" i="1"/>
  <c r="AF76" i="1"/>
  <c r="BM76" i="1"/>
  <c r="BN76" i="1"/>
  <c r="BO75" i="1"/>
  <c r="BQ75" i="1"/>
  <c r="AT75" i="1"/>
  <c r="AV75" i="1"/>
  <c r="AW75" i="1"/>
  <c r="BR75" i="1"/>
  <c r="BP76" i="1" l="1"/>
  <c r="AU76" i="1"/>
  <c r="AH78" i="1"/>
  <c r="AG78" i="1"/>
  <c r="AI78" i="1"/>
  <c r="AR77" i="1"/>
  <c r="AP77" i="1"/>
  <c r="AF77" i="1"/>
  <c r="AQ77" i="1"/>
  <c r="BM77" i="1"/>
  <c r="BL77" i="1"/>
  <c r="BK77" i="1"/>
  <c r="BN77" i="1"/>
  <c r="AS77" i="1"/>
  <c r="AW76" i="1"/>
  <c r="AT76" i="1"/>
  <c r="AV76" i="1"/>
  <c r="BR76" i="1"/>
  <c r="BO76" i="1"/>
  <c r="BQ76" i="1"/>
  <c r="AU77" i="1" l="1"/>
  <c r="BP77" i="1"/>
  <c r="AH79" i="1"/>
  <c r="AG79" i="1"/>
  <c r="AI79" i="1"/>
  <c r="AS78" i="1"/>
  <c r="AR78" i="1"/>
  <c r="AP78" i="1"/>
  <c r="AQ78" i="1"/>
  <c r="AF78" i="1"/>
  <c r="BN78" i="1"/>
  <c r="BM78" i="1"/>
  <c r="BL78" i="1"/>
  <c r="BK78" i="1"/>
  <c r="AT77" i="1"/>
  <c r="AV77" i="1"/>
  <c r="AW77" i="1"/>
  <c r="BO77" i="1"/>
  <c r="BQ77" i="1"/>
  <c r="BR77" i="1"/>
  <c r="AU78" i="1" l="1"/>
  <c r="BP78" i="1"/>
  <c r="AG80" i="1"/>
  <c r="AH80" i="1"/>
  <c r="AI80" i="1"/>
  <c r="AR79" i="1"/>
  <c r="AS79" i="1"/>
  <c r="BM79" i="1"/>
  <c r="BN79" i="1"/>
  <c r="AP79" i="1"/>
  <c r="AQ79" i="1"/>
  <c r="AF79" i="1"/>
  <c r="BL79" i="1"/>
  <c r="BK79" i="1"/>
  <c r="BO78" i="1"/>
  <c r="BQ78" i="1"/>
  <c r="AW78" i="1"/>
  <c r="BR78" i="1"/>
  <c r="AT78" i="1"/>
  <c r="AV78" i="1"/>
  <c r="AU79" i="1" l="1"/>
  <c r="BP79" i="1"/>
  <c r="AG81" i="1"/>
  <c r="AI81" i="1"/>
  <c r="AH81" i="1"/>
  <c r="AS80" i="1"/>
  <c r="AR80" i="1"/>
  <c r="BN80" i="1"/>
  <c r="AQ80" i="1"/>
  <c r="AF80" i="1"/>
  <c r="AP80" i="1"/>
  <c r="BK80" i="1"/>
  <c r="BL80" i="1"/>
  <c r="BM80" i="1"/>
  <c r="BO79" i="1"/>
  <c r="BQ79" i="1"/>
  <c r="AT79" i="1"/>
  <c r="AV79" i="1"/>
  <c r="BR79" i="1"/>
  <c r="AW79" i="1"/>
  <c r="BP80" i="1" l="1"/>
  <c r="AU80" i="1"/>
  <c r="AG82" i="1"/>
  <c r="AH82" i="1"/>
  <c r="AI82" i="1"/>
  <c r="AR81" i="1"/>
  <c r="BL81" i="1"/>
  <c r="BK81" i="1"/>
  <c r="BM81" i="1"/>
  <c r="BN81" i="1"/>
  <c r="AP81" i="1"/>
  <c r="AQ81" i="1"/>
  <c r="AF81" i="1"/>
  <c r="AS81" i="1"/>
  <c r="AW80" i="1"/>
  <c r="BO80" i="1"/>
  <c r="BQ80" i="1"/>
  <c r="AV80" i="1"/>
  <c r="AT80" i="1"/>
  <c r="BR80" i="1"/>
  <c r="BP81" i="1" l="1"/>
  <c r="AU81" i="1"/>
  <c r="AG83" i="1"/>
  <c r="AI83" i="1"/>
  <c r="AH83" i="1"/>
  <c r="AR82" i="1"/>
  <c r="BM82" i="1"/>
  <c r="AS82" i="1"/>
  <c r="BN82" i="1"/>
  <c r="BL82" i="1"/>
  <c r="BK82" i="1"/>
  <c r="AP82" i="1"/>
  <c r="AQ82" i="1"/>
  <c r="AF82" i="1"/>
  <c r="BO81" i="1"/>
  <c r="BQ81" i="1"/>
  <c r="BR81" i="1"/>
  <c r="AW81" i="1"/>
  <c r="AV81" i="1"/>
  <c r="AT81" i="1"/>
  <c r="AU82" i="1" l="1"/>
  <c r="BP82" i="1"/>
  <c r="AH84" i="1"/>
  <c r="AI84" i="1"/>
  <c r="AG84" i="1"/>
  <c r="AR83" i="1"/>
  <c r="BN83" i="1"/>
  <c r="BM83" i="1"/>
  <c r="AS83" i="1"/>
  <c r="AP83" i="1"/>
  <c r="AF83" i="1"/>
  <c r="AQ83" i="1"/>
  <c r="BL83" i="1"/>
  <c r="BK83" i="1"/>
  <c r="AV82" i="1"/>
  <c r="AT82" i="1"/>
  <c r="BO82" i="1"/>
  <c r="BQ82" i="1"/>
  <c r="AW82" i="1"/>
  <c r="BR82" i="1"/>
  <c r="BP83" i="1" l="1"/>
  <c r="AU83" i="1"/>
  <c r="AG85" i="1"/>
  <c r="AI85" i="1"/>
  <c r="AH85" i="1"/>
  <c r="BM84" i="1"/>
  <c r="AR84" i="1"/>
  <c r="AS84" i="1"/>
  <c r="BK84" i="1"/>
  <c r="BL84" i="1"/>
  <c r="AP84" i="1"/>
  <c r="AF84" i="1"/>
  <c r="AQ84" i="1"/>
  <c r="BN84" i="1"/>
  <c r="BR83" i="1"/>
  <c r="AW83" i="1"/>
  <c r="BO83" i="1"/>
  <c r="BQ83" i="1"/>
  <c r="AV83" i="1"/>
  <c r="AT83" i="1"/>
  <c r="AU84" i="1" l="1"/>
  <c r="BP84" i="1"/>
  <c r="AG86" i="1"/>
  <c r="AH86" i="1"/>
  <c r="AI86" i="1"/>
  <c r="BM85" i="1"/>
  <c r="AR85" i="1"/>
  <c r="BN85" i="1"/>
  <c r="BL85" i="1"/>
  <c r="BK85" i="1"/>
  <c r="AQ85" i="1"/>
  <c r="AF85" i="1"/>
  <c r="AP85" i="1"/>
  <c r="AS85" i="1"/>
  <c r="AT84" i="1"/>
  <c r="AV84" i="1"/>
  <c r="AW84" i="1"/>
  <c r="BO84" i="1"/>
  <c r="BQ84" i="1"/>
  <c r="BR84" i="1"/>
  <c r="AU85" i="1" l="1"/>
  <c r="BP85" i="1"/>
  <c r="AG87" i="1"/>
  <c r="AI87" i="1"/>
  <c r="AH87" i="1"/>
  <c r="AR86" i="1"/>
  <c r="BN86" i="1"/>
  <c r="AS86" i="1"/>
  <c r="BM86" i="1"/>
  <c r="BK86" i="1"/>
  <c r="BL86" i="1"/>
  <c r="AF86" i="1"/>
  <c r="AP86" i="1"/>
  <c r="AQ86" i="1"/>
  <c r="BO85" i="1"/>
  <c r="BQ85" i="1"/>
  <c r="AW85" i="1"/>
  <c r="BR85" i="1"/>
  <c r="AT85" i="1"/>
  <c r="AV85" i="1"/>
  <c r="AH88" i="1" l="1"/>
  <c r="AU86" i="1"/>
  <c r="BP86" i="1"/>
  <c r="AI88" i="1"/>
  <c r="AG88" i="1"/>
  <c r="AR87" i="1"/>
  <c r="BM87" i="1"/>
  <c r="BL87" i="1"/>
  <c r="BK87" i="1"/>
  <c r="AP87" i="1"/>
  <c r="AF87" i="1"/>
  <c r="AQ87" i="1"/>
  <c r="AS87" i="1"/>
  <c r="BN87" i="1"/>
  <c r="AV86" i="1"/>
  <c r="AT86" i="1"/>
  <c r="BR86" i="1"/>
  <c r="AW86" i="1"/>
  <c r="BO86" i="1"/>
  <c r="BQ86" i="1"/>
  <c r="BP87" i="1" l="1"/>
  <c r="AU87" i="1"/>
  <c r="AG89" i="1"/>
  <c r="AI89" i="1"/>
  <c r="AH89" i="1"/>
  <c r="AR88" i="1"/>
  <c r="BN88" i="1"/>
  <c r="BM88" i="1"/>
  <c r="BK88" i="1"/>
  <c r="BL88" i="1"/>
  <c r="AS88" i="1"/>
  <c r="AQ88" i="1"/>
  <c r="AP88" i="1"/>
  <c r="AF88" i="1"/>
  <c r="BO87" i="1"/>
  <c r="BQ87" i="1"/>
  <c r="BR87" i="1"/>
  <c r="AW87" i="1"/>
  <c r="AV87" i="1"/>
  <c r="AT87" i="1"/>
  <c r="AG90" i="1" l="1"/>
  <c r="BP88" i="1"/>
  <c r="AU88" i="1"/>
  <c r="AH90" i="1"/>
  <c r="AI90" i="1"/>
  <c r="AR89" i="1"/>
  <c r="BM89" i="1"/>
  <c r="BL89" i="1"/>
  <c r="BK89" i="1"/>
  <c r="AS89" i="1"/>
  <c r="BN89" i="1"/>
  <c r="AP89" i="1"/>
  <c r="AF89" i="1"/>
  <c r="AQ89" i="1"/>
  <c r="AT88" i="1"/>
  <c r="AV88" i="1"/>
  <c r="BR88" i="1"/>
  <c r="BO88" i="1"/>
  <c r="BQ88" i="1"/>
  <c r="AW88" i="1"/>
  <c r="BP89" i="1" l="1"/>
  <c r="AU89" i="1"/>
  <c r="AG91" i="1"/>
  <c r="AI91" i="1"/>
  <c r="AH91" i="1"/>
  <c r="AR90" i="1"/>
  <c r="BM90" i="1"/>
  <c r="BK90" i="1"/>
  <c r="BL90" i="1"/>
  <c r="AQ90" i="1"/>
  <c r="AP90" i="1"/>
  <c r="AF90" i="1"/>
  <c r="BN90" i="1"/>
  <c r="AS90" i="1"/>
  <c r="AV89" i="1"/>
  <c r="AT89" i="1"/>
  <c r="BR89" i="1"/>
  <c r="AW89" i="1"/>
  <c r="BO89" i="1"/>
  <c r="BQ89" i="1"/>
  <c r="AU90" i="1" l="1"/>
  <c r="AH92" i="1"/>
  <c r="BP90" i="1"/>
  <c r="AI92" i="1"/>
  <c r="AG92" i="1"/>
  <c r="AR91" i="1"/>
  <c r="AS91" i="1"/>
  <c r="BN91" i="1"/>
  <c r="BL91" i="1"/>
  <c r="BK91" i="1"/>
  <c r="AF91" i="1"/>
  <c r="AQ91" i="1"/>
  <c r="AP91" i="1"/>
  <c r="BM91" i="1"/>
  <c r="AW90" i="1"/>
  <c r="BR90" i="1"/>
  <c r="AT90" i="1"/>
  <c r="AV90" i="1"/>
  <c r="BO90" i="1"/>
  <c r="BQ90" i="1"/>
  <c r="AG93" i="1" l="1"/>
  <c r="AU91" i="1"/>
  <c r="BP91" i="1"/>
  <c r="AI93" i="1"/>
  <c r="AH93" i="1"/>
  <c r="AS92" i="1"/>
  <c r="AR92" i="1"/>
  <c r="BK92" i="1"/>
  <c r="BL92" i="1"/>
  <c r="BM92" i="1"/>
  <c r="BN92" i="1"/>
  <c r="AP92" i="1"/>
  <c r="AQ92" i="1"/>
  <c r="AF92" i="1"/>
  <c r="BR91" i="1"/>
  <c r="AW91" i="1"/>
  <c r="AT91" i="1"/>
  <c r="AV91" i="1"/>
  <c r="BO91" i="1"/>
  <c r="BQ91" i="1"/>
  <c r="BP92" i="1" l="1"/>
  <c r="AU92" i="1"/>
  <c r="AG94" i="1"/>
  <c r="AH94" i="1"/>
  <c r="AI94" i="1"/>
  <c r="AR93" i="1"/>
  <c r="BN93" i="1"/>
  <c r="BL93" i="1"/>
  <c r="BK93" i="1"/>
  <c r="AQ93" i="1"/>
  <c r="AF93" i="1"/>
  <c r="AP93" i="1"/>
  <c r="AS93" i="1"/>
  <c r="BM93" i="1"/>
  <c r="BO92" i="1"/>
  <c r="BQ92" i="1"/>
  <c r="BR92" i="1"/>
  <c r="AV92" i="1"/>
  <c r="AT92" i="1"/>
  <c r="AW92" i="1"/>
  <c r="AG95" i="1" l="1"/>
  <c r="BP93" i="1"/>
  <c r="AU93" i="1"/>
  <c r="AH95" i="1"/>
  <c r="AI95" i="1"/>
  <c r="AR94" i="1"/>
  <c r="AQ94" i="1"/>
  <c r="AP94" i="1"/>
  <c r="AF94" i="1"/>
  <c r="BK94" i="1"/>
  <c r="BL94" i="1"/>
  <c r="BN94" i="1"/>
  <c r="AS94" i="1"/>
  <c r="BM94" i="1"/>
  <c r="AV93" i="1"/>
  <c r="AT93" i="1"/>
  <c r="BO93" i="1"/>
  <c r="BQ93" i="1"/>
  <c r="BR93" i="1"/>
  <c r="AW93" i="1"/>
  <c r="AU94" i="1" l="1"/>
  <c r="BP94" i="1"/>
  <c r="AG96" i="1"/>
  <c r="AH96" i="1"/>
  <c r="AI96" i="1"/>
  <c r="AR95" i="1"/>
  <c r="BN95" i="1"/>
  <c r="BL95" i="1"/>
  <c r="BK95" i="1"/>
  <c r="AF95" i="1"/>
  <c r="AQ95" i="1"/>
  <c r="AP95" i="1"/>
  <c r="AS95" i="1"/>
  <c r="BM95" i="1"/>
  <c r="BR94" i="1"/>
  <c r="AW94" i="1"/>
  <c r="BO94" i="1"/>
  <c r="BQ94" i="1"/>
  <c r="AT94" i="1"/>
  <c r="AV94" i="1"/>
  <c r="AU95" i="1" l="1"/>
  <c r="BP95" i="1"/>
  <c r="AI97" i="1"/>
  <c r="AG97" i="1"/>
  <c r="AH97" i="1"/>
  <c r="AR96" i="1"/>
  <c r="BN96" i="1"/>
  <c r="AP96" i="1"/>
  <c r="AQ96" i="1"/>
  <c r="AF96" i="1"/>
  <c r="BL96" i="1"/>
  <c r="BK96" i="1"/>
  <c r="AS96" i="1"/>
  <c r="BM96" i="1"/>
  <c r="AW95" i="1"/>
  <c r="BO95" i="1"/>
  <c r="BQ95" i="1"/>
  <c r="AV95" i="1"/>
  <c r="AT95" i="1"/>
  <c r="BR95" i="1"/>
  <c r="AH98" i="1" l="1"/>
  <c r="BP96" i="1"/>
  <c r="AU96" i="1"/>
  <c r="AG98" i="1"/>
  <c r="AI98" i="1"/>
  <c r="BM97" i="1"/>
  <c r="AR97" i="1"/>
  <c r="BL97" i="1"/>
  <c r="BK97" i="1"/>
  <c r="BN97" i="1"/>
  <c r="AS97" i="1"/>
  <c r="AQ97" i="1"/>
  <c r="AF97" i="1"/>
  <c r="AP97" i="1"/>
  <c r="AV96" i="1"/>
  <c r="AT96" i="1"/>
  <c r="AW96" i="1"/>
  <c r="BR96" i="1"/>
  <c r="BO96" i="1"/>
  <c r="BQ96" i="1"/>
  <c r="BP97" i="1" l="1"/>
  <c r="AU97" i="1"/>
  <c r="AG99" i="1"/>
  <c r="AI99" i="1"/>
  <c r="AH99" i="1"/>
  <c r="BM98" i="1"/>
  <c r="AR98" i="1"/>
  <c r="AP98" i="1"/>
  <c r="AQ98" i="1"/>
  <c r="AF98" i="1"/>
  <c r="BL98" i="1"/>
  <c r="BK98" i="1"/>
  <c r="AS98" i="1"/>
  <c r="BN98" i="1"/>
  <c r="BR97" i="1"/>
  <c r="AV97" i="1"/>
  <c r="AT97" i="1"/>
  <c r="BO97" i="1"/>
  <c r="BQ97" i="1"/>
  <c r="AW97" i="1"/>
  <c r="BP98" i="1" l="1"/>
  <c r="AU98" i="1"/>
  <c r="AH100" i="1"/>
  <c r="AI100" i="1"/>
  <c r="AG100" i="1"/>
  <c r="AR99" i="1"/>
  <c r="AS99" i="1"/>
  <c r="AF99" i="1"/>
  <c r="AQ99" i="1"/>
  <c r="AP99" i="1"/>
  <c r="BM99" i="1"/>
  <c r="BN99" i="1"/>
  <c r="BL99" i="1"/>
  <c r="BK99" i="1"/>
  <c r="BO98" i="1"/>
  <c r="BQ98" i="1"/>
  <c r="AV98" i="1"/>
  <c r="AT98" i="1"/>
  <c r="AW98" i="1"/>
  <c r="BR98" i="1"/>
  <c r="AU99" i="1" l="1"/>
  <c r="BP99" i="1"/>
  <c r="AG101" i="1"/>
  <c r="AH101" i="1"/>
  <c r="AI101" i="1"/>
  <c r="AR100" i="1"/>
  <c r="BN100" i="1"/>
  <c r="BM100" i="1"/>
  <c r="AS100" i="1"/>
  <c r="AQ100" i="1"/>
  <c r="AP100" i="1"/>
  <c r="AF100" i="1"/>
  <c r="BL100" i="1"/>
  <c r="BK100" i="1"/>
  <c r="AW99" i="1"/>
  <c r="BO99" i="1"/>
  <c r="BQ99" i="1"/>
  <c r="BR99" i="1"/>
  <c r="AV99" i="1"/>
  <c r="AT99" i="1"/>
  <c r="BP100" i="1" l="1"/>
  <c r="AU100" i="1"/>
  <c r="AG102" i="1"/>
  <c r="AI102" i="1"/>
  <c r="AH102" i="1"/>
  <c r="AR101" i="1"/>
  <c r="BM101" i="1"/>
  <c r="AS101" i="1"/>
  <c r="BK101" i="1"/>
  <c r="BL101" i="1"/>
  <c r="AQ101" i="1"/>
  <c r="AF101" i="1"/>
  <c r="AP101" i="1"/>
  <c r="BN101" i="1"/>
  <c r="BR100" i="1"/>
  <c r="BO100" i="1"/>
  <c r="BQ100" i="1"/>
  <c r="AV100" i="1"/>
  <c r="AT100" i="1"/>
  <c r="AW100" i="1"/>
  <c r="BP101" i="1" l="1"/>
  <c r="AU101" i="1"/>
  <c r="AG103" i="1"/>
  <c r="AH103" i="1"/>
  <c r="AI103" i="1"/>
  <c r="AR102" i="1"/>
  <c r="AF102" i="1"/>
  <c r="AP102" i="1"/>
  <c r="AQ102" i="1"/>
  <c r="BK102" i="1"/>
  <c r="BL102" i="1"/>
  <c r="BM102" i="1"/>
  <c r="BN102" i="1"/>
  <c r="AS102" i="1"/>
  <c r="AT101" i="1"/>
  <c r="AV101" i="1"/>
  <c r="BO101" i="1"/>
  <c r="BQ101" i="1"/>
  <c r="AW101" i="1"/>
  <c r="BR101" i="1"/>
  <c r="AU102" i="1" l="1"/>
  <c r="BP102" i="1"/>
  <c r="AH104" i="1"/>
  <c r="AI104" i="1"/>
  <c r="AG104" i="1"/>
  <c r="AS103" i="1"/>
  <c r="AR103" i="1"/>
  <c r="BL103" i="1"/>
  <c r="BK103" i="1"/>
  <c r="AQ103" i="1"/>
  <c r="AP103" i="1"/>
  <c r="AF103" i="1"/>
  <c r="BN103" i="1"/>
  <c r="BM103" i="1"/>
  <c r="AV102" i="1"/>
  <c r="AT102" i="1"/>
  <c r="BO102" i="1"/>
  <c r="BQ102" i="1"/>
  <c r="AW102" i="1"/>
  <c r="BR102" i="1"/>
  <c r="AG105" i="1" l="1"/>
  <c r="AH105" i="1"/>
  <c r="BP103" i="1"/>
  <c r="AU103" i="1"/>
  <c r="AI105" i="1"/>
  <c r="AS104" i="1"/>
  <c r="AR104" i="1"/>
  <c r="AQ104" i="1"/>
  <c r="AF104" i="1"/>
  <c r="AP104" i="1"/>
  <c r="BM104" i="1"/>
  <c r="BK104" i="1"/>
  <c r="BL104" i="1"/>
  <c r="BN104" i="1"/>
  <c r="BR103" i="1"/>
  <c r="BO103" i="1"/>
  <c r="BQ103" i="1"/>
  <c r="AW103" i="1"/>
  <c r="AV103" i="1"/>
  <c r="AT103" i="1"/>
  <c r="BP104" i="1" l="1"/>
  <c r="AU104" i="1"/>
  <c r="AI106" i="1"/>
  <c r="AH106" i="1"/>
  <c r="AG106" i="1"/>
  <c r="AR105" i="1"/>
  <c r="BL105" i="1"/>
  <c r="BK105" i="1"/>
  <c r="AF105" i="1"/>
  <c r="AP105" i="1"/>
  <c r="AQ105" i="1"/>
  <c r="BM105" i="1"/>
  <c r="BN105" i="1"/>
  <c r="AS105" i="1"/>
  <c r="AV104" i="1"/>
  <c r="AT104" i="1"/>
  <c r="AW104" i="1"/>
  <c r="BO104" i="1"/>
  <c r="BQ104" i="1"/>
  <c r="BR104" i="1"/>
  <c r="BP105" i="1" l="1"/>
  <c r="AU105" i="1"/>
  <c r="AS106" i="1"/>
  <c r="AW106" i="1" s="1"/>
  <c r="AR106" i="1"/>
  <c r="BM106" i="1"/>
  <c r="BL106" i="1"/>
  <c r="BK106" i="1"/>
  <c r="BN106" i="1"/>
  <c r="BR106" i="1" s="1"/>
  <c r="AF106" i="1"/>
  <c r="AP106" i="1"/>
  <c r="AQ106" i="1"/>
  <c r="BR105" i="1"/>
  <c r="AW105" i="1"/>
  <c r="BO105" i="1"/>
  <c r="BQ105" i="1"/>
  <c r="AT105" i="1"/>
  <c r="AV105" i="1"/>
  <c r="AU106" i="1" l="1"/>
  <c r="BP106" i="1"/>
  <c r="BO106" i="1"/>
  <c r="BQ106" i="1"/>
  <c r="AT106" i="1"/>
  <c r="AV10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greguz</author>
  </authors>
  <commentList>
    <comment ref="CD3" authorId="0" shapeId="0" xr:uid="{49BC5C06-3772-4881-BCB4-3FEBBCA4B09B}">
      <text>
        <r>
          <rPr>
            <sz val="9"/>
            <color indexed="81"/>
            <rFont val="Tahoma"/>
            <family val="2"/>
          </rPr>
          <t>ftp://ftp.cdc.gov/pub/Health_Statistics/NCHS/Publications/NVSR/66_04/Table03.xlsx</t>
        </r>
      </text>
    </comment>
    <comment ref="N38" authorId="0" shapeId="0" xr:uid="{319DBC0B-BAEB-4E3E-AB6A-43DA9CAE7D83}">
      <text>
        <r>
          <rPr>
            <sz val="9"/>
            <color indexed="81"/>
            <rFont val="Tahoma"/>
            <family val="2"/>
          </rPr>
          <t>Susswein LR, Marshall ML, Nusbaum R, Vogel Postula KJ, Weissman SM, Yackowski 
L, Vaccari EM, Bissonnette J, Booker JK, Cremona ML, Gibellini F, Murphy PD,
Pineda-Alvarez DE, Pollevick GD, Xu Z, Richard G, Bale S, Klein RT, Hruska KS,
Chung WK. Pathogenic and likely pathogenic variant prevalence among the first
10,000 patients referred for next-generation cancer panel testing. Genet Med.
2016 Aug;18(8):823-32.</t>
        </r>
      </text>
    </comment>
    <comment ref="N39" authorId="0" shapeId="0" xr:uid="{C2F6B3AE-EED5-405A-A226-F43D197E130B}">
      <text>
        <r>
          <rPr>
            <sz val="9"/>
            <color indexed="81"/>
            <rFont val="Tahoma"/>
            <family val="2"/>
          </rPr>
          <t>Susswein LR, Marshall ML, Nusbaum R, Vogel Postula KJ, Weissman SM, Yackowski 
L, Vaccari EM, Bissonnette J, Booker JK, Cremona ML, Gibellini F, Murphy PD,
Pineda-Alvarez DE, Pollevick GD, Xu Z, Richard G, Bale S, Klein RT, Hruska KS,
Chung WK. Pathogenic and likely pathogenic variant prevalence among the first
10,000 patients referred for next-generation cancer panel testing. Genet Med.
2016 Aug;18(8):823-32.</t>
        </r>
      </text>
    </comment>
    <comment ref="N44" authorId="0" shapeId="0" xr:uid="{17657541-88F8-440E-B2DB-3F81EDCFAAFF}">
      <text>
        <r>
          <rPr>
            <sz val="9"/>
            <color indexed="81"/>
            <rFont val="Tahoma"/>
            <family val="2"/>
          </rPr>
          <t>Susswein LR, Marshall ML, Nusbaum R, Vogel Postula KJ, Weissman SM, Yackowski 
L, Vaccari EM, Bissonnette J, Booker JK, Cremona ML, Gibellini F, Murphy PD,
Pineda-Alvarez DE, Pollevick GD, Xu Z, Richard G, Bale S, Klein RT, Hruska KS,
Chung WK. Pathogenic and likely pathogenic variant prevalence among the first
10,000 patients referred for next-generation cancer panel testing. Genet Med.
2016 Aug;18(8):823-32.</t>
        </r>
      </text>
    </comment>
    <comment ref="N45" authorId="0" shapeId="0" xr:uid="{BB78A25B-AD58-4241-B8F1-8C0E7E5A990A}">
      <text>
        <r>
          <rPr>
            <sz val="9"/>
            <color indexed="81"/>
            <rFont val="Tahoma"/>
            <family val="2"/>
          </rPr>
          <t>Susswein LR, Marshall ML, Nusbaum R, Vogel Postula KJ, Weissman SM, Yackowski 
L, Vaccari EM, Bissonnette J, Booker JK, Cremona ML, Gibellini F, Murphy PD,
Pineda-Alvarez DE, Pollevick GD, Xu Z, Richard G, Bale S, Klein RT, Hruska KS,
Chung WK. Pathogenic and likely pathogenic variant prevalence among the first
10,000 patients referred for next-generation cancer panel testing. Genet Med.
2016 Aug;18(8):823-32.</t>
        </r>
      </text>
    </comment>
    <comment ref="N48" authorId="0" shapeId="0" xr:uid="{9D50D66C-A9B3-4A38-BDEA-6862D2AE4B5D}">
      <text>
        <r>
          <rPr>
            <sz val="9"/>
            <color indexed="81"/>
            <rFont val="Tahoma"/>
            <family val="2"/>
          </rPr>
          <t>Susswein LR, Marshall ML, Nusbaum R, Vogel Postula KJ, Weissman SM, Yackowski 
L, Vaccari EM, Bissonnette J, Booker JK, Cremona ML, Gibellini F, Murphy PD,
Pineda-Alvarez DE, Pollevick GD, Xu Z, Richard G, Bale S, Klein RT, Hruska KS,
Chung WK. Pathogenic and likely pathogenic variant prevalence among the first
10,000 patients referred for next-generation cancer panel testing. Genet Med.
2016 Aug;18(8):823-32.</t>
        </r>
      </text>
    </comment>
    <comment ref="N49" authorId="0" shapeId="0" xr:uid="{EC37C259-DCB9-455C-A973-6ACCABADA596}">
      <text>
        <r>
          <rPr>
            <sz val="9"/>
            <color indexed="81"/>
            <rFont val="Tahoma"/>
            <family val="2"/>
          </rPr>
          <t>Susswein LR, Marshall ML, Nusbaum R, Vogel Postula KJ, Weissman SM, Yackowski 
L, Vaccari EM, Bissonnette J, Booker JK, Cremona ML, Gibellini F, Murphy PD,
Pineda-Alvarez DE, Pollevick GD, Xu Z, Richard G, Bale S, Klein RT, Hruska KS,
Chung WK. Pathogenic and likely pathogenic variant prevalence among the first
10,000 patients referred for next-generation cancer panel testing. Genet Med.
2016 Aug;18(8):823-32.</t>
        </r>
      </text>
    </comment>
    <comment ref="N52" authorId="0" shapeId="0" xr:uid="{7894788B-CCC7-42C4-89FB-CCDB1CBC514F}">
      <text>
        <r>
          <rPr>
            <sz val="9"/>
            <color indexed="81"/>
            <rFont val="Tahoma"/>
            <family val="2"/>
          </rPr>
          <t>Susswein LR, Marshall ML, Nusbaum R, Vogel Postula KJ, Weissman SM, Yackowski 
L, Vaccari EM, Bissonnette J, Booker JK, Cremona ML, Gibellini F, Murphy PD,
Pineda-Alvarez DE, Pollevick GD, Xu Z, Richard G, Bale S, Klein RT, Hruska KS,
Chung WK. Pathogenic and likely pathogenic variant prevalence among the first
10,000 patients referred for next-generation cancer panel testing. Genet Med.
2016 Aug;18(8):823-32.</t>
        </r>
      </text>
    </comment>
    <comment ref="N53" authorId="0" shapeId="0" xr:uid="{D5719BD0-4471-4D42-B93D-921440ACA451}">
      <text>
        <r>
          <rPr>
            <sz val="9"/>
            <color indexed="81"/>
            <rFont val="Tahoma"/>
            <family val="2"/>
          </rPr>
          <t>Susswein LR, Marshall ML, Nusbaum R, Vogel Postula KJ, Weissman SM, Yackowski 
L, Vaccari EM, Bissonnette J, Booker JK, Cremona ML, Gibellini F, Murphy PD,
Pineda-Alvarez DE, Pollevick GD, Xu Z, Richard G, Bale S, Klein RT, Hruska KS,
Chung WK. Pathogenic and likely pathogenic variant prevalence among the first
10,000 patients referred for next-generation cancer panel testing. Genet Med.
2016 Aug;18(8):823-32.</t>
        </r>
      </text>
    </comment>
    <comment ref="N88" authorId="0" shapeId="0" xr:uid="{9C7B6F89-5757-4976-8B32-62B058813F3A}">
      <text>
        <r>
          <rPr>
            <sz val="9"/>
            <color indexed="81"/>
            <rFont val="Tahoma"/>
            <family val="2"/>
          </rPr>
          <t>Eccleston A, Bentley A, Dyer M, Strydom A, Vereecken W, George A, Rahman N. A 
Cost-Effectiveness Evaluation of Germline BRCA1 and BRCA2 Testing in UK Women
with Ovarian Cancer. Value Health. 2017 Apr;20(4):567-576.</t>
        </r>
      </text>
    </comment>
    <comment ref="N89" authorId="0" shapeId="0" xr:uid="{0FB6BE52-D20E-4FBD-8DBC-FF40B2A2F96B}">
      <text>
        <r>
          <rPr>
            <sz val="9"/>
            <color indexed="81"/>
            <rFont val="Tahoma"/>
            <family val="2"/>
          </rPr>
          <t>Eccleston A, Bentley A, Dyer M, Strydom A, Vereecken W, George A, Rahman N. A 
Cost-Effectiveness Evaluation of Germline BRCA1 and BRCA2 Testing in UK Women
with Ovarian Cancer. Value Health. 2017 Apr;20(4):567-576.</t>
        </r>
      </text>
    </comment>
    <comment ref="N90" authorId="0" shapeId="0" xr:uid="{7BD2BC13-EDF7-4A4D-906C-FFC7268E8ACC}">
      <text>
        <r>
          <rPr>
            <sz val="9"/>
            <color indexed="81"/>
            <rFont val="Tahoma"/>
            <family val="2"/>
          </rPr>
          <t>Eccleston A, Bentley A, Dyer M, Strydom A, Vereecken W, George A, Rahman N. A 
Cost-Effectiveness Evaluation of Germline BRCA1 and BRCA2 Testing in UK Women
with Ovarian Cancer. Value Health. 2017 Apr;20(4):567-576.</t>
        </r>
      </text>
    </comment>
    <comment ref="N103" authorId="0" shapeId="0" xr:uid="{E8D51364-9928-4399-A903-897C7CA4BDA9}">
      <text>
        <r>
          <rPr>
            <sz val="9"/>
            <color indexed="81"/>
            <rFont val="Tahoma"/>
            <family val="2"/>
          </rPr>
          <t>Eccleston A, Bentley A, Dyer M, Strydom A, Vereecken W, George A, Rahman N. A 
Cost-Effectiveness Evaluation of Germline BRCA1 and BRCA2 Testing in UK Women
with Ovarian Cancer. Value Health. 2017 Apr;20(4):567-576.</t>
        </r>
      </text>
    </comment>
    <comment ref="N104" authorId="0" shapeId="0" xr:uid="{7FD4558A-E811-407E-B1E7-200891174433}">
      <text>
        <r>
          <rPr>
            <sz val="9"/>
            <color indexed="81"/>
            <rFont val="Tahoma"/>
            <family val="2"/>
          </rPr>
          <t>Eccleston A, Bentley A, Dyer M, Strydom A, Vereecken W, George A, Rahman N. A 
Cost-Effectiveness Evaluation of Germline BRCA1 and BRCA2 Testing in UK Women
with Ovarian Cancer. Value Health. 2017 Apr;20(4):567-576.</t>
        </r>
      </text>
    </comment>
    <comment ref="N105" authorId="0" shapeId="0" xr:uid="{CDCD05B1-6A64-4F5B-9291-59896E6BCC31}">
      <text>
        <r>
          <rPr>
            <sz val="9"/>
            <color indexed="81"/>
            <rFont val="Tahoma"/>
            <family val="2"/>
          </rPr>
          <t>Eccleston A, Bentley A, Dyer M, Strydom A, Vereecken W, George A, Rahman N. A 
Cost-Effectiveness Evaluation of Germline BRCA1 and BRCA2 Testing in UK Women
with Ovarian Cancer. Value Health. 2017 Apr;20(4):567-576.</t>
        </r>
      </text>
    </comment>
  </commentList>
</comments>
</file>

<file path=xl/sharedStrings.xml><?xml version="1.0" encoding="utf-8"?>
<sst xmlns="http://schemas.openxmlformats.org/spreadsheetml/2006/main" count="1049" uniqueCount="355">
  <si>
    <t>RISE Decision Model</t>
  </si>
  <si>
    <t>Disease 2</t>
  </si>
  <si>
    <t>Disease 3</t>
  </si>
  <si>
    <t>DECISION TREE</t>
  </si>
  <si>
    <t>Breast Cancer</t>
  </si>
  <si>
    <t>Ovarian Cancer</t>
  </si>
  <si>
    <t>Mastectomy+Oophorectomy</t>
  </si>
  <si>
    <t>Mastectomy Only</t>
  </si>
  <si>
    <t>Oophorectomy Only</t>
  </si>
  <si>
    <t>No Intervention</t>
  </si>
  <si>
    <t>High Penetrance</t>
  </si>
  <si>
    <t>Pathogenic/Likely Pathogenic</t>
  </si>
  <si>
    <t>Variant of Unknown Significance</t>
  </si>
  <si>
    <t>Non-Pathogenic</t>
  </si>
  <si>
    <t>Low Penetrance</t>
  </si>
  <si>
    <t>Mod. Penetrance</t>
  </si>
  <si>
    <t>MARKOV MODEL: TEST</t>
  </si>
  <si>
    <t>Post-Cancer</t>
  </si>
  <si>
    <t>Dead</t>
  </si>
  <si>
    <t>Sum</t>
  </si>
  <si>
    <t>Cost</t>
  </si>
  <si>
    <t>QALYs</t>
  </si>
  <si>
    <t>Life Years</t>
  </si>
  <si>
    <t>Breast</t>
  </si>
  <si>
    <t>Ovarian</t>
  </si>
  <si>
    <t>MARKOV MODEL: NO TEST</t>
  </si>
  <si>
    <t>OWSA</t>
  </si>
  <si>
    <t>Parameter</t>
  </si>
  <si>
    <t>Low Input</t>
  </si>
  <si>
    <t>Low Result</t>
  </si>
  <si>
    <t>High Result</t>
  </si>
  <si>
    <t>Spread</t>
  </si>
  <si>
    <t>Live</t>
  </si>
  <si>
    <t>Custom</t>
  </si>
  <si>
    <t>Default</t>
  </si>
  <si>
    <t>Probabilistic</t>
  </si>
  <si>
    <t>&lt; Range &gt;</t>
  </si>
  <si>
    <t>β</t>
  </si>
  <si>
    <t>n</t>
  </si>
  <si>
    <t>Distribution</t>
  </si>
  <si>
    <t>Source</t>
  </si>
  <si>
    <t>α/SE</t>
  </si>
  <si>
    <t>BREAST &amp; OVARIAN CANCER RESULTS</t>
  </si>
  <si>
    <t>Test</t>
  </si>
  <si>
    <t>No Test</t>
  </si>
  <si>
    <t>Incremental</t>
  </si>
  <si>
    <t>ONE-WAY SENSITIVITY</t>
  </si>
  <si>
    <t>VOI &amp; FIXED PARAMETERS</t>
  </si>
  <si>
    <t>dummy</t>
  </si>
  <si>
    <t>Remainder</t>
  </si>
  <si>
    <t>Pathogenicity</t>
  </si>
  <si>
    <t>High Penetrance Finding</t>
  </si>
  <si>
    <t>Moderate Penetrance Finding</t>
  </si>
  <si>
    <t>Low Penetrance Finding</t>
  </si>
  <si>
    <t>Cohort Size</t>
  </si>
  <si>
    <t>WTP</t>
  </si>
  <si>
    <t>EVSI n</t>
  </si>
  <si>
    <t>Range</t>
  </si>
  <si>
    <t>Prior</t>
  </si>
  <si>
    <t>Prior Draw SE</t>
  </si>
  <si>
    <t>New Draw</t>
  </si>
  <si>
    <t>Posterior</t>
  </si>
  <si>
    <t>Posterior SE</t>
  </si>
  <si>
    <t>For OWSA</t>
  </si>
  <si>
    <t>Cost of Genetic Test</t>
  </si>
  <si>
    <t>Normal</t>
  </si>
  <si>
    <t>Cost of Counseling</t>
  </si>
  <si>
    <t>Cost of Post-Test Counseling</t>
  </si>
  <si>
    <t>Cost of Variant Review</t>
  </si>
  <si>
    <t>Adherence: Patients Who Use Recommendation</t>
  </si>
  <si>
    <t>Arrhythmogenic right ventricular cardiomyopathy</t>
  </si>
  <si>
    <t>Beta</t>
  </si>
  <si>
    <t>Familial hypercholesterolemia</t>
  </si>
  <si>
    <t>Hereditary Breast and Ovarian Cancer</t>
  </si>
  <si>
    <t>Hypertrophic / dilated cardiomyopathy</t>
  </si>
  <si>
    <t>Long QT Syndromes Types 1, 2 and 3</t>
  </si>
  <si>
    <t>Lynch Syndrome</t>
  </si>
  <si>
    <t xml:space="preserve">Malignant hyperthermia susceptibility </t>
  </si>
  <si>
    <t>Rare conditions (combined)</t>
  </si>
  <si>
    <t>Prevalence</t>
  </si>
  <si>
    <t>Penetrance</t>
  </si>
  <si>
    <t>Avoidance of Screening</t>
  </si>
  <si>
    <t>QALY loss from avoiding screening</t>
  </si>
  <si>
    <t>Proportion who avoid screening</t>
  </si>
  <si>
    <t>Screening/Testing Costs</t>
  </si>
  <si>
    <t>Prior&gt;Post.</t>
  </si>
  <si>
    <t>VOI-SPECIFIC PARAMETERS</t>
  </si>
  <si>
    <t>Geisinger</t>
  </si>
  <si>
    <t>FIXED PARAMETERS</t>
  </si>
  <si>
    <t>Patient Age</t>
  </si>
  <si>
    <t>Discount</t>
  </si>
  <si>
    <t>Incremental Cost</t>
  </si>
  <si>
    <t>High Input</t>
  </si>
  <si>
    <t>Incremental QALYs</t>
  </si>
  <si>
    <t>INMB $50K WTP</t>
  </si>
  <si>
    <t>INMB $100K WTP</t>
  </si>
  <si>
    <t>INMB $150K WTP</t>
  </si>
  <si>
    <t>INMB $200K WTP</t>
  </si>
  <si>
    <t>QALY loss</t>
  </si>
  <si>
    <t>Ppn Avoid</t>
  </si>
  <si>
    <t>Min</t>
  </si>
  <si>
    <t>Lower</t>
  </si>
  <si>
    <t>Mean</t>
  </si>
  <si>
    <t>Upper</t>
  </si>
  <si>
    <t>Max</t>
  </si>
  <si>
    <t>Dist.</t>
  </si>
  <si>
    <t>LOOPS:</t>
  </si>
  <si>
    <t>CEAC</t>
  </si>
  <si>
    <t>Test NMB</t>
  </si>
  <si>
    <t>Don't NMB</t>
  </si>
  <si>
    <t>Max NMB</t>
  </si>
  <si>
    <t>LIVE</t>
  </si>
  <si>
    <t>WTP:</t>
  </si>
  <si>
    <t>EVSI Inner Loop Simulations</t>
  </si>
  <si>
    <t>EVSI Outer Loop Simulations</t>
  </si>
  <si>
    <t>Net Opportunity Loss</t>
  </si>
  <si>
    <t>AVG:</t>
  </si>
  <si>
    <t>Threshold</t>
  </si>
  <si>
    <t>Year</t>
  </si>
  <si>
    <t>Patients</t>
  </si>
  <si>
    <t>Total:</t>
  </si>
  <si>
    <t>$50,000 WTP</t>
  </si>
  <si>
    <t>$100,000 WTP</t>
  </si>
  <si>
    <t>$150,000 WTP</t>
  </si>
  <si>
    <t>$200,000 WTP</t>
  </si>
  <si>
    <t>From</t>
  </si>
  <si>
    <t>To</t>
  </si>
  <si>
    <t>SE $50K</t>
  </si>
  <si>
    <t>SE $100K</t>
  </si>
  <si>
    <t>SE $150K</t>
  </si>
  <si>
    <t>SE $200K</t>
  </si>
  <si>
    <t>Group</t>
  </si>
  <si>
    <t>Adherence</t>
  </si>
  <si>
    <t>Screen Avoidance</t>
  </si>
  <si>
    <t>EXPECTED VALUE OF PERFECT INFORMATION</t>
  </si>
  <si>
    <t>Per Patient</t>
  </si>
  <si>
    <t>Population</t>
  </si>
  <si>
    <t>EFFECTIVE POPULATION</t>
  </si>
  <si>
    <t>(do vlookup for number of people by age group, so can change age)</t>
  </si>
  <si>
    <t>EXPECTED VALUE OF PERFECT INFORMATION: PARAMETERS</t>
  </si>
  <si>
    <t>PARTIAL EVPI</t>
  </si>
  <si>
    <t>EXPECTED VALUE OF SAMPLE INFORMATION</t>
  </si>
  <si>
    <t>Trial N</t>
  </si>
  <si>
    <t>EXPECTED VALUE OF SAMPLE INFORMATION: PARAMETERS</t>
  </si>
  <si>
    <t>PARTIAL EVSI</t>
  </si>
  <si>
    <t>EVSI graph</t>
  </si>
  <si>
    <t>Test Cost</t>
  </si>
  <si>
    <t>Test QALYs</t>
  </si>
  <si>
    <t>No Test Cost</t>
  </si>
  <si>
    <t>No Test QALYs</t>
  </si>
  <si>
    <t>Incr Cost</t>
  </si>
  <si>
    <t>Incr QALYs</t>
  </si>
  <si>
    <t>ICER</t>
  </si>
  <si>
    <t>PARAMETERS</t>
  </si>
  <si>
    <t>Post-Mastectomy</t>
  </si>
  <si>
    <t>Post-Oophorectomy</t>
  </si>
  <si>
    <t>Post-Mast+Ooph</t>
  </si>
  <si>
    <t>BREAST &amp; OVARIAN CANCER PARAMETERS - DECISION TREE</t>
  </si>
  <si>
    <t>Name</t>
  </si>
  <si>
    <t>boc_find_high</t>
  </si>
  <si>
    <t>boc_find_mod</t>
  </si>
  <si>
    <t>boc_find_low</t>
  </si>
  <si>
    <t>boc_path_high_path</t>
  </si>
  <si>
    <t>boc_path_high_vus</t>
  </si>
  <si>
    <t>boc_path_high_np</t>
  </si>
  <si>
    <t>boc_path_mod_path</t>
  </si>
  <si>
    <t>boc_path_mod_vus</t>
  </si>
  <si>
    <t>boc_path_mod_np</t>
  </si>
  <si>
    <t>boc_path_low_path</t>
  </si>
  <si>
    <t>boc_path_low_vus</t>
  </si>
  <si>
    <t>boc_path_low_np</t>
  </si>
  <si>
    <t>High Penetrance Gene</t>
  </si>
  <si>
    <t>Moderate Penetrance Gene</t>
  </si>
  <si>
    <t>Low Penetrance Gene</t>
  </si>
  <si>
    <t>Mast+Ooph</t>
  </si>
  <si>
    <t>Mast</t>
  </si>
  <si>
    <t>Ooph</t>
  </si>
  <si>
    <t>No Intv.</t>
  </si>
  <si>
    <t>M+O</t>
  </si>
  <si>
    <t>HP_PLP</t>
  </si>
  <si>
    <t>HP_VUS</t>
  </si>
  <si>
    <t>MP_PLP</t>
  </si>
  <si>
    <t>MP_VUS</t>
  </si>
  <si>
    <t>LP_PLP</t>
  </si>
  <si>
    <t>LP_VUS</t>
  </si>
  <si>
    <t>No Intv. &gt;&gt;</t>
  </si>
  <si>
    <t>No Variant</t>
  </si>
  <si>
    <t>SENSITIVITY ANALYSES</t>
  </si>
  <si>
    <t>PROBABILISTIC SENSITIVITY</t>
  </si>
  <si>
    <t>ICER Plane</t>
  </si>
  <si>
    <t>Cost-Effectiveness Acceptability Curve</t>
  </si>
  <si>
    <t>Age</t>
  </si>
  <si>
    <t>OWSA %</t>
  </si>
  <si>
    <t>Inner Loops</t>
  </si>
  <si>
    <t>Outer Loops / PSA Sims</t>
  </si>
  <si>
    <t>OVERALL COST-EFFECTIVENESS RESULTS</t>
  </si>
  <si>
    <r>
      <t xml:space="preserve">Intervention/Behavior </t>
    </r>
    <r>
      <rPr>
        <b/>
        <u/>
        <sz val="11"/>
        <color theme="9"/>
        <rFont val="Arial"/>
        <family val="2"/>
      </rPr>
      <t>- TEST</t>
    </r>
  </si>
  <si>
    <r>
      <t xml:space="preserve">Intervention/Behavior </t>
    </r>
    <r>
      <rPr>
        <b/>
        <u/>
        <sz val="11"/>
        <color theme="4"/>
        <rFont val="Arial"/>
        <family val="2"/>
      </rPr>
      <t>- NO TEST</t>
    </r>
  </si>
  <si>
    <t>boc_test_int_path_mast</t>
  </si>
  <si>
    <t>boc_test_int_path_ooph</t>
  </si>
  <si>
    <t>boc_test_int_path_both</t>
  </si>
  <si>
    <t>boc_test_int_vus_mast</t>
  </si>
  <si>
    <t>boc_test_int_vus_ooph</t>
  </si>
  <si>
    <t>boc_test_int_vus_both</t>
  </si>
  <si>
    <t>boc_test_int_np_mast</t>
  </si>
  <si>
    <t>boc_test_int_np_ooph</t>
  </si>
  <si>
    <t>boc_test_int_np_both</t>
  </si>
  <si>
    <t>Unknown Risk</t>
  </si>
  <si>
    <t>boc_unk_int_mast</t>
  </si>
  <si>
    <t>boc_unk_int_ooph</t>
  </si>
  <si>
    <t>boc_unk_int_both</t>
  </si>
  <si>
    <t>RR: Pathogenic/Likely Pathogenic</t>
  </si>
  <si>
    <t>RR: Variant of Unknown Significance</t>
  </si>
  <si>
    <t>Log-Normal</t>
  </si>
  <si>
    <t>NO TEST</t>
  </si>
  <si>
    <t>TEST</t>
  </si>
  <si>
    <t>RR: Non-Pathogenic/No Variant</t>
  </si>
  <si>
    <t>NP/No Var</t>
  </si>
  <si>
    <t>Relative Risk of Breast Cancer</t>
  </si>
  <si>
    <t>Non-Pathogenic/No Variant</t>
  </si>
  <si>
    <t>Relative Risk of Ovarian Cancer</t>
  </si>
  <si>
    <t>Annual Probability of Eventual Intervention</t>
  </si>
  <si>
    <t>VUS: Mastectomy</t>
  </si>
  <si>
    <t>VUS: Oophorectomy</t>
  </si>
  <si>
    <t>VUS: Both</t>
  </si>
  <si>
    <t>P/LP: Mastectomy</t>
  </si>
  <si>
    <t>P/LP: Oophorectomy</t>
  </si>
  <si>
    <t>P/LP: Both</t>
  </si>
  <si>
    <t>Pr. Death</t>
  </si>
  <si>
    <t>CDC Life Table, Females, 2014</t>
  </si>
  <si>
    <t>Intervention</t>
  </si>
  <si>
    <t>Cancer</t>
  </si>
  <si>
    <t>Post-Intervention</t>
  </si>
  <si>
    <t>Mastectomy</t>
  </si>
  <si>
    <t>Oophorectomy</t>
  </si>
  <si>
    <t>BREAST &amp; OVARIAN CANCER PARAMETERS - MARKOV MODEL TRANSITIONS</t>
  </si>
  <si>
    <t>BREAST &amp; OVARIAN CANCER PARAMETERS - UTILITIES</t>
  </si>
  <si>
    <t>BREAST &amp; OVARIAN CANCER PARAMETERS - COSTS</t>
  </si>
  <si>
    <t>Annual Cost of Cancer</t>
  </si>
  <si>
    <t>Cancer Death</t>
  </si>
  <si>
    <t>boc_tr_mast_path</t>
  </si>
  <si>
    <t>boc_tr_ooph_path</t>
  </si>
  <si>
    <t>boc_tr_both_path</t>
  </si>
  <si>
    <t>boc_tr_mast_vus</t>
  </si>
  <si>
    <t>boc_tr_ooph_vus</t>
  </si>
  <si>
    <t>boc_tr_both_vus</t>
  </si>
  <si>
    <t>boc_rr_bc_mast</t>
  </si>
  <si>
    <t>boc_rr_bc_ooph</t>
  </si>
  <si>
    <t>boc_rr_bc_both</t>
  </si>
  <si>
    <t>boc_rr_oc_mast</t>
  </si>
  <si>
    <t>boc_rr_oc_ooph</t>
  </si>
  <si>
    <t>boc_rr_oc_both</t>
  </si>
  <si>
    <t>boc_rr_bc_hip</t>
  </si>
  <si>
    <t>boc_rr_bc_hiv</t>
  </si>
  <si>
    <t>boc_rr_bc_modp</t>
  </si>
  <si>
    <t>boc_rr_bc_modv</t>
  </si>
  <si>
    <t>boc_rr_bc_lop</t>
  </si>
  <si>
    <t>boc_rr_bc_lov</t>
  </si>
  <si>
    <t>boc_rr_bc_np</t>
  </si>
  <si>
    <t>boc_rr_oc_hip</t>
  </si>
  <si>
    <t>boc_rr_oc_hiv</t>
  </si>
  <si>
    <t>boc_rr_oc_modp</t>
  </si>
  <si>
    <t>boc_rr_oc_modv</t>
  </si>
  <si>
    <t>boc_rr_oc_lop</t>
  </si>
  <si>
    <t>boc_rr_oc_lov</t>
  </si>
  <si>
    <t>boc_rr_oc_np</t>
  </si>
  <si>
    <t>boc_util_int</t>
  </si>
  <si>
    <t>boc_util_no_v</t>
  </si>
  <si>
    <t>boc_util_no_nv</t>
  </si>
  <si>
    <t>boc_util_c</t>
  </si>
  <si>
    <t>boc_util_pc</t>
  </si>
  <si>
    <t>boc_cost_mast</t>
  </si>
  <si>
    <t>boc_cost_ooph</t>
  </si>
  <si>
    <t>boc_cost_bc</t>
  </si>
  <si>
    <t>boc_cost_oc</t>
  </si>
  <si>
    <t>boc_cost_pc</t>
  </si>
  <si>
    <t>boc_cost_death</t>
  </si>
  <si>
    <t>boc_rr_death_pc</t>
  </si>
  <si>
    <t>Health States</t>
  </si>
  <si>
    <t>Intervention Disutilities</t>
  </si>
  <si>
    <t>boc_disutil_mast</t>
  </si>
  <si>
    <t>boc_disutil_ooph</t>
  </si>
  <si>
    <t>boc_disutil_both</t>
  </si>
  <si>
    <t>No Intervention, Known Variant</t>
  </si>
  <si>
    <t>No Intervention, No/Unknown Variant</t>
  </si>
  <si>
    <t>Incremental CER</t>
  </si>
  <si>
    <t>Breast &amp; Ovarian Cancer</t>
  </si>
  <si>
    <t>Overall Results</t>
  </si>
  <si>
    <t>DISEASE MODEL RESULTS</t>
  </si>
  <si>
    <t>B&amp;O Cancer</t>
  </si>
  <si>
    <t xml:space="preserve">&lt; Test  </t>
  </si>
  <si>
    <t xml:space="preserve">  No Test &gt;</t>
  </si>
  <si>
    <t>Disease 4</t>
  </si>
  <si>
    <t>Disease 5</t>
  </si>
  <si>
    <t>Disease 6</t>
  </si>
  <si>
    <t>Disease 7</t>
  </si>
  <si>
    <t>Disease 8</t>
  </si>
  <si>
    <t>Disease 9</t>
  </si>
  <si>
    <t>Susswein et al.</t>
  </si>
  <si>
    <t>HRs</t>
  </si>
  <si>
    <t>Eccleston et al.</t>
  </si>
  <si>
    <t>Age at Diagnosis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</si>
  <si>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</si>
  <si>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</si>
  <si>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</si>
  <si>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</si>
  <si>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</si>
  <si>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</si>
  <si>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</si>
  <si>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</si>
  <si>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</si>
  <si>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</si>
  <si>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</si>
  <si>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</si>
  <si>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</si>
  <si>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</si>
  <si>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85+</t>
  </si>
  <si>
    <t>Incid. Rate/100K</t>
  </si>
  <si>
    <t>Death Rate/100K</t>
  </si>
  <si>
    <t>Tr Pr</t>
  </si>
  <si>
    <t>Rate/Year</t>
  </si>
  <si>
    <t>Age Lookup</t>
  </si>
  <si>
    <t>TRANSITION PROBABILITIES DERIVED FROM SEER</t>
  </si>
  <si>
    <t>https://seer.cancer.gov/csr/1975_2014/browse_csr.php</t>
  </si>
  <si>
    <t>α</t>
  </si>
  <si>
    <t>PSA</t>
  </si>
  <si>
    <t>Manchanda et al.</t>
  </si>
  <si>
    <t>Relative Risk of Death, Post Cancer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</si>
  <si>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</si>
  <si>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</si>
  <si>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</si>
  <si>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</si>
  <si>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</si>
  <si>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</si>
  <si>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</si>
  <si>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</si>
  <si>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</si>
  <si>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</si>
  <si>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</si>
  <si>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</si>
  <si>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</si>
  <si>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</si>
  <si>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</si>
  <si>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</si>
  <si>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</si>
  <si>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</si>
  <si>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</si>
  <si>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</si>
  <si>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</si>
  <si>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</si>
  <si>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</si>
  <si>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</si>
  <si>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</si>
  <si>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https://www.mrexcel.com/forum/excel-questions/347468-multiple-linear-regression-vba.html</t>
  </si>
  <si>
    <t>NET MONETARY BENEFIT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</si>
</sst>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&quot;$&quot;#,##0"/>
    <numFmt numFmtId="166" formatCode="0.000"/>
    <numFmt numFmtId="167" formatCode="0.000%"/>
    <numFmt numFmtId="168" formatCode="_(* #,##0_);_(* \(#,##0\);_(* &quot;-&quot;??_);_(@_)"/>
    <numFmt numFmtId="169" formatCode="0.0%"/>
    <numFmt numFmtId="170" formatCode="&quot;$&quot;#,##0.00"/>
    <numFmt numFmtId="171" formatCode="&quot;INB &quot;&quot;$&quot;#,###"/>
    <numFmt numFmtId="172" formatCode="0.00000"/>
    <numFmt numFmtId="173" formatCode="_(&quot;$&quot;* #,##0_);_(&quot;$&quot;* \(#,##0\);_(&quot;$&quot;* &quot;-&quot;??_);_(@_)"/>
    <numFmt numFmtId="174" formatCode="&quot;$&quot;#,##0;[Red]&quot;$&quot;#,##0"/>
    <numFmt numFmtId="175" formatCode="&quot;$&quot;#,###"/>
    <numFmt numFmtId="180" formatCode="0.0"/>
  </numFmts>
  <fonts count="26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4"/>
      <color theme="0"/>
      <name val="Arial"/>
      <family val="2"/>
    </font>
    <font>
      <sz val="16"/>
      <color theme="0"/>
      <name val="Arial"/>
      <family val="2"/>
    </font>
    <font>
      <sz val="11"/>
      <name val="Arial"/>
      <family val="2"/>
    </font>
    <font>
      <i/>
      <sz val="11"/>
      <color theme="1"/>
      <name val="Arial"/>
      <family val="2"/>
    </font>
    <font>
      <sz val="11"/>
      <color theme="4"/>
      <name val="Arial"/>
      <family val="2"/>
    </font>
    <font>
      <sz val="11"/>
      <color theme="2" tint="-9.9978637043366805E-2"/>
      <name val="Arial"/>
      <family val="2"/>
    </font>
    <font>
      <sz val="11"/>
      <color theme="8" tint="0.79998168889431442"/>
      <name val="Arial"/>
      <family val="2"/>
    </font>
    <font>
      <b/>
      <i/>
      <sz val="11"/>
      <color theme="1"/>
      <name val="Arial"/>
      <family val="2"/>
    </font>
    <font>
      <b/>
      <u/>
      <sz val="11"/>
      <color theme="1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b/>
      <sz val="8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2"/>
      <name val="Arial"/>
      <family val="2"/>
    </font>
    <font>
      <b/>
      <i/>
      <sz val="11"/>
      <color theme="0"/>
      <name val="Arial"/>
      <family val="2"/>
    </font>
    <font>
      <b/>
      <u/>
      <sz val="11"/>
      <color theme="9"/>
      <name val="Arial"/>
      <family val="2"/>
    </font>
    <font>
      <b/>
      <u/>
      <sz val="11"/>
      <color theme="4"/>
      <name val="Arial"/>
      <family val="2"/>
    </font>
    <font>
      <sz val="11"/>
      <color theme="1"/>
      <name val="Century Gothic"/>
      <family val="2"/>
      <scheme val="minor"/>
    </font>
    <font>
      <sz val="9"/>
      <color indexed="81"/>
      <name val="Tahoma"/>
      <family val="2"/>
    </font>
    <font>
      <sz val="11"/>
      <color theme="0" tint="-4.9989318521683403E-2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medium">
        <color theme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 style="mediumDashed">
        <color theme="4"/>
      </left>
      <right/>
      <top style="mediumDashed">
        <color theme="4"/>
      </top>
      <bottom/>
      <diagonal/>
    </border>
    <border>
      <left/>
      <right/>
      <top style="mediumDashed">
        <color theme="4"/>
      </top>
      <bottom/>
      <diagonal/>
    </border>
    <border>
      <left/>
      <right style="mediumDashed">
        <color theme="4"/>
      </right>
      <top style="mediumDashed">
        <color theme="4"/>
      </top>
      <bottom/>
      <diagonal/>
    </border>
    <border>
      <left style="mediumDashed">
        <color theme="4"/>
      </left>
      <right/>
      <top/>
      <bottom/>
      <diagonal/>
    </border>
    <border>
      <left/>
      <right style="mediumDashed">
        <color theme="4"/>
      </right>
      <top/>
      <bottom/>
      <diagonal/>
    </border>
    <border>
      <left style="mediumDashed">
        <color theme="4"/>
      </left>
      <right/>
      <top/>
      <bottom style="mediumDashed">
        <color theme="4"/>
      </bottom>
      <diagonal/>
    </border>
    <border>
      <left/>
      <right/>
      <top/>
      <bottom style="mediumDashed">
        <color theme="4"/>
      </bottom>
      <diagonal/>
    </border>
    <border>
      <left/>
      <right style="mediumDashed">
        <color theme="4"/>
      </right>
      <top/>
      <bottom style="mediumDashed">
        <color theme="4"/>
      </bottom>
      <diagonal/>
    </border>
    <border>
      <left/>
      <right/>
      <top/>
      <bottom style="thin">
        <color theme="3"/>
      </bottom>
      <diagonal/>
    </border>
    <border>
      <left style="thin">
        <color theme="6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Dashed">
        <color auto="1"/>
      </top>
      <bottom/>
      <diagonal/>
    </border>
    <border>
      <left/>
      <right/>
      <top/>
      <bottom style="mediumDashed">
        <color auto="1"/>
      </bottom>
      <diagonal/>
    </border>
    <border>
      <left style="thin">
        <color theme="0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3" fillId="0" borderId="0"/>
  </cellStyleXfs>
  <cellXfs count="385">
    <xf numFmtId="0" fontId="0" fillId="0" borderId="0" xfId="0"/>
    <xf numFmtId="0" fontId="0" fillId="2" borderId="0" xfId="0" applyFill="1"/>
    <xf numFmtId="0" fontId="0" fillId="3" borderId="0" xfId="0" applyFill="1"/>
    <xf numFmtId="0" fontId="4" fillId="3" borderId="0" xfId="0" applyFont="1" applyFill="1"/>
    <xf numFmtId="0" fontId="6" fillId="3" borderId="1" xfId="0" applyFont="1" applyFill="1" applyBorder="1" applyAlignment="1">
      <alignment horizontal="left" vertical="center" indent="1"/>
    </xf>
    <xf numFmtId="0" fontId="0" fillId="3" borderId="1" xfId="0" applyFill="1" applyBorder="1"/>
    <xf numFmtId="0" fontId="0" fillId="7" borderId="0" xfId="0" applyFill="1"/>
    <xf numFmtId="0" fontId="4" fillId="7" borderId="0" xfId="0" applyFont="1" applyFill="1"/>
    <xf numFmtId="0" fontId="0" fillId="4" borderId="0" xfId="0" applyFill="1"/>
    <xf numFmtId="0" fontId="0" fillId="0" borderId="3" xfId="0" applyBorder="1"/>
    <xf numFmtId="0" fontId="0" fillId="0" borderId="2" xfId="0" applyBorder="1"/>
    <xf numFmtId="0" fontId="0" fillId="0" borderId="5" xfId="0" applyBorder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4" fillId="2" borderId="0" xfId="0" applyFont="1" applyFill="1"/>
    <xf numFmtId="0" fontId="4" fillId="8" borderId="0" xfId="0" applyFont="1" applyFill="1"/>
    <xf numFmtId="0" fontId="0" fillId="8" borderId="0" xfId="0" applyFill="1"/>
    <xf numFmtId="0" fontId="0" fillId="4" borderId="0" xfId="0" applyFill="1" applyAlignment="1">
      <alignment horizontal="centerContinuous"/>
    </xf>
    <xf numFmtId="0" fontId="0" fillId="9" borderId="6" xfId="0" applyFill="1" applyBorder="1"/>
    <xf numFmtId="0" fontId="0" fillId="0" borderId="0" xfId="0" applyAlignment="1">
      <alignment horizontal="left" indent="1"/>
    </xf>
    <xf numFmtId="0" fontId="4" fillId="7" borderId="0" xfId="0" applyFont="1" applyFill="1" applyAlignment="1">
      <alignment horizontal="left" indent="1"/>
    </xf>
    <xf numFmtId="0" fontId="4" fillId="2" borderId="0" xfId="0" applyFont="1" applyFill="1" applyAlignment="1">
      <alignment horizontal="left" indent="1"/>
    </xf>
    <xf numFmtId="0" fontId="4" fillId="8" borderId="0" xfId="0" applyFont="1" applyFill="1" applyAlignment="1">
      <alignment horizontal="left" indent="1"/>
    </xf>
    <xf numFmtId="0" fontId="4" fillId="3" borderId="7" xfId="0" applyFont="1" applyFill="1" applyBorder="1"/>
    <xf numFmtId="0" fontId="4" fillId="3" borderId="8" xfId="0" applyFont="1" applyFill="1" applyBorder="1"/>
    <xf numFmtId="0" fontId="4" fillId="3" borderId="9" xfId="0" applyFont="1" applyFill="1" applyBorder="1"/>
    <xf numFmtId="0" fontId="0" fillId="4" borderId="10" xfId="0" applyFill="1" applyBorder="1"/>
    <xf numFmtId="0" fontId="0" fillId="4" borderId="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4" xfId="0" applyFill="1" applyBorder="1"/>
    <xf numFmtId="0" fontId="4" fillId="0" borderId="0" xfId="0" applyFont="1"/>
    <xf numFmtId="0" fontId="7" fillId="4" borderId="0" xfId="0" applyFont="1" applyFill="1"/>
    <xf numFmtId="2" fontId="0" fillId="0" borderId="0" xfId="0" applyNumberFormat="1" applyAlignment="1">
      <alignment horizontal="center"/>
    </xf>
    <xf numFmtId="0" fontId="0" fillId="0" borderId="0" xfId="0" applyFont="1"/>
    <xf numFmtId="0" fontId="0" fillId="0" borderId="0" xfId="0" applyAlignment="1">
      <alignment horizontal="left" indent="2"/>
    </xf>
    <xf numFmtId="0" fontId="8" fillId="0" borderId="0" xfId="0" applyFont="1" applyAlignment="1">
      <alignment horizontal="left" indent="1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Fill="1" applyBorder="1"/>
    <xf numFmtId="0" fontId="0" fillId="0" borderId="0" xfId="0" applyFont="1" applyBorder="1" applyAlignment="1">
      <alignment horizontal="right" indent="1"/>
    </xf>
    <xf numFmtId="165" fontId="0" fillId="0" borderId="0" xfId="0" applyNumberFormat="1" applyFont="1" applyAlignment="1">
      <alignment horizontal="center"/>
    </xf>
    <xf numFmtId="166" fontId="7" fillId="0" borderId="0" xfId="0" applyNumberFormat="1" applyFont="1" applyFill="1" applyBorder="1" applyAlignment="1">
      <alignment horizontal="center"/>
    </xf>
    <xf numFmtId="167" fontId="0" fillId="0" borderId="0" xfId="0" applyNumberFormat="1" applyFont="1" applyBorder="1" applyAlignment="1">
      <alignment horizontal="center"/>
    </xf>
    <xf numFmtId="167" fontId="0" fillId="0" borderId="0" xfId="0" applyNumberFormat="1" applyFont="1" applyBorder="1" applyAlignment="1">
      <alignment horizontal="centerContinuous"/>
    </xf>
    <xf numFmtId="1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 indent="1"/>
    </xf>
    <xf numFmtId="0" fontId="0" fillId="0" borderId="0" xfId="0" applyFill="1"/>
    <xf numFmtId="2" fontId="7" fillId="0" borderId="0" xfId="0" applyNumberFormat="1" applyFont="1" applyFill="1" applyBorder="1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0" fontId="0" fillId="0" borderId="0" xfId="0" applyFont="1" applyBorder="1" applyAlignment="1">
      <alignment horizontal="right"/>
    </xf>
    <xf numFmtId="0" fontId="3" fillId="0" borderId="0" xfId="0" applyFont="1" applyBorder="1"/>
    <xf numFmtId="0" fontId="0" fillId="0" borderId="0" xfId="0" applyFont="1" applyBorder="1" applyAlignment="1">
      <alignment horizontal="centerContinuous"/>
    </xf>
    <xf numFmtId="166" fontId="7" fillId="6" borderId="0" xfId="0" applyNumberFormat="1" applyFont="1" applyFill="1" applyBorder="1" applyAlignment="1">
      <alignment horizontal="center"/>
    </xf>
    <xf numFmtId="0" fontId="0" fillId="6" borderId="0" xfId="0" applyFont="1" applyFill="1"/>
    <xf numFmtId="167" fontId="7" fillId="0" borderId="0" xfId="3" applyNumberFormat="1" applyFont="1" applyFill="1" applyBorder="1" applyAlignment="1">
      <alignment horizontal="center"/>
    </xf>
    <xf numFmtId="9" fontId="7" fillId="0" borderId="0" xfId="3" applyFont="1" applyFill="1" applyBorder="1" applyAlignment="1">
      <alignment horizontal="center"/>
    </xf>
    <xf numFmtId="0" fontId="0" fillId="3" borderId="0" xfId="0" applyFill="1" applyBorder="1"/>
    <xf numFmtId="0" fontId="0" fillId="0" borderId="0" xfId="0" applyBorder="1"/>
    <xf numFmtId="0" fontId="0" fillId="0" borderId="0" xfId="0" applyFont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right"/>
    </xf>
    <xf numFmtId="1" fontId="7" fillId="0" borderId="0" xfId="0" applyNumberFormat="1" applyFont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2" fontId="0" fillId="0" borderId="0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0" fontId="0" fillId="0" borderId="0" xfId="0" quotePrefix="1" applyFont="1" applyBorder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166" fontId="7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166" fontId="4" fillId="0" borderId="0" xfId="0" applyNumberFormat="1" applyFont="1" applyBorder="1" applyAlignment="1">
      <alignment horizontal="center"/>
    </xf>
    <xf numFmtId="10" fontId="0" fillId="0" borderId="0" xfId="3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0" fillId="0" borderId="0" xfId="0" applyFill="1" applyBorder="1"/>
    <xf numFmtId="2" fontId="7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1"/>
    </xf>
    <xf numFmtId="43" fontId="0" fillId="0" borderId="0" xfId="0" applyNumberFormat="1" applyBorder="1"/>
    <xf numFmtId="166" fontId="0" fillId="0" borderId="0" xfId="0" applyNumberFormat="1" applyFont="1" applyFill="1" applyBorder="1" applyAlignment="1">
      <alignment horizontal="center"/>
    </xf>
    <xf numFmtId="9" fontId="0" fillId="0" borderId="0" xfId="3" applyFont="1" applyBorder="1" applyAlignment="1">
      <alignment horizontal="center"/>
    </xf>
    <xf numFmtId="9" fontId="7" fillId="0" borderId="0" xfId="3" applyFont="1" applyBorder="1" applyAlignment="1">
      <alignment horizontal="center"/>
    </xf>
    <xf numFmtId="0" fontId="11" fillId="8" borderId="0" xfId="0" applyFont="1" applyFill="1" applyBorder="1" applyAlignment="1">
      <alignment horizontal="center"/>
    </xf>
    <xf numFmtId="0" fontId="11" fillId="8" borderId="0" xfId="0" applyFont="1" applyFill="1" applyAlignment="1">
      <alignment horizontal="center"/>
    </xf>
    <xf numFmtId="0" fontId="2" fillId="0" borderId="0" xfId="0" applyFont="1" applyBorder="1" applyAlignment="1">
      <alignment horizontal="center" shrinkToFit="1"/>
    </xf>
    <xf numFmtId="0" fontId="0" fillId="0" borderId="0" xfId="0" applyFont="1" applyBorder="1" applyAlignment="1">
      <alignment horizontal="center" shrinkToFit="1"/>
    </xf>
    <xf numFmtId="0" fontId="0" fillId="0" borderId="0" xfId="0" applyBorder="1" applyAlignment="1">
      <alignment horizontal="center"/>
    </xf>
    <xf numFmtId="0" fontId="13" fillId="0" borderId="0" xfId="0" applyFont="1" applyBorder="1"/>
    <xf numFmtId="0" fontId="7" fillId="0" borderId="0" xfId="0" applyFont="1" applyBorder="1" applyAlignment="1">
      <alignment horizontal="left" indent="1"/>
    </xf>
    <xf numFmtId="0" fontId="13" fillId="0" borderId="0" xfId="0" applyFont="1"/>
    <xf numFmtId="0" fontId="13" fillId="0" borderId="0" xfId="0" applyFont="1" applyAlignment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 shrinkToFit="1"/>
    </xf>
    <xf numFmtId="0" fontId="0" fillId="6" borderId="0" xfId="0" applyFont="1" applyFill="1" applyBorder="1" applyAlignment="1">
      <alignment horizontal="center"/>
    </xf>
    <xf numFmtId="0" fontId="8" fillId="6" borderId="0" xfId="0" applyNumberFormat="1" applyFont="1" applyFill="1" applyBorder="1" applyAlignment="1">
      <alignment horizontal="center"/>
    </xf>
    <xf numFmtId="0" fontId="0" fillId="6" borderId="0" xfId="0" applyNumberFormat="1" applyFont="1" applyFill="1" applyBorder="1" applyAlignment="1">
      <alignment horizontal="center"/>
    </xf>
    <xf numFmtId="0" fontId="10" fillId="6" borderId="0" xfId="0" applyNumberFormat="1" applyFont="1" applyFill="1" applyBorder="1" applyAlignment="1">
      <alignment horizontal="center"/>
    </xf>
    <xf numFmtId="167" fontId="10" fillId="6" borderId="0" xfId="0" applyNumberFormat="1" applyFont="1" applyFill="1" applyBorder="1" applyAlignment="1">
      <alignment horizontal="center"/>
    </xf>
    <xf numFmtId="0" fontId="0" fillId="6" borderId="0" xfId="0" applyFont="1" applyFill="1" applyBorder="1"/>
    <xf numFmtId="167" fontId="0" fillId="6" borderId="0" xfId="0" applyNumberFormat="1" applyFont="1" applyFill="1" applyBorder="1" applyAlignment="1">
      <alignment horizontal="center"/>
    </xf>
    <xf numFmtId="165" fontId="0" fillId="6" borderId="0" xfId="0" applyNumberFormat="1" applyFont="1" applyFill="1" applyBorder="1" applyAlignment="1">
      <alignment horizontal="center"/>
    </xf>
    <xf numFmtId="166" fontId="0" fillId="6" borderId="0" xfId="0" applyNumberFormat="1" applyFont="1" applyFill="1" applyBorder="1" applyAlignment="1">
      <alignment horizontal="center"/>
    </xf>
    <xf numFmtId="9" fontId="0" fillId="6" borderId="0" xfId="3" applyFont="1" applyFill="1" applyBorder="1" applyAlignment="1">
      <alignment horizontal="center"/>
    </xf>
    <xf numFmtId="0" fontId="0" fillId="4" borderId="0" xfId="0" applyFont="1" applyFill="1" applyBorder="1" applyAlignment="1">
      <alignment horizontal="left" indent="1"/>
    </xf>
    <xf numFmtId="0" fontId="4" fillId="3" borderId="15" xfId="0" applyFont="1" applyFill="1" applyBorder="1"/>
    <xf numFmtId="0" fontId="0" fillId="3" borderId="15" xfId="0" applyFont="1" applyFill="1" applyBorder="1" applyAlignment="1">
      <alignment horizontal="center"/>
    </xf>
    <xf numFmtId="0" fontId="14" fillId="0" borderId="0" xfId="0" applyFont="1" applyFill="1"/>
    <xf numFmtId="0" fontId="7" fillId="0" borderId="0" xfId="0" applyFont="1" applyFill="1"/>
    <xf numFmtId="165" fontId="7" fillId="0" borderId="0" xfId="0" applyNumberFormat="1" applyFont="1" applyAlignment="1">
      <alignment horizontal="right"/>
    </xf>
    <xf numFmtId="170" fontId="14" fillId="0" borderId="0" xfId="0" applyNumberFormat="1" applyFont="1" applyFill="1"/>
    <xf numFmtId="0" fontId="7" fillId="0" borderId="0" xfId="0" applyFont="1" applyFill="1" applyAlignment="1">
      <alignment horizontal="left"/>
    </xf>
    <xf numFmtId="170" fontId="7" fillId="0" borderId="0" xfId="0" applyNumberFormat="1" applyFont="1" applyFill="1"/>
    <xf numFmtId="0" fontId="7" fillId="0" borderId="0" xfId="0" applyFont="1"/>
    <xf numFmtId="9" fontId="0" fillId="0" borderId="0" xfId="3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2" applyNumberFormat="1" applyFont="1" applyAlignment="1">
      <alignment horizontal="center"/>
    </xf>
    <xf numFmtId="0" fontId="7" fillId="0" borderId="0" xfId="0" applyFont="1" applyFill="1" applyAlignment="1">
      <alignment vertical="center"/>
    </xf>
    <xf numFmtId="2" fontId="7" fillId="0" borderId="0" xfId="0" applyNumberFormat="1" applyFont="1" applyFill="1" applyAlignment="1">
      <alignment horizontal="center" vertical="center"/>
    </xf>
    <xf numFmtId="165" fontId="7" fillId="0" borderId="0" xfId="0" applyNumberFormat="1" applyFont="1" applyFill="1" applyAlignment="1">
      <alignment horizontal="center" vertical="center"/>
    </xf>
    <xf numFmtId="167" fontId="7" fillId="0" borderId="0" xfId="0" applyNumberFormat="1" applyFont="1" applyFill="1" applyAlignment="1">
      <alignment horizontal="center" vertical="center"/>
    </xf>
    <xf numFmtId="2" fontId="0" fillId="0" borderId="0" xfId="1" applyNumberFormat="1" applyFont="1" applyAlignment="1">
      <alignment horizontal="center"/>
    </xf>
    <xf numFmtId="165" fontId="7" fillId="0" borderId="0" xfId="2" applyNumberFormat="1" applyFont="1" applyFill="1" applyAlignment="1">
      <alignment horizontal="center" vertical="center"/>
    </xf>
    <xf numFmtId="1" fontId="14" fillId="0" borderId="0" xfId="0" applyNumberFormat="1" applyFont="1" applyFill="1"/>
    <xf numFmtId="0" fontId="14" fillId="0" borderId="0" xfId="0" applyFont="1" applyFill="1" applyAlignment="1">
      <alignment horizontal="right"/>
    </xf>
    <xf numFmtId="0" fontId="14" fillId="0" borderId="0" xfId="0" applyFont="1" applyFill="1" applyAlignment="1">
      <alignment horizontal="left"/>
    </xf>
    <xf numFmtId="165" fontId="7" fillId="0" borderId="0" xfId="0" applyNumberFormat="1" applyFon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172" fontId="0" fillId="0" borderId="0" xfId="0" applyNumberFormat="1" applyFill="1" applyBorder="1" applyAlignment="1">
      <alignment horizontal="center"/>
    </xf>
    <xf numFmtId="169" fontId="0" fillId="0" borderId="0" xfId="0" applyNumberFormat="1" applyFill="1"/>
    <xf numFmtId="0" fontId="0" fillId="0" borderId="16" xfId="0" applyFill="1" applyBorder="1"/>
    <xf numFmtId="165" fontId="0" fillId="0" borderId="0" xfId="0" applyNumberFormat="1"/>
    <xf numFmtId="0" fontId="0" fillId="0" borderId="0" xfId="0" applyFill="1" applyAlignment="1">
      <alignment horizontal="right"/>
    </xf>
    <xf numFmtId="0" fontId="0" fillId="0" borderId="0" xfId="0" applyNumberFormat="1" applyFill="1" applyAlignment="1">
      <alignment horizontal="right"/>
    </xf>
    <xf numFmtId="0" fontId="0" fillId="0" borderId="0" xfId="0" applyNumberFormat="1"/>
    <xf numFmtId="1" fontId="0" fillId="0" borderId="0" xfId="0" applyNumberFormat="1"/>
    <xf numFmtId="7" fontId="0" fillId="0" borderId="0" xfId="0" applyNumberFormat="1"/>
    <xf numFmtId="6" fontId="0" fillId="0" borderId="0" xfId="0" applyNumberFormat="1" applyBorder="1"/>
    <xf numFmtId="0" fontId="0" fillId="0" borderId="0" xfId="0" applyNumberFormat="1" applyBorder="1"/>
    <xf numFmtId="0" fontId="0" fillId="0" borderId="17" xfId="0" applyNumberFormat="1" applyBorder="1"/>
    <xf numFmtId="0" fontId="0" fillId="0" borderId="17" xfId="0" applyBorder="1" applyAlignment="1">
      <alignment horizontal="center"/>
    </xf>
    <xf numFmtId="0" fontId="2" fillId="0" borderId="0" xfId="0" applyFont="1"/>
    <xf numFmtId="174" fontId="18" fillId="0" borderId="0" xfId="0" applyNumberFormat="1" applyFont="1"/>
    <xf numFmtId="0" fontId="0" fillId="4" borderId="0" xfId="0" applyFill="1" applyBorder="1" applyAlignment="1">
      <alignment horizontal="right"/>
    </xf>
    <xf numFmtId="165" fontId="0" fillId="4" borderId="0" xfId="0" applyNumberFormat="1" applyFill="1" applyBorder="1"/>
    <xf numFmtId="165" fontId="0" fillId="4" borderId="0" xfId="0" applyNumberFormat="1" applyFill="1" applyBorder="1" applyAlignment="1">
      <alignment shrinkToFit="1"/>
    </xf>
    <xf numFmtId="0" fontId="4" fillId="4" borderId="0" xfId="0" applyFont="1" applyFill="1" applyBorder="1"/>
    <xf numFmtId="0" fontId="4" fillId="3" borderId="0" xfId="0" applyFont="1" applyFill="1" applyBorder="1"/>
    <xf numFmtId="0" fontId="4" fillId="3" borderId="0" xfId="0" applyFont="1" applyFill="1" applyBorder="1" applyAlignment="1">
      <alignment horizontal="right"/>
    </xf>
    <xf numFmtId="168" fontId="0" fillId="4" borderId="0" xfId="1" applyNumberFormat="1" applyFont="1" applyFill="1" applyBorder="1" applyAlignment="1">
      <alignment horizontal="right" shrinkToFit="1"/>
    </xf>
    <xf numFmtId="1" fontId="0" fillId="4" borderId="0" xfId="0" applyNumberFormat="1" applyFill="1" applyBorder="1"/>
    <xf numFmtId="0" fontId="4" fillId="7" borderId="0" xfId="0" applyFont="1" applyFill="1" applyBorder="1" applyAlignment="1">
      <alignment horizontal="right"/>
    </xf>
    <xf numFmtId="1" fontId="4" fillId="7" borderId="0" xfId="0" applyNumberFormat="1" applyFont="1" applyFill="1" applyBorder="1"/>
    <xf numFmtId="0" fontId="4" fillId="3" borderId="0" xfId="0" applyFont="1" applyFill="1" applyBorder="1" applyAlignment="1">
      <alignment horizontal="left"/>
    </xf>
    <xf numFmtId="0" fontId="0" fillId="9" borderId="6" xfId="0" applyFill="1" applyBorder="1" applyAlignment="1">
      <alignment horizontal="center"/>
    </xf>
    <xf numFmtId="0" fontId="0" fillId="9" borderId="6" xfId="0" applyNumberFormat="1" applyFill="1" applyBorder="1" applyAlignment="1">
      <alignment horizontal="center"/>
    </xf>
    <xf numFmtId="0" fontId="19" fillId="0" borderId="0" xfId="0" applyFont="1" applyBorder="1"/>
    <xf numFmtId="0" fontId="19" fillId="0" borderId="0" xfId="0" applyFont="1" applyFill="1" applyBorder="1"/>
    <xf numFmtId="0" fontId="0" fillId="4" borderId="0" xfId="0" applyNumberFormat="1" applyFill="1" applyBorder="1"/>
    <xf numFmtId="0" fontId="13" fillId="4" borderId="0" xfId="0" applyFont="1" applyFill="1" applyBorder="1"/>
    <xf numFmtId="165" fontId="0" fillId="4" borderId="0" xfId="0" applyNumberFormat="1" applyFill="1" applyBorder="1" applyAlignment="1">
      <alignment horizontal="center"/>
    </xf>
    <xf numFmtId="0" fontId="0" fillId="4" borderId="0" xfId="0" applyFill="1" applyBorder="1" applyAlignment="1">
      <alignment horizontal="left" indent="1"/>
    </xf>
    <xf numFmtId="165" fontId="0" fillId="4" borderId="0" xfId="0" applyNumberFormat="1" applyFill="1" applyBorder="1" applyAlignment="1">
      <alignment horizontal="right"/>
    </xf>
    <xf numFmtId="0" fontId="2" fillId="4" borderId="0" xfId="0" applyNumberFormat="1" applyFont="1" applyFill="1" applyBorder="1"/>
    <xf numFmtId="170" fontId="0" fillId="4" borderId="0" xfId="0" applyNumberFormat="1" applyFill="1" applyBorder="1" applyAlignment="1">
      <alignment horizontal="center"/>
    </xf>
    <xf numFmtId="170" fontId="0" fillId="4" borderId="0" xfId="0" applyNumberFormat="1" applyFill="1" applyBorder="1"/>
    <xf numFmtId="165" fontId="0" fillId="4" borderId="17" xfId="0" applyNumberFormat="1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0" xfId="0" applyFill="1" applyBorder="1" applyAlignment="1">
      <alignment horizontal="right" indent="2"/>
    </xf>
    <xf numFmtId="3" fontId="0" fillId="4" borderId="0" xfId="1" applyNumberFormat="1" applyFont="1" applyFill="1" applyBorder="1" applyAlignment="1">
      <alignment horizontal="right" indent="2"/>
    </xf>
    <xf numFmtId="3" fontId="0" fillId="4" borderId="0" xfId="1" applyNumberFormat="1" applyFont="1" applyFill="1" applyBorder="1" applyAlignment="1">
      <alignment horizontal="right" indent="2" shrinkToFit="1"/>
    </xf>
    <xf numFmtId="0" fontId="0" fillId="0" borderId="21" xfId="0" applyBorder="1"/>
    <xf numFmtId="6" fontId="0" fillId="0" borderId="21" xfId="0" applyNumberFormat="1" applyBorder="1"/>
    <xf numFmtId="0" fontId="0" fillId="0" borderId="4" xfId="0" applyBorder="1"/>
    <xf numFmtId="0" fontId="0" fillId="0" borderId="17" xfId="0" applyBorder="1"/>
    <xf numFmtId="173" fontId="0" fillId="0" borderId="17" xfId="0" applyNumberFormat="1" applyBorder="1" applyAlignment="1">
      <alignment shrinkToFit="1"/>
    </xf>
    <xf numFmtId="6" fontId="0" fillId="0" borderId="17" xfId="0" applyNumberFormat="1" applyBorder="1" applyAlignment="1">
      <alignment shrinkToFit="1"/>
    </xf>
    <xf numFmtId="6" fontId="0" fillId="0" borderId="22" xfId="0" applyNumberFormat="1" applyBorder="1"/>
    <xf numFmtId="173" fontId="0" fillId="0" borderId="19" xfId="0" applyNumberFormat="1" applyBorder="1" applyAlignment="1">
      <alignment shrinkToFit="1"/>
    </xf>
    <xf numFmtId="6" fontId="0" fillId="0" borderId="19" xfId="0" applyNumberFormat="1" applyBorder="1" applyAlignment="1">
      <alignment shrinkToFit="1"/>
    </xf>
    <xf numFmtId="6" fontId="0" fillId="0" borderId="23" xfId="0" applyNumberFormat="1" applyBorder="1"/>
    <xf numFmtId="173" fontId="0" fillId="0" borderId="20" xfId="0" applyNumberFormat="1" applyBorder="1" applyAlignment="1">
      <alignment shrinkToFit="1"/>
    </xf>
    <xf numFmtId="6" fontId="0" fillId="0" borderId="20" xfId="0" applyNumberFormat="1" applyBorder="1" applyAlignment="1">
      <alignment shrinkToFit="1"/>
    </xf>
    <xf numFmtId="0" fontId="0" fillId="0" borderId="21" xfId="0" applyBorder="1" applyAlignment="1">
      <alignment horizontal="left"/>
    </xf>
    <xf numFmtId="0" fontId="12" fillId="0" borderId="4" xfId="0" applyFont="1" applyBorder="1" applyAlignment="1">
      <alignment horizontal="left"/>
    </xf>
    <xf numFmtId="170" fontId="12" fillId="0" borderId="4" xfId="0" applyNumberFormat="1" applyFont="1" applyBorder="1"/>
    <xf numFmtId="0" fontId="0" fillId="0" borderId="17" xfId="0" applyBorder="1" applyAlignment="1">
      <alignment horizontal="left"/>
    </xf>
    <xf numFmtId="0" fontId="4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right"/>
    </xf>
    <xf numFmtId="2" fontId="7" fillId="3" borderId="1" xfId="0" applyNumberFormat="1" applyFont="1" applyFill="1" applyBorder="1" applyAlignment="1">
      <alignment horizontal="center"/>
    </xf>
    <xf numFmtId="0" fontId="12" fillId="4" borderId="3" xfId="0" applyFont="1" applyFill="1" applyBorder="1" applyAlignment="1">
      <alignment horizontal="center"/>
    </xf>
    <xf numFmtId="0" fontId="0" fillId="4" borderId="2" xfId="0" applyNumberFormat="1" applyFont="1" applyFill="1" applyBorder="1" applyAlignment="1">
      <alignment horizontal="right"/>
    </xf>
    <xf numFmtId="0" fontId="4" fillId="3" borderId="22" xfId="0" applyFont="1" applyFill="1" applyBorder="1"/>
    <xf numFmtId="0" fontId="4" fillId="3" borderId="21" xfId="0" applyFont="1" applyFill="1" applyBorder="1"/>
    <xf numFmtId="0" fontId="4" fillId="3" borderId="23" xfId="0" applyFont="1" applyFill="1" applyBorder="1"/>
    <xf numFmtId="0" fontId="4" fillId="3" borderId="5" xfId="0" applyFont="1" applyFill="1" applyBorder="1"/>
    <xf numFmtId="0" fontId="20" fillId="3" borderId="5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left"/>
    </xf>
    <xf numFmtId="2" fontId="0" fillId="0" borderId="22" xfId="0" applyNumberFormat="1" applyFill="1" applyBorder="1" applyAlignment="1">
      <alignment horizontal="center"/>
    </xf>
    <xf numFmtId="2" fontId="0" fillId="0" borderId="21" xfId="0" applyNumberFormat="1" applyFill="1" applyBorder="1" applyAlignment="1">
      <alignment horizontal="center"/>
    </xf>
    <xf numFmtId="2" fontId="0" fillId="0" borderId="23" xfId="0" applyNumberFormat="1" applyFill="1" applyBorder="1" applyAlignment="1">
      <alignment horizontal="center"/>
    </xf>
    <xf numFmtId="2" fontId="0" fillId="0" borderId="5" xfId="0" applyNumberFormat="1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164" fontId="0" fillId="0" borderId="17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0" fontId="17" fillId="0" borderId="21" xfId="0" applyFont="1" applyFill="1" applyBorder="1" applyAlignment="1">
      <alignment horizontal="center" vertical="center"/>
    </xf>
    <xf numFmtId="0" fontId="17" fillId="0" borderId="17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164" fontId="0" fillId="0" borderId="5" xfId="0" applyNumberFormat="1" applyFill="1" applyBorder="1" applyAlignment="1">
      <alignment horizontal="center"/>
    </xf>
    <xf numFmtId="172" fontId="0" fillId="0" borderId="18" xfId="0" applyNumberFormat="1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19" xfId="0" applyNumberFormat="1" applyFill="1" applyBorder="1" applyAlignment="1">
      <alignment horizontal="center"/>
    </xf>
    <xf numFmtId="164" fontId="0" fillId="0" borderId="20" xfId="0" applyNumberFormat="1" applyFill="1" applyBorder="1" applyAlignment="1">
      <alignment horizontal="center"/>
    </xf>
    <xf numFmtId="0" fontId="0" fillId="10" borderId="4" xfId="0" applyNumberFormat="1" applyFill="1" applyBorder="1" applyAlignment="1">
      <alignment horizontal="center"/>
    </xf>
    <xf numFmtId="0" fontId="0" fillId="4" borderId="3" xfId="0" applyNumberFormat="1" applyFill="1" applyBorder="1" applyAlignment="1">
      <alignment horizontal="center"/>
    </xf>
    <xf numFmtId="0" fontId="0" fillId="4" borderId="4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165" fontId="0" fillId="0" borderId="5" xfId="0" applyNumberFormat="1" applyFont="1" applyFill="1" applyBorder="1" applyAlignment="1">
      <alignment horizontal="center"/>
    </xf>
    <xf numFmtId="0" fontId="0" fillId="0" borderId="18" xfId="0" applyNumberFormat="1" applyFont="1" applyFill="1" applyBorder="1" applyAlignment="1">
      <alignment horizontal="center"/>
    </xf>
    <xf numFmtId="165" fontId="0" fillId="0" borderId="5" xfId="0" applyNumberFormat="1" applyFont="1" applyFill="1" applyBorder="1" applyAlignment="1">
      <alignment horizontal="center" shrinkToFit="1"/>
    </xf>
    <xf numFmtId="165" fontId="18" fillId="0" borderId="5" xfId="0" applyNumberFormat="1" applyFont="1" applyFill="1" applyBorder="1" applyAlignment="1">
      <alignment horizontal="center" shrinkToFit="1"/>
    </xf>
    <xf numFmtId="165" fontId="0" fillId="0" borderId="19" xfId="0" applyNumberFormat="1" applyFont="1" applyFill="1" applyBorder="1" applyAlignment="1">
      <alignment horizontal="center" shrinkToFit="1"/>
    </xf>
    <xf numFmtId="0" fontId="3" fillId="0" borderId="22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2" fontId="0" fillId="0" borderId="18" xfId="0" applyNumberFormat="1" applyFont="1" applyFill="1" applyBorder="1" applyAlignment="1">
      <alignment horizontal="center" shrinkToFit="1"/>
    </xf>
    <xf numFmtId="2" fontId="0" fillId="0" borderId="20" xfId="0" applyNumberFormat="1" applyFont="1" applyFill="1" applyBorder="1" applyAlignment="1">
      <alignment horizontal="center" shrinkToFit="1"/>
    </xf>
    <xf numFmtId="0" fontId="18" fillId="4" borderId="3" xfId="2" applyNumberFormat="1" applyFont="1" applyFill="1" applyBorder="1" applyAlignment="1">
      <alignment horizontal="right"/>
    </xf>
    <xf numFmtId="171" fontId="17" fillId="0" borderId="22" xfId="0" applyNumberFormat="1" applyFont="1" applyFill="1" applyBorder="1" applyAlignment="1">
      <alignment horizontal="center"/>
    </xf>
    <xf numFmtId="171" fontId="17" fillId="0" borderId="23" xfId="0" applyNumberFormat="1" applyFont="1" applyFill="1" applyBorder="1" applyAlignment="1">
      <alignment horizontal="center"/>
    </xf>
    <xf numFmtId="0" fontId="0" fillId="0" borderId="5" xfId="0" applyNumberFormat="1" applyFont="1" applyFill="1" applyBorder="1" applyAlignment="1">
      <alignment horizontal="center"/>
    </xf>
    <xf numFmtId="165" fontId="0" fillId="0" borderId="5" xfId="1" applyNumberFormat="1" applyFont="1" applyFill="1" applyBorder="1" applyAlignment="1">
      <alignment horizontal="center" shrinkToFit="1"/>
    </xf>
    <xf numFmtId="165" fontId="0" fillId="0" borderId="19" xfId="1" applyNumberFormat="1" applyFont="1" applyFill="1" applyBorder="1" applyAlignment="1">
      <alignment horizontal="center" shrinkToFit="1"/>
    </xf>
    <xf numFmtId="0" fontId="0" fillId="4" borderId="3" xfId="0" applyNumberFormat="1" applyFont="1" applyFill="1" applyBorder="1" applyAlignment="1">
      <alignment horizontal="right"/>
    </xf>
    <xf numFmtId="9" fontId="0" fillId="9" borderId="6" xfId="3" applyFont="1" applyFill="1" applyBorder="1" applyAlignment="1">
      <alignment horizontal="center"/>
    </xf>
    <xf numFmtId="0" fontId="4" fillId="3" borderId="0" xfId="0" applyFont="1" applyFill="1" applyAlignment="1">
      <alignment horizontal="left" indent="1"/>
    </xf>
    <xf numFmtId="0" fontId="0" fillId="0" borderId="0" xfId="0" applyFont="1" applyFill="1" applyBorder="1" applyAlignment="1">
      <alignment horizontal="center"/>
    </xf>
    <xf numFmtId="2" fontId="0" fillId="9" borderId="6" xfId="0" applyNumberFormat="1" applyFill="1" applyBorder="1" applyAlignment="1">
      <alignment horizontal="center"/>
    </xf>
    <xf numFmtId="0" fontId="7" fillId="0" borderId="0" xfId="0" applyFont="1" applyAlignment="1">
      <alignment horizontal="center" shrinkToFit="1"/>
    </xf>
    <xf numFmtId="0" fontId="7" fillId="0" borderId="0" xfId="0" applyFont="1" applyAlignment="1">
      <alignment shrinkToFit="1"/>
    </xf>
    <xf numFmtId="0" fontId="0" fillId="0" borderId="0" xfId="0" applyFont="1" applyAlignment="1">
      <alignment shrinkToFit="1"/>
    </xf>
    <xf numFmtId="2" fontId="0" fillId="4" borderId="2" xfId="0" applyNumberFormat="1" applyFill="1" applyBorder="1" applyAlignment="1">
      <alignment horizontal="center"/>
    </xf>
    <xf numFmtId="2" fontId="0" fillId="4" borderId="4" xfId="0" applyNumberFormat="1" applyFill="1" applyBorder="1" applyAlignment="1">
      <alignment horizontal="center"/>
    </xf>
    <xf numFmtId="0" fontId="0" fillId="4" borderId="0" xfId="0" applyFill="1" applyBorder="1" applyAlignment="1">
      <alignment horizontal="left"/>
    </xf>
    <xf numFmtId="165" fontId="7" fillId="4" borderId="0" xfId="0" applyNumberFormat="1" applyFont="1" applyFill="1" applyAlignment="1">
      <alignment horizontal="center"/>
    </xf>
    <xf numFmtId="9" fontId="7" fillId="4" borderId="0" xfId="3" applyFont="1" applyFill="1" applyAlignment="1">
      <alignment horizontal="center"/>
    </xf>
    <xf numFmtId="167" fontId="7" fillId="4" borderId="0" xfId="3" applyNumberFormat="1" applyFont="1" applyFill="1" applyAlignment="1">
      <alignment horizontal="center"/>
    </xf>
    <xf numFmtId="0" fontId="0" fillId="0" borderId="24" xfId="0" applyBorder="1"/>
    <xf numFmtId="9" fontId="0" fillId="0" borderId="0" xfId="3" applyFont="1"/>
    <xf numFmtId="0" fontId="0" fillId="4" borderId="0" xfId="0" applyFont="1" applyFill="1"/>
    <xf numFmtId="2" fontId="0" fillId="0" borderId="0" xfId="0" applyNumberFormat="1"/>
    <xf numFmtId="166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/>
    </xf>
    <xf numFmtId="10" fontId="0" fillId="4" borderId="2" xfId="3" applyNumberFormat="1" applyFont="1" applyFill="1" applyBorder="1"/>
    <xf numFmtId="10" fontId="0" fillId="4" borderId="4" xfId="3" applyNumberFormat="1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4" borderId="0" xfId="0" applyFill="1" applyAlignment="1">
      <alignment horizontal="center"/>
    </xf>
    <xf numFmtId="0" fontId="0" fillId="12" borderId="5" xfId="0" applyFill="1" applyBorder="1"/>
    <xf numFmtId="0" fontId="0" fillId="12" borderId="0" xfId="0" applyFill="1" applyBorder="1"/>
    <xf numFmtId="0" fontId="4" fillId="11" borderId="0" xfId="0" applyFont="1" applyFill="1" applyAlignment="1">
      <alignment horizontal="left" indent="1"/>
    </xf>
    <xf numFmtId="0" fontId="4" fillId="11" borderId="0" xfId="0" applyFont="1" applyFill="1" applyAlignment="1"/>
    <xf numFmtId="0" fontId="0" fillId="4" borderId="0" xfId="0" applyFont="1" applyFill="1" applyBorder="1" applyAlignment="1">
      <alignment horizontal="center"/>
    </xf>
    <xf numFmtId="1" fontId="7" fillId="0" borderId="0" xfId="0" applyNumberFormat="1" applyFont="1" applyFill="1" applyBorder="1" applyAlignment="1">
      <alignment horizontal="center"/>
    </xf>
    <xf numFmtId="9" fontId="0" fillId="0" borderId="0" xfId="3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0" fillId="9" borderId="6" xfId="0" applyNumberFormat="1" applyFill="1" applyBorder="1"/>
    <xf numFmtId="0" fontId="7" fillId="0" borderId="0" xfId="0" applyNumberFormat="1" applyFont="1" applyFill="1" applyBorder="1" applyAlignment="1">
      <alignment horizontal="center"/>
    </xf>
    <xf numFmtId="0" fontId="0" fillId="0" borderId="0" xfId="3" applyNumberFormat="1" applyFont="1" applyFill="1" applyBorder="1" applyAlignment="1">
      <alignment horizontal="center"/>
    </xf>
    <xf numFmtId="0" fontId="0" fillId="3" borderId="0" xfId="0" applyFont="1" applyFill="1"/>
    <xf numFmtId="0" fontId="4" fillId="3" borderId="0" xfId="0" applyFont="1" applyFill="1" applyAlignment="1">
      <alignment horizontal="right" indent="1"/>
    </xf>
    <xf numFmtId="0" fontId="4" fillId="2" borderId="25" xfId="0" applyFont="1" applyFill="1" applyBorder="1"/>
    <xf numFmtId="0" fontId="0" fillId="0" borderId="25" xfId="0" applyBorder="1"/>
    <xf numFmtId="0" fontId="4" fillId="8" borderId="24" xfId="0" applyFont="1" applyFill="1" applyBorder="1"/>
    <xf numFmtId="0" fontId="0" fillId="0" borderId="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4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right"/>
    </xf>
    <xf numFmtId="170" fontId="0" fillId="0" borderId="0" xfId="0" applyNumberFormat="1" applyFont="1" applyBorder="1" applyAlignment="1">
      <alignment horizontal="center"/>
    </xf>
    <xf numFmtId="165" fontId="0" fillId="9" borderId="6" xfId="0" applyNumberFormat="1" applyFill="1" applyBorder="1" applyAlignment="1">
      <alignment horizontal="center"/>
    </xf>
    <xf numFmtId="10" fontId="0" fillId="0" borderId="0" xfId="0" applyNumberFormat="1" applyAlignment="1">
      <alignment horizontal="center"/>
    </xf>
    <xf numFmtId="0" fontId="7" fillId="4" borderId="0" xfId="0" applyFont="1" applyFill="1" applyAlignment="1">
      <alignment horizontal="center"/>
    </xf>
    <xf numFmtId="166" fontId="4" fillId="2" borderId="0" xfId="0" applyNumberFormat="1" applyFont="1" applyFill="1" applyAlignment="1">
      <alignment horizontal="center"/>
    </xf>
    <xf numFmtId="165" fontId="4" fillId="2" borderId="0" xfId="0" applyNumberFormat="1" applyFont="1" applyFill="1" applyAlignment="1">
      <alignment horizontal="center"/>
    </xf>
    <xf numFmtId="166" fontId="0" fillId="9" borderId="6" xfId="0" applyNumberFormat="1" applyFill="1" applyBorder="1" applyAlignment="1">
      <alignment horizontal="center"/>
    </xf>
    <xf numFmtId="167" fontId="0" fillId="9" borderId="6" xfId="0" applyNumberFormat="1" applyFill="1" applyBorder="1" applyAlignment="1">
      <alignment horizontal="center"/>
    </xf>
    <xf numFmtId="166" fontId="4" fillId="8" borderId="0" xfId="0" applyNumberFormat="1" applyFont="1" applyFill="1" applyAlignment="1">
      <alignment horizontal="center"/>
    </xf>
    <xf numFmtId="165" fontId="4" fillId="8" borderId="0" xfId="0" applyNumberFormat="1" applyFont="1" applyFill="1" applyAlignment="1">
      <alignment horizontal="center"/>
    </xf>
    <xf numFmtId="2" fontId="0" fillId="4" borderId="0" xfId="0" applyNumberFormat="1" applyFill="1" applyBorder="1" applyAlignment="1">
      <alignment horizontal="center"/>
    </xf>
    <xf numFmtId="165" fontId="0" fillId="4" borderId="13" xfId="0" applyNumberFormat="1" applyFill="1" applyBorder="1" applyAlignment="1">
      <alignment horizontal="center"/>
    </xf>
    <xf numFmtId="2" fontId="0" fillId="4" borderId="13" xfId="0" applyNumberFormat="1" applyFill="1" applyBorder="1" applyAlignment="1">
      <alignment horizontal="center"/>
    </xf>
    <xf numFmtId="165" fontId="0" fillId="4" borderId="11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2" fontId="0" fillId="0" borderId="0" xfId="3" applyNumberFormat="1" applyFont="1" applyAlignment="1">
      <alignment horizontal="center"/>
    </xf>
    <xf numFmtId="0" fontId="25" fillId="2" borderId="0" xfId="0" applyFont="1" applyFill="1" applyAlignment="1">
      <alignment horizontal="center"/>
    </xf>
    <xf numFmtId="0" fontId="25" fillId="8" borderId="0" xfId="0" applyFont="1" applyFill="1" applyAlignment="1">
      <alignment horizontal="center"/>
    </xf>
    <xf numFmtId="175" fontId="0" fillId="0" borderId="0" xfId="0" applyNumberFormat="1" applyAlignment="1">
      <alignment horizont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1" fontId="9" fillId="4" borderId="0" xfId="0" applyNumberFormat="1" applyFont="1" applyFill="1" applyBorder="1" applyAlignment="1">
      <alignment horizontal="center" wrapText="1"/>
    </xf>
    <xf numFmtId="0" fontId="16" fillId="0" borderId="21" xfId="0" applyFont="1" applyFill="1" applyBorder="1" applyAlignment="1">
      <alignment horizontal="center" vertical="center" wrapText="1"/>
    </xf>
    <xf numFmtId="0" fontId="16" fillId="0" borderId="17" xfId="0" applyFont="1" applyFill="1" applyBorder="1" applyAlignment="1">
      <alignment horizontal="center" vertical="center" wrapText="1"/>
    </xf>
    <xf numFmtId="0" fontId="16" fillId="0" borderId="22" xfId="0" applyFont="1" applyFill="1" applyBorder="1" applyAlignment="1">
      <alignment horizontal="center" vertical="center" wrapText="1"/>
    </xf>
    <xf numFmtId="0" fontId="16" fillId="0" borderId="19" xfId="0" applyFont="1" applyFill="1" applyBorder="1" applyAlignment="1">
      <alignment horizontal="center" vertical="center" wrapText="1"/>
    </xf>
    <xf numFmtId="0" fontId="16" fillId="0" borderId="23" xfId="0" applyFont="1" applyFill="1" applyBorder="1" applyAlignment="1">
      <alignment horizontal="center" vertical="center" wrapText="1"/>
    </xf>
    <xf numFmtId="0" fontId="16" fillId="0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19" xfId="0" applyFont="1" applyFill="1" applyBorder="1" applyAlignment="1">
      <alignment horizontal="center"/>
    </xf>
    <xf numFmtId="0" fontId="0" fillId="0" borderId="23" xfId="0" applyFont="1" applyFill="1" applyBorder="1" applyAlignment="1">
      <alignment horizontal="center"/>
    </xf>
    <xf numFmtId="0" fontId="0" fillId="0" borderId="18" xfId="0" applyFont="1" applyFill="1" applyBorder="1" applyAlignment="1">
      <alignment horizontal="center"/>
    </xf>
    <xf numFmtId="0" fontId="0" fillId="0" borderId="20" xfId="0" applyFont="1" applyFill="1" applyBorder="1" applyAlignment="1">
      <alignment horizontal="center"/>
    </xf>
    <xf numFmtId="0" fontId="0" fillId="0" borderId="2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17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5" xfId="0" applyFill="1" applyBorder="1"/>
    <xf numFmtId="0" fontId="0" fillId="0" borderId="18" xfId="0" applyFill="1" applyBorder="1"/>
    <xf numFmtId="0" fontId="0" fillId="4" borderId="3" xfId="0" applyFill="1" applyBorder="1"/>
    <xf numFmtId="0" fontId="0" fillId="4" borderId="2" xfId="0" applyFill="1" applyBorder="1"/>
    <xf numFmtId="0" fontId="3" fillId="0" borderId="19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0" fillId="5" borderId="0" xfId="0" applyFont="1" applyFill="1" applyBorder="1"/>
    <xf numFmtId="0" fontId="4" fillId="5" borderId="0" xfId="0" applyFont="1" applyFill="1"/>
    <xf numFmtId="0" fontId="0" fillId="4" borderId="0" xfId="0" applyFont="1" applyFill="1" applyAlignment="1">
      <alignment horizontal="center"/>
    </xf>
    <xf numFmtId="0" fontId="4" fillId="5" borderId="0" xfId="0" applyFont="1" applyFill="1" applyBorder="1" applyAlignment="1">
      <alignment horizontal="right"/>
    </xf>
    <xf numFmtId="0" fontId="0" fillId="4" borderId="5" xfId="0" applyFont="1" applyFill="1" applyBorder="1" applyAlignment="1">
      <alignment horizontal="center"/>
    </xf>
    <xf numFmtId="2" fontId="0" fillId="0" borderId="0" xfId="0" applyNumberFormat="1" applyFont="1" applyAlignment="1">
      <alignment horizontal="center"/>
    </xf>
    <xf numFmtId="165" fontId="0" fillId="0" borderId="5" xfId="0" applyNumberFormat="1" applyFont="1" applyBorder="1" applyAlignment="1">
      <alignment horizontal="center"/>
    </xf>
    <xf numFmtId="0" fontId="4" fillId="5" borderId="26" xfId="0" applyFont="1" applyFill="1" applyBorder="1"/>
    <xf numFmtId="2" fontId="0" fillId="0" borderId="5" xfId="0" applyNumberFormat="1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0" borderId="19" xfId="0" applyFon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165" fontId="0" fillId="0" borderId="21" xfId="0" applyNumberFormat="1" applyBorder="1" applyAlignment="1">
      <alignment horizontal="center"/>
    </xf>
    <xf numFmtId="165" fontId="18" fillId="0" borderId="0" xfId="0" applyNumberFormat="1" applyFont="1"/>
    <xf numFmtId="0" fontId="0" fillId="0" borderId="2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4" fillId="0" borderId="0" xfId="0" applyFont="1" applyFill="1"/>
    <xf numFmtId="0" fontId="10" fillId="0" borderId="0" xfId="0" applyFont="1"/>
    <xf numFmtId="2" fontId="0" fillId="0" borderId="28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0" fontId="9" fillId="0" borderId="27" xfId="0" applyFont="1" applyBorder="1" applyAlignment="1">
      <alignment horizontal="center"/>
    </xf>
    <xf numFmtId="180" fontId="0" fillId="0" borderId="5" xfId="0" applyNumberFormat="1" applyBorder="1" applyAlignment="1">
      <alignment horizontal="center"/>
    </xf>
    <xf numFmtId="0" fontId="0" fillId="4" borderId="30" xfId="0" applyFill="1" applyBorder="1"/>
    <xf numFmtId="0" fontId="0" fillId="0" borderId="30" xfId="0" applyBorder="1" applyAlignment="1">
      <alignment horizontal="center"/>
    </xf>
    <xf numFmtId="180" fontId="0" fillId="0" borderId="30" xfId="0" applyNumberFormat="1" applyBorder="1" applyAlignment="1">
      <alignment horizontal="center"/>
    </xf>
    <xf numFmtId="2" fontId="0" fillId="0" borderId="18" xfId="1" applyNumberFormat="1" applyFont="1" applyFill="1" applyBorder="1" applyAlignment="1">
      <alignment horizontal="center" shrinkToFit="1"/>
    </xf>
    <xf numFmtId="2" fontId="0" fillId="0" borderId="20" xfId="1" applyNumberFormat="1" applyFont="1" applyFill="1" applyBorder="1" applyAlignment="1">
      <alignment horizontal="center" shrinkToFit="1"/>
    </xf>
    <xf numFmtId="0" fontId="0" fillId="0" borderId="0" xfId="0" applyFill="1" applyBorder="1" applyAlignment="1"/>
    <xf numFmtId="0" fontId="0" fillId="0" borderId="31" xfId="0" applyFill="1" applyBorder="1" applyAlignment="1"/>
    <xf numFmtId="0" fontId="8" fillId="0" borderId="32" xfId="0" applyFont="1" applyFill="1" applyBorder="1" applyAlignment="1">
      <alignment horizontal="center"/>
    </xf>
    <xf numFmtId="0" fontId="8" fillId="0" borderId="32" xfId="0" applyFont="1" applyFill="1" applyBorder="1" applyAlignment="1">
      <alignment horizontal="centerContinuous"/>
    </xf>
    <xf numFmtId="165" fontId="9" fillId="0" borderId="0" xfId="0" applyNumberFormat="1" applyFont="1" applyAlignment="1">
      <alignment horizontal="center"/>
    </xf>
    <xf numFmtId="165" fontId="9" fillId="0" borderId="0" xfId="0" applyNumberFormat="1" applyFont="1"/>
  </cellXfs>
  <cellStyles count="5">
    <cellStyle name="Comma" xfId="1" builtinId="3"/>
    <cellStyle name="Currency" xfId="2" builtinId="4"/>
    <cellStyle name="Normal" xfId="0" builtinId="0"/>
    <cellStyle name="Normal 2" xfId="4" xr:uid="{00000000-0005-0000-0000-00002F000000}"/>
    <cellStyle name="Percent" xfId="3" builtinId="5"/>
  </cellStyles>
  <dxfs count="3">
    <dxf>
      <fill>
        <patternFill>
          <bgColor theme="0" tint="-4.9989318521683403E-2"/>
        </patternFill>
      </fill>
    </dxf>
    <dxf>
      <font>
        <color theme="0"/>
      </font>
    </dxf>
    <dxf>
      <font>
        <color theme="1"/>
      </font>
      <fill>
        <patternFill patternType="solid">
          <fgColor indexed="64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375564734735994E-2"/>
          <c:y val="8.5571607896839E-2"/>
          <c:w val="0.8319408962768543"/>
          <c:h val="0.697626383658565"/>
        </c:manualLayout>
      </c:layout>
      <c:scatterChart>
        <c:scatterStyle val="smoothMarker"/>
        <c:varyColors val="0"/>
        <c:ser>
          <c:idx val="1"/>
          <c:order val="0"/>
          <c:tx>
            <c:v>Pr_Cost-Effective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PSA!$J$16:$J$156</c:f>
              <c:numCache>
                <c:formatCode>"$"#,##0</c:formatCode>
                <c:ptCount val="14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6000</c:v>
                </c:pt>
                <c:pt idx="52">
                  <c:v>7000</c:v>
                </c:pt>
                <c:pt idx="53">
                  <c:v>8000</c:v>
                </c:pt>
                <c:pt idx="54">
                  <c:v>9000</c:v>
                </c:pt>
                <c:pt idx="55">
                  <c:v>10000</c:v>
                </c:pt>
                <c:pt idx="56">
                  <c:v>11000</c:v>
                </c:pt>
                <c:pt idx="57">
                  <c:v>12000</c:v>
                </c:pt>
                <c:pt idx="58">
                  <c:v>13000</c:v>
                </c:pt>
                <c:pt idx="59">
                  <c:v>14000</c:v>
                </c:pt>
                <c:pt idx="60">
                  <c:v>15000</c:v>
                </c:pt>
                <c:pt idx="61">
                  <c:v>16000</c:v>
                </c:pt>
                <c:pt idx="62">
                  <c:v>17000</c:v>
                </c:pt>
                <c:pt idx="63">
                  <c:v>18000</c:v>
                </c:pt>
                <c:pt idx="64">
                  <c:v>19000</c:v>
                </c:pt>
                <c:pt idx="65">
                  <c:v>20000</c:v>
                </c:pt>
                <c:pt idx="66">
                  <c:v>21000</c:v>
                </c:pt>
                <c:pt idx="67">
                  <c:v>22000</c:v>
                </c:pt>
                <c:pt idx="68">
                  <c:v>23000</c:v>
                </c:pt>
                <c:pt idx="69">
                  <c:v>24000</c:v>
                </c:pt>
                <c:pt idx="70">
                  <c:v>25000</c:v>
                </c:pt>
                <c:pt idx="71">
                  <c:v>27500</c:v>
                </c:pt>
                <c:pt idx="72">
                  <c:v>30000</c:v>
                </c:pt>
                <c:pt idx="73">
                  <c:v>32500</c:v>
                </c:pt>
                <c:pt idx="74">
                  <c:v>35000</c:v>
                </c:pt>
                <c:pt idx="75">
                  <c:v>37500</c:v>
                </c:pt>
                <c:pt idx="76">
                  <c:v>40000</c:v>
                </c:pt>
                <c:pt idx="77">
                  <c:v>42500</c:v>
                </c:pt>
                <c:pt idx="78">
                  <c:v>45000</c:v>
                </c:pt>
                <c:pt idx="79">
                  <c:v>47500</c:v>
                </c:pt>
                <c:pt idx="80">
                  <c:v>50000</c:v>
                </c:pt>
                <c:pt idx="81">
                  <c:v>52500</c:v>
                </c:pt>
                <c:pt idx="82">
                  <c:v>55000</c:v>
                </c:pt>
                <c:pt idx="83">
                  <c:v>57500</c:v>
                </c:pt>
                <c:pt idx="84">
                  <c:v>60000</c:v>
                </c:pt>
                <c:pt idx="85">
                  <c:v>62500</c:v>
                </c:pt>
                <c:pt idx="86">
                  <c:v>65000</c:v>
                </c:pt>
                <c:pt idx="87">
                  <c:v>67500</c:v>
                </c:pt>
                <c:pt idx="88">
                  <c:v>70000</c:v>
                </c:pt>
                <c:pt idx="89">
                  <c:v>72500</c:v>
                </c:pt>
                <c:pt idx="90">
                  <c:v>75000</c:v>
                </c:pt>
                <c:pt idx="91">
                  <c:v>77500</c:v>
                </c:pt>
                <c:pt idx="92">
                  <c:v>80000</c:v>
                </c:pt>
                <c:pt idx="93">
                  <c:v>82500</c:v>
                </c:pt>
                <c:pt idx="94">
                  <c:v>85000</c:v>
                </c:pt>
                <c:pt idx="95">
                  <c:v>87500</c:v>
                </c:pt>
                <c:pt idx="96">
                  <c:v>90000</c:v>
                </c:pt>
                <c:pt idx="97">
                  <c:v>92500</c:v>
                </c:pt>
                <c:pt idx="98">
                  <c:v>95000</c:v>
                </c:pt>
                <c:pt idx="99">
                  <c:v>97500</c:v>
                </c:pt>
                <c:pt idx="100">
                  <c:v>100000</c:v>
                </c:pt>
                <c:pt idx="101">
                  <c:v>102500</c:v>
                </c:pt>
                <c:pt idx="102">
                  <c:v>105000</c:v>
                </c:pt>
                <c:pt idx="103">
                  <c:v>107500</c:v>
                </c:pt>
                <c:pt idx="104">
                  <c:v>110000</c:v>
                </c:pt>
                <c:pt idx="105">
                  <c:v>112500</c:v>
                </c:pt>
                <c:pt idx="106">
                  <c:v>115000</c:v>
                </c:pt>
                <c:pt idx="107">
                  <c:v>117500</c:v>
                </c:pt>
                <c:pt idx="108">
                  <c:v>120000</c:v>
                </c:pt>
                <c:pt idx="109">
                  <c:v>122500</c:v>
                </c:pt>
                <c:pt idx="110">
                  <c:v>125000</c:v>
                </c:pt>
                <c:pt idx="111">
                  <c:v>127500</c:v>
                </c:pt>
                <c:pt idx="112">
                  <c:v>130000</c:v>
                </c:pt>
                <c:pt idx="113">
                  <c:v>132500</c:v>
                </c:pt>
                <c:pt idx="114">
                  <c:v>135000</c:v>
                </c:pt>
                <c:pt idx="115">
                  <c:v>137500</c:v>
                </c:pt>
                <c:pt idx="116">
                  <c:v>140000</c:v>
                </c:pt>
                <c:pt idx="117">
                  <c:v>142500</c:v>
                </c:pt>
                <c:pt idx="118">
                  <c:v>145000</c:v>
                </c:pt>
                <c:pt idx="119">
                  <c:v>147500</c:v>
                </c:pt>
                <c:pt idx="120">
                  <c:v>150000</c:v>
                </c:pt>
                <c:pt idx="121">
                  <c:v>152500</c:v>
                </c:pt>
                <c:pt idx="122">
                  <c:v>155000</c:v>
                </c:pt>
                <c:pt idx="123">
                  <c:v>157500</c:v>
                </c:pt>
                <c:pt idx="124">
                  <c:v>160000</c:v>
                </c:pt>
                <c:pt idx="125">
                  <c:v>162500</c:v>
                </c:pt>
                <c:pt idx="126">
                  <c:v>165000</c:v>
                </c:pt>
                <c:pt idx="127">
                  <c:v>167500</c:v>
                </c:pt>
                <c:pt idx="128">
                  <c:v>170000</c:v>
                </c:pt>
                <c:pt idx="129">
                  <c:v>172500</c:v>
                </c:pt>
                <c:pt idx="130">
                  <c:v>175000</c:v>
                </c:pt>
                <c:pt idx="131">
                  <c:v>177500</c:v>
                </c:pt>
                <c:pt idx="132">
                  <c:v>180000</c:v>
                </c:pt>
                <c:pt idx="133">
                  <c:v>182500</c:v>
                </c:pt>
                <c:pt idx="134">
                  <c:v>185000</c:v>
                </c:pt>
                <c:pt idx="135">
                  <c:v>187500</c:v>
                </c:pt>
                <c:pt idx="136">
                  <c:v>190000</c:v>
                </c:pt>
                <c:pt idx="137">
                  <c:v>192500</c:v>
                </c:pt>
                <c:pt idx="138">
                  <c:v>195000</c:v>
                </c:pt>
                <c:pt idx="139">
                  <c:v>197500</c:v>
                </c:pt>
                <c:pt idx="140">
                  <c:v>200000</c:v>
                </c:pt>
              </c:numCache>
            </c:numRef>
          </c:xVal>
          <c:yVal>
            <c:numRef>
              <c:f>PSA!$L$16:$L$156</c:f>
              <c:numCache>
                <c:formatCode>General</c:formatCode>
                <c:ptCount val="14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0.999</c:v>
                </c:pt>
                <c:pt idx="74">
                  <c:v>0.998</c:v>
                </c:pt>
                <c:pt idx="75">
                  <c:v>0.998</c:v>
                </c:pt>
                <c:pt idx="76">
                  <c:v>0.997</c:v>
                </c:pt>
                <c:pt idx="77">
                  <c:v>0.997</c:v>
                </c:pt>
                <c:pt idx="78">
                  <c:v>0.996</c:v>
                </c:pt>
                <c:pt idx="79">
                  <c:v>0.995</c:v>
                </c:pt>
                <c:pt idx="80">
                  <c:v>0.99399999999999999</c:v>
                </c:pt>
                <c:pt idx="81">
                  <c:v>0.99199999999999999</c:v>
                </c:pt>
                <c:pt idx="82">
                  <c:v>0.99</c:v>
                </c:pt>
                <c:pt idx="83">
                  <c:v>0.98799999999999999</c:v>
                </c:pt>
                <c:pt idx="84">
                  <c:v>0.98499999999999999</c:v>
                </c:pt>
                <c:pt idx="85">
                  <c:v>0.98499999999999999</c:v>
                </c:pt>
                <c:pt idx="86">
                  <c:v>0.98299999999999998</c:v>
                </c:pt>
                <c:pt idx="87">
                  <c:v>0.98199999999999998</c:v>
                </c:pt>
                <c:pt idx="88">
                  <c:v>0.98</c:v>
                </c:pt>
                <c:pt idx="89">
                  <c:v>0.97799999999999998</c:v>
                </c:pt>
                <c:pt idx="90">
                  <c:v>0.97599999999999998</c:v>
                </c:pt>
                <c:pt idx="91">
                  <c:v>0.97499999999999998</c:v>
                </c:pt>
                <c:pt idx="92">
                  <c:v>0.97199999999999998</c:v>
                </c:pt>
                <c:pt idx="93">
                  <c:v>0.97199999999999998</c:v>
                </c:pt>
                <c:pt idx="94">
                  <c:v>0.96899999999999997</c:v>
                </c:pt>
                <c:pt idx="95">
                  <c:v>0.96599999999999997</c:v>
                </c:pt>
                <c:pt idx="96">
                  <c:v>0.96399999999999997</c:v>
                </c:pt>
                <c:pt idx="97">
                  <c:v>0.96299999999999997</c:v>
                </c:pt>
                <c:pt idx="98">
                  <c:v>0.96299999999999997</c:v>
                </c:pt>
                <c:pt idx="99">
                  <c:v>0.96199999999999997</c:v>
                </c:pt>
                <c:pt idx="100">
                  <c:v>0.96099999999999997</c:v>
                </c:pt>
                <c:pt idx="101">
                  <c:v>0.96</c:v>
                </c:pt>
                <c:pt idx="102">
                  <c:v>0.95799999999999996</c:v>
                </c:pt>
                <c:pt idx="103">
                  <c:v>0.95599999999999996</c:v>
                </c:pt>
                <c:pt idx="104">
                  <c:v>0.95599999999999996</c:v>
                </c:pt>
                <c:pt idx="105">
                  <c:v>0.95599999999999996</c:v>
                </c:pt>
                <c:pt idx="106">
                  <c:v>0.95499999999999996</c:v>
                </c:pt>
                <c:pt idx="107">
                  <c:v>0.95399999999999996</c:v>
                </c:pt>
                <c:pt idx="108">
                  <c:v>0.95199999999999996</c:v>
                </c:pt>
                <c:pt idx="109">
                  <c:v>0.95</c:v>
                </c:pt>
                <c:pt idx="110">
                  <c:v>0.94899999999999995</c:v>
                </c:pt>
                <c:pt idx="111">
                  <c:v>0.94799999999999995</c:v>
                </c:pt>
                <c:pt idx="112">
                  <c:v>0.94599999999999995</c:v>
                </c:pt>
                <c:pt idx="113">
                  <c:v>0.94399999999999995</c:v>
                </c:pt>
                <c:pt idx="114">
                  <c:v>0.94299999999999995</c:v>
                </c:pt>
                <c:pt idx="115">
                  <c:v>0.94199999999999995</c:v>
                </c:pt>
                <c:pt idx="116">
                  <c:v>0.94099999999999995</c:v>
                </c:pt>
                <c:pt idx="117">
                  <c:v>0.93899999999999995</c:v>
                </c:pt>
                <c:pt idx="118">
                  <c:v>0.93899999999999995</c:v>
                </c:pt>
                <c:pt idx="119">
                  <c:v>0.93700000000000006</c:v>
                </c:pt>
                <c:pt idx="120">
                  <c:v>0.93400000000000005</c:v>
                </c:pt>
                <c:pt idx="121">
                  <c:v>0.93400000000000005</c:v>
                </c:pt>
                <c:pt idx="122">
                  <c:v>0.93200000000000005</c:v>
                </c:pt>
                <c:pt idx="123">
                  <c:v>0.93200000000000005</c:v>
                </c:pt>
                <c:pt idx="124">
                  <c:v>0.93200000000000005</c:v>
                </c:pt>
                <c:pt idx="125">
                  <c:v>0.93100000000000005</c:v>
                </c:pt>
                <c:pt idx="126">
                  <c:v>0.93100000000000005</c:v>
                </c:pt>
                <c:pt idx="127">
                  <c:v>0.93</c:v>
                </c:pt>
                <c:pt idx="128">
                  <c:v>0.92900000000000005</c:v>
                </c:pt>
                <c:pt idx="129">
                  <c:v>0.92800000000000005</c:v>
                </c:pt>
                <c:pt idx="130">
                  <c:v>0.92800000000000005</c:v>
                </c:pt>
                <c:pt idx="131">
                  <c:v>0.92600000000000005</c:v>
                </c:pt>
                <c:pt idx="132">
                  <c:v>0.92600000000000005</c:v>
                </c:pt>
                <c:pt idx="133">
                  <c:v>0.92600000000000005</c:v>
                </c:pt>
                <c:pt idx="134">
                  <c:v>0.92600000000000005</c:v>
                </c:pt>
                <c:pt idx="135">
                  <c:v>0.92400000000000004</c:v>
                </c:pt>
                <c:pt idx="136">
                  <c:v>0.92400000000000004</c:v>
                </c:pt>
                <c:pt idx="137">
                  <c:v>0.92400000000000004</c:v>
                </c:pt>
                <c:pt idx="138">
                  <c:v>0.92200000000000004</c:v>
                </c:pt>
                <c:pt idx="139">
                  <c:v>0.92200000000000004</c:v>
                </c:pt>
                <c:pt idx="140">
                  <c:v>0.92100000000000004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C2-48A8-906D-AAF60B144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006520"/>
        <c:axId val="40300612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ICER</c:v>
                </c:tx>
                <c:marker>
                  <c:symbol val="none"/>
                </c:marker>
                <c:dPt>
                  <c:idx val="0"/>
                  <c:marker>
                    <c:symbol val="circle"/>
                    <c:size val="8"/>
                    <c:spPr>
                      <a:solidFill>
                        <a:schemeClr val="tx2"/>
                      </a:solidFill>
                      <a:ln>
                        <a:noFill/>
                      </a:ln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1-9CC2-48A8-906D-AAF60B144579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wrap="square" lIns="38100" tIns="19050" rIns="38100" bIns="19050" anchor="ctr">
                        <a:spAutoFit/>
                      </a:bodyPr>
                      <a:lstStyle/>
                      <a:p>
                        <a:pPr>
                          <a:defRPr b="1">
                            <a:solidFill>
                              <a:schemeClr val="tx1"/>
                            </a:solidFill>
                          </a:defRPr>
                        </a:pPr>
                        <a:endParaRPr lang="en-US"/>
                      </a:p>
                    </c:txPr>
                    <c:showLegendKey val="0"/>
                    <c:showVal val="0"/>
                    <c:showCatName val="1"/>
                    <c:showSerName val="1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1-9CC2-48A8-906D-AAF60B144579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1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PSA!$L$12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-93816.824882527711</c:v>
                      </c:pt>
                    </c:numCache>
                  </c:numRef>
                </c:xVal>
                <c:yVal>
                  <c:numLit>
                    <c:formatCode>General</c:formatCode>
                    <c:ptCount val="1"/>
                    <c:pt idx="0">
                      <c:v>0.5</c:v>
                    </c:pt>
                  </c:numLit>
                </c:yVal>
                <c:smooth val="1"/>
                <c:extLst>
                  <c:ext xmlns:c16="http://schemas.microsoft.com/office/drawing/2014/chart" uri="{C3380CC4-5D6E-409C-BE32-E72D297353CC}">
                    <c16:uniqueId val="{00000002-9CC2-48A8-906D-AAF60B144579}"/>
                  </c:ext>
                </c:extLst>
              </c15:ser>
            </c15:filteredScatterSeries>
          </c:ext>
        </c:extLst>
      </c:scatterChart>
      <c:valAx>
        <c:axId val="403006520"/>
        <c:scaling>
          <c:orientation val="minMax"/>
          <c:max val="200000"/>
        </c:scaling>
        <c:delete val="0"/>
        <c:axPos val="b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numFmt formatCode="&quot;$&quot;#,##0,&quot;K&quot;" sourceLinked="0"/>
        <c:majorTickMark val="out"/>
        <c:minorTickMark val="none"/>
        <c:tickLblPos val="nextTo"/>
        <c:txPr>
          <a:bodyPr rot="-1980000"/>
          <a:lstStyle/>
          <a:p>
            <a:pPr>
              <a:defRPr>
                <a:latin typeface="Arial"/>
                <a:cs typeface="Arial"/>
              </a:defRPr>
            </a:pPr>
            <a:endParaRPr lang="en-US"/>
          </a:p>
        </c:txPr>
        <c:crossAx val="403006128"/>
        <c:crosses val="autoZero"/>
        <c:crossBetween val="midCat"/>
        <c:majorUnit val="25000"/>
      </c:valAx>
      <c:valAx>
        <c:axId val="403006128"/>
        <c:scaling>
          <c:orientation val="minMax"/>
          <c:max val="1.01"/>
          <c:min val="0"/>
        </c:scaling>
        <c:delete val="0"/>
        <c:axPos val="l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/>
                <a:cs typeface="Arial"/>
              </a:defRPr>
            </a:pPr>
            <a:endParaRPr lang="en-US"/>
          </a:p>
        </c:txPr>
        <c:crossAx val="403006520"/>
        <c:crosses val="autoZero"/>
        <c:crossBetween val="midCat"/>
        <c:majorUnit val="0.1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306203546987"/>
          <c:y val="0.13365074365704299"/>
          <c:w val="0.84178661662619303"/>
          <c:h val="0.65190516185476799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VOI!$B$6:$B$154</c:f>
              <c:numCache>
                <c:formatCode>"$"#,##0</c:formatCode>
                <c:ptCount val="14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6000</c:v>
                </c:pt>
                <c:pt idx="52">
                  <c:v>7000</c:v>
                </c:pt>
                <c:pt idx="53">
                  <c:v>8000</c:v>
                </c:pt>
                <c:pt idx="54">
                  <c:v>9000</c:v>
                </c:pt>
                <c:pt idx="55">
                  <c:v>10000</c:v>
                </c:pt>
                <c:pt idx="56">
                  <c:v>11000</c:v>
                </c:pt>
                <c:pt idx="57">
                  <c:v>12000</c:v>
                </c:pt>
                <c:pt idx="58">
                  <c:v>13000</c:v>
                </c:pt>
                <c:pt idx="59">
                  <c:v>14000</c:v>
                </c:pt>
                <c:pt idx="60">
                  <c:v>15000</c:v>
                </c:pt>
                <c:pt idx="61">
                  <c:v>16000</c:v>
                </c:pt>
                <c:pt idx="62">
                  <c:v>17000</c:v>
                </c:pt>
                <c:pt idx="63">
                  <c:v>18000</c:v>
                </c:pt>
                <c:pt idx="64">
                  <c:v>19000</c:v>
                </c:pt>
                <c:pt idx="65">
                  <c:v>20000</c:v>
                </c:pt>
                <c:pt idx="66">
                  <c:v>21000</c:v>
                </c:pt>
                <c:pt idx="67">
                  <c:v>22000</c:v>
                </c:pt>
                <c:pt idx="68">
                  <c:v>23000</c:v>
                </c:pt>
                <c:pt idx="69">
                  <c:v>24000</c:v>
                </c:pt>
                <c:pt idx="70">
                  <c:v>25000</c:v>
                </c:pt>
                <c:pt idx="71">
                  <c:v>27500</c:v>
                </c:pt>
                <c:pt idx="72">
                  <c:v>30000</c:v>
                </c:pt>
                <c:pt idx="73">
                  <c:v>32500</c:v>
                </c:pt>
                <c:pt idx="74">
                  <c:v>35000</c:v>
                </c:pt>
                <c:pt idx="75">
                  <c:v>37500</c:v>
                </c:pt>
                <c:pt idx="76">
                  <c:v>40000</c:v>
                </c:pt>
                <c:pt idx="77">
                  <c:v>42500</c:v>
                </c:pt>
                <c:pt idx="78">
                  <c:v>45000</c:v>
                </c:pt>
                <c:pt idx="79">
                  <c:v>47500</c:v>
                </c:pt>
                <c:pt idx="80">
                  <c:v>50000</c:v>
                </c:pt>
                <c:pt idx="81">
                  <c:v>52500</c:v>
                </c:pt>
                <c:pt idx="82">
                  <c:v>55000</c:v>
                </c:pt>
                <c:pt idx="83">
                  <c:v>57500</c:v>
                </c:pt>
                <c:pt idx="84">
                  <c:v>60000</c:v>
                </c:pt>
                <c:pt idx="85">
                  <c:v>62500</c:v>
                </c:pt>
                <c:pt idx="86">
                  <c:v>65000</c:v>
                </c:pt>
                <c:pt idx="87">
                  <c:v>67500</c:v>
                </c:pt>
                <c:pt idx="88">
                  <c:v>70000</c:v>
                </c:pt>
                <c:pt idx="89">
                  <c:v>72500</c:v>
                </c:pt>
                <c:pt idx="90">
                  <c:v>75000</c:v>
                </c:pt>
                <c:pt idx="91">
                  <c:v>77500</c:v>
                </c:pt>
                <c:pt idx="92">
                  <c:v>80000</c:v>
                </c:pt>
                <c:pt idx="93">
                  <c:v>82500</c:v>
                </c:pt>
                <c:pt idx="94">
                  <c:v>85000</c:v>
                </c:pt>
                <c:pt idx="95">
                  <c:v>87500</c:v>
                </c:pt>
                <c:pt idx="96">
                  <c:v>90000</c:v>
                </c:pt>
                <c:pt idx="97">
                  <c:v>92500</c:v>
                </c:pt>
                <c:pt idx="98">
                  <c:v>95000</c:v>
                </c:pt>
                <c:pt idx="99">
                  <c:v>97500</c:v>
                </c:pt>
                <c:pt idx="100">
                  <c:v>100000</c:v>
                </c:pt>
                <c:pt idx="101">
                  <c:v>102500</c:v>
                </c:pt>
                <c:pt idx="102">
                  <c:v>105000</c:v>
                </c:pt>
                <c:pt idx="103">
                  <c:v>107500</c:v>
                </c:pt>
                <c:pt idx="104">
                  <c:v>110000</c:v>
                </c:pt>
                <c:pt idx="105">
                  <c:v>112500</c:v>
                </c:pt>
                <c:pt idx="106">
                  <c:v>115000</c:v>
                </c:pt>
                <c:pt idx="107">
                  <c:v>117500</c:v>
                </c:pt>
                <c:pt idx="108">
                  <c:v>120000</c:v>
                </c:pt>
                <c:pt idx="109">
                  <c:v>122500</c:v>
                </c:pt>
                <c:pt idx="110">
                  <c:v>125000</c:v>
                </c:pt>
                <c:pt idx="111">
                  <c:v>127500</c:v>
                </c:pt>
                <c:pt idx="112">
                  <c:v>130000</c:v>
                </c:pt>
                <c:pt idx="113">
                  <c:v>132500</c:v>
                </c:pt>
                <c:pt idx="114">
                  <c:v>135000</c:v>
                </c:pt>
                <c:pt idx="115">
                  <c:v>137500</c:v>
                </c:pt>
                <c:pt idx="116">
                  <c:v>140000</c:v>
                </c:pt>
                <c:pt idx="117">
                  <c:v>142500</c:v>
                </c:pt>
                <c:pt idx="118">
                  <c:v>145000</c:v>
                </c:pt>
                <c:pt idx="119">
                  <c:v>147500</c:v>
                </c:pt>
                <c:pt idx="120">
                  <c:v>150000</c:v>
                </c:pt>
                <c:pt idx="121">
                  <c:v>152500</c:v>
                </c:pt>
                <c:pt idx="122">
                  <c:v>155000</c:v>
                </c:pt>
                <c:pt idx="123">
                  <c:v>157500</c:v>
                </c:pt>
                <c:pt idx="124">
                  <c:v>160000</c:v>
                </c:pt>
                <c:pt idx="125">
                  <c:v>162500</c:v>
                </c:pt>
                <c:pt idx="126">
                  <c:v>165000</c:v>
                </c:pt>
                <c:pt idx="127">
                  <c:v>167500</c:v>
                </c:pt>
                <c:pt idx="128">
                  <c:v>170000</c:v>
                </c:pt>
                <c:pt idx="129">
                  <c:v>172500</c:v>
                </c:pt>
                <c:pt idx="130">
                  <c:v>175000</c:v>
                </c:pt>
                <c:pt idx="131">
                  <c:v>177500</c:v>
                </c:pt>
                <c:pt idx="132">
                  <c:v>180000</c:v>
                </c:pt>
                <c:pt idx="133">
                  <c:v>182500</c:v>
                </c:pt>
                <c:pt idx="134">
                  <c:v>185000</c:v>
                </c:pt>
                <c:pt idx="135">
                  <c:v>187500</c:v>
                </c:pt>
                <c:pt idx="136">
                  <c:v>190000</c:v>
                </c:pt>
                <c:pt idx="137">
                  <c:v>192500</c:v>
                </c:pt>
                <c:pt idx="138">
                  <c:v>195000</c:v>
                </c:pt>
                <c:pt idx="139">
                  <c:v>197500</c:v>
                </c:pt>
                <c:pt idx="140">
                  <c:v>200000</c:v>
                </c:pt>
                <c:pt idx="141">
                  <c:v>250000</c:v>
                </c:pt>
                <c:pt idx="142">
                  <c:v>300000</c:v>
                </c:pt>
                <c:pt idx="143">
                  <c:v>350000</c:v>
                </c:pt>
                <c:pt idx="144">
                  <c:v>400000</c:v>
                </c:pt>
                <c:pt idx="145">
                  <c:v>450000</c:v>
                </c:pt>
                <c:pt idx="146">
                  <c:v>500000</c:v>
                </c:pt>
                <c:pt idx="147">
                  <c:v>550000</c:v>
                </c:pt>
                <c:pt idx="148">
                  <c:v>600000</c:v>
                </c:pt>
              </c:numCache>
            </c:numRef>
          </c:xVal>
          <c:yVal>
            <c:numRef>
              <c:f>VOI!$D$6:$D$154</c:f>
              <c:numCache>
                <c:formatCode>"$"#,##0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1798921.0336236283</c:v>
                </c:pt>
                <c:pt idx="74">
                  <c:v>23528545.586741529</c:v>
                </c:pt>
                <c:pt idx="75">
                  <c:v>48076508.457888849</c:v>
                </c:pt>
                <c:pt idx="76">
                  <c:v>72646395.430201665</c:v>
                </c:pt>
                <c:pt idx="77">
                  <c:v>106169900.56529176</c:v>
                </c:pt>
                <c:pt idx="78">
                  <c:v>147155241.41734931</c:v>
                </c:pt>
                <c:pt idx="79">
                  <c:v>198210276.59345418</c:v>
                </c:pt>
                <c:pt idx="80">
                  <c:v>254621811.38980669</c:v>
                </c:pt>
                <c:pt idx="81">
                  <c:v>319464903.3562746</c:v>
                </c:pt>
                <c:pt idx="82">
                  <c:v>406958060.15050042</c:v>
                </c:pt>
                <c:pt idx="83">
                  <c:v>512853307.34681338</c:v>
                </c:pt>
                <c:pt idx="84">
                  <c:v>637810844.73477674</c:v>
                </c:pt>
                <c:pt idx="85">
                  <c:v>773978439.79648316</c:v>
                </c:pt>
                <c:pt idx="86">
                  <c:v>916737984.03469849</c:v>
                </c:pt>
                <c:pt idx="87">
                  <c:v>1067082125.1207962</c:v>
                </c:pt>
                <c:pt idx="88">
                  <c:v>1232116819.2790356</c:v>
                </c:pt>
                <c:pt idx="89">
                  <c:v>1403633863.3531704</c:v>
                </c:pt>
                <c:pt idx="90">
                  <c:v>1584099113.2159252</c:v>
                </c:pt>
                <c:pt idx="91">
                  <c:v>1773332151.757786</c:v>
                </c:pt>
                <c:pt idx="92">
                  <c:v>1975531517.8097227</c:v>
                </c:pt>
                <c:pt idx="93">
                  <c:v>2185140124.8294859</c:v>
                </c:pt>
                <c:pt idx="94">
                  <c:v>2406864747.5971375</c:v>
                </c:pt>
                <c:pt idx="95">
                  <c:v>2635542605.2038093</c:v>
                </c:pt>
                <c:pt idx="96">
                  <c:v>2878503255.8045349</c:v>
                </c:pt>
                <c:pt idx="97">
                  <c:v>3129122113.0418124</c:v>
                </c:pt>
                <c:pt idx="98">
                  <c:v>3385044123.8295751</c:v>
                </c:pt>
                <c:pt idx="99">
                  <c:v>3644134026.8461499</c:v>
                </c:pt>
                <c:pt idx="100">
                  <c:v>3907876304.2879291</c:v>
                </c:pt>
                <c:pt idx="101">
                  <c:v>4177084441.8369236</c:v>
                </c:pt>
                <c:pt idx="102">
                  <c:v>4451732908.3266668</c:v>
                </c:pt>
                <c:pt idx="103">
                  <c:v>4733930091.1198368</c:v>
                </c:pt>
                <c:pt idx="104">
                  <c:v>5020069413.1106138</c:v>
                </c:pt>
                <c:pt idx="105">
                  <c:v>5306208735.1409721</c:v>
                </c:pt>
                <c:pt idx="106">
                  <c:v>5595390277.3582373</c:v>
                </c:pt>
                <c:pt idx="107">
                  <c:v>5887821318.0461903</c:v>
                </c:pt>
                <c:pt idx="108">
                  <c:v>6183979510.2970676</c:v>
                </c:pt>
                <c:pt idx="109">
                  <c:v>6487755871.1683378</c:v>
                </c:pt>
                <c:pt idx="110">
                  <c:v>6797649043.62848</c:v>
                </c:pt>
                <c:pt idx="111">
                  <c:v>7114218552.680686</c:v>
                </c:pt>
                <c:pt idx="112">
                  <c:v>7436732586.252037</c:v>
                </c:pt>
                <c:pt idx="113">
                  <c:v>7764673288.9721174</c:v>
                </c:pt>
                <c:pt idx="114">
                  <c:v>8096909760.1412792</c:v>
                </c:pt>
                <c:pt idx="115">
                  <c:v>8432174241.7640057</c:v>
                </c:pt>
                <c:pt idx="116">
                  <c:v>8771875328.6264839</c:v>
                </c:pt>
                <c:pt idx="117">
                  <c:v>9115024426.588789</c:v>
                </c:pt>
                <c:pt idx="118">
                  <c:v>9461259282.8413467</c:v>
                </c:pt>
                <c:pt idx="119">
                  <c:v>9808566679.1209946</c:v>
                </c:pt>
                <c:pt idx="120">
                  <c:v>10165656329.467892</c:v>
                </c:pt>
                <c:pt idx="121">
                  <c:v>10526211408.111267</c:v>
                </c:pt>
                <c:pt idx="122">
                  <c:v>10889719783.479813</c:v>
                </c:pt>
                <c:pt idx="123">
                  <c:v>11256901742.033661</c:v>
                </c:pt>
                <c:pt idx="124">
                  <c:v>11624083701.141644</c:v>
                </c:pt>
                <c:pt idx="125">
                  <c:v>11991405440.301168</c:v>
                </c:pt>
                <c:pt idx="126">
                  <c:v>12361138316.646685</c:v>
                </c:pt>
                <c:pt idx="127">
                  <c:v>12732967091.731262</c:v>
                </c:pt>
                <c:pt idx="128">
                  <c:v>13108367329.332977</c:v>
                </c:pt>
                <c:pt idx="129">
                  <c:v>13486019004.944246</c:v>
                </c:pt>
                <c:pt idx="130">
                  <c:v>13864693872.947247</c:v>
                </c:pt>
                <c:pt idx="131">
                  <c:v>14244963741.383982</c:v>
                </c:pt>
                <c:pt idx="132">
                  <c:v>14628584479.964338</c:v>
                </c:pt>
                <c:pt idx="133">
                  <c:v>15012205218.584276</c:v>
                </c:pt>
                <c:pt idx="134">
                  <c:v>15395825957.639608</c:v>
                </c:pt>
                <c:pt idx="135">
                  <c:v>15782896670.231131</c:v>
                </c:pt>
                <c:pt idx="136">
                  <c:v>16170954545.508139</c:v>
                </c:pt>
                <c:pt idx="137">
                  <c:v>16559012420.587242</c:v>
                </c:pt>
                <c:pt idx="138">
                  <c:v>16949959582.451265</c:v>
                </c:pt>
                <c:pt idx="139">
                  <c:v>17342252017.003483</c:v>
                </c:pt>
                <c:pt idx="140">
                  <c:v>17735659350.403584</c:v>
                </c:pt>
                <c:pt idx="141">
                  <c:v>25895568579.765968</c:v>
                </c:pt>
                <c:pt idx="142">
                  <c:v>34452678597.406487</c:v>
                </c:pt>
                <c:pt idx="143">
                  <c:v>43295561126.768585</c:v>
                </c:pt>
                <c:pt idx="144">
                  <c:v>52231474093.049767</c:v>
                </c:pt>
                <c:pt idx="145">
                  <c:v>61294009007.355202</c:v>
                </c:pt>
                <c:pt idx="146">
                  <c:v>70493547386.666763</c:v>
                </c:pt>
                <c:pt idx="147">
                  <c:v>79771175723.718475</c:v>
                </c:pt>
                <c:pt idx="148">
                  <c:v>89105485635.409134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B-4859-BB27-A44C926190A4}"/>
            </c:ext>
          </c:extLst>
        </c:ser>
        <c:ser>
          <c:idx val="1"/>
          <c:order val="1"/>
          <c:tx>
            <c:v>ICER</c:v>
          </c:tx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chemeClr val="tx2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7BB-4859-BB27-A44C926190A4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PSA!$L$12</c:f>
              <c:numCache>
                <c:formatCode>General</c:formatCode>
                <c:ptCount val="1"/>
                <c:pt idx="0">
                  <c:v>-93816.824882527711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7BB-4859-BB27-A44C92619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59024"/>
        <c:axId val="167259416"/>
      </c:scatterChart>
      <c:valAx>
        <c:axId val="167259024"/>
        <c:scaling>
          <c:orientation val="minMax"/>
          <c:max val="600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Willingness to Pay Per QALY Threshold</a:t>
                </a:r>
              </a:p>
            </c:rich>
          </c:tx>
          <c:layout>
            <c:manualLayout>
              <c:xMode val="edge"/>
              <c:yMode val="edge"/>
              <c:x val="0.43625714425883699"/>
              <c:y val="0.89094138232720899"/>
            </c:manualLayout>
          </c:layout>
          <c:overlay val="0"/>
        </c:title>
        <c:numFmt formatCode="&quot;$&quot;#,##0,&quot;K&quot;;;&quot;$&quot;0" sourceLinked="0"/>
        <c:majorTickMark val="out"/>
        <c:minorTickMark val="none"/>
        <c:tickLblPos val="low"/>
        <c:crossAx val="167259416"/>
        <c:crossesAt val="0"/>
        <c:crossBetween val="midCat"/>
      </c:valAx>
      <c:valAx>
        <c:axId val="16725941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0"/>
                  <a:t>EVPI</a:t>
                </a:r>
              </a:p>
            </c:rich>
          </c:tx>
          <c:layout>
            <c:manualLayout>
              <c:xMode val="edge"/>
              <c:yMode val="edge"/>
              <c:x val="2.7196506978683699E-2"/>
              <c:y val="0.36439370078740202"/>
            </c:manualLayout>
          </c:layout>
          <c:overlay val="0"/>
        </c:title>
        <c:numFmt formatCode="&quot;$&quot;#,,,&quot; B&quot;;\-&quot;$&quot;#,,,&quot; B&quot;;&quot;$&quot;0" sourceLinked="0"/>
        <c:majorTickMark val="out"/>
        <c:minorTickMark val="none"/>
        <c:tickLblPos val="nextTo"/>
        <c:crossAx val="167259024"/>
        <c:crossesAt val="0"/>
        <c:crossBetween val="midCat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 orientation="portrait" horizontalDpi="-4" verticalDpi="-4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318976153621804E-2"/>
          <c:y val="2.23065622575934E-2"/>
          <c:w val="0.85018529735065196"/>
          <c:h val="0.966975071136261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OWSA!$D$5</c:f>
              <c:strCache>
                <c:ptCount val="1"/>
                <c:pt idx="0">
                  <c:v>Low Input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OWSA!$C$10:$C$33</c:f>
              <c:strCache>
                <c:ptCount val="24"/>
                <c:pt idx="0">
                  <c:v>0</c:v>
                </c:pt>
                <c:pt idx="1">
                  <c:v>0</c:v>
                </c:pt>
                <c:pt idx="2">
                  <c:v>Prev: </c:v>
                </c:pt>
                <c:pt idx="3">
                  <c:v>Adh: </c:v>
                </c:pt>
                <c:pt idx="4">
                  <c:v>0</c:v>
                </c:pt>
                <c:pt idx="5">
                  <c:v>Prev: </c:v>
                </c:pt>
                <c:pt idx="6">
                  <c:v>0</c:v>
                </c:pt>
                <c:pt idx="7">
                  <c:v>Adh: </c:v>
                </c:pt>
                <c:pt idx="8">
                  <c:v>Pen: </c:v>
                </c:pt>
                <c:pt idx="9">
                  <c:v>0</c:v>
                </c:pt>
                <c:pt idx="10">
                  <c:v>Pen: </c:v>
                </c:pt>
                <c:pt idx="11">
                  <c:v>0</c:v>
                </c:pt>
                <c:pt idx="12">
                  <c:v>Prev: </c:v>
                </c:pt>
                <c:pt idx="13">
                  <c:v>0</c:v>
                </c:pt>
                <c:pt idx="14">
                  <c:v>Adh: 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Adh: </c:v>
                </c:pt>
                <c:pt idx="19">
                  <c:v>0</c:v>
                </c:pt>
                <c:pt idx="20">
                  <c:v>Prev: </c:v>
                </c:pt>
                <c:pt idx="21">
                  <c:v>Prev: </c:v>
                </c:pt>
                <c:pt idx="22">
                  <c:v>0</c:v>
                </c:pt>
                <c:pt idx="23">
                  <c:v>Prev: </c:v>
                </c:pt>
              </c:strCache>
            </c:strRef>
          </c:cat>
          <c:val>
            <c:numRef>
              <c:f>OWSA!$F$6:$F$93</c:f>
              <c:numCache>
                <c:formatCode>"$"#,##0</c:formatCode>
                <c:ptCount val="88"/>
                <c:pt idx="0">
                  <c:v>168.58304998149021</c:v>
                </c:pt>
                <c:pt idx="1">
                  <c:v>34.965857882461762</c:v>
                </c:pt>
                <c:pt idx="2">
                  <c:v>55.942935501271222</c:v>
                </c:pt>
                <c:pt idx="3">
                  <c:v>63.626191039672676</c:v>
                </c:pt>
                <c:pt idx="4">
                  <c:v>-127.71616325756867</c:v>
                </c:pt>
                <c:pt idx="5">
                  <c:v>41.029702605090563</c:v>
                </c:pt>
                <c:pt idx="6">
                  <c:v>-99.679908823404617</c:v>
                </c:pt>
                <c:pt idx="7">
                  <c:v>-99.670231268507848</c:v>
                </c:pt>
                <c:pt idx="8">
                  <c:v>18.583049981490092</c:v>
                </c:pt>
                <c:pt idx="9">
                  <c:v>-75.321054891009624</c:v>
                </c:pt>
                <c:pt idx="10">
                  <c:v>-83.453742503004264</c:v>
                </c:pt>
                <c:pt idx="11">
                  <c:v>-65.04428465715398</c:v>
                </c:pt>
                <c:pt idx="12">
                  <c:v>-61.228731069796481</c:v>
                </c:pt>
                <c:pt idx="13">
                  <c:v>-82.710526481574107</c:v>
                </c:pt>
                <c:pt idx="14">
                  <c:v>-60.521300018509805</c:v>
                </c:pt>
                <c:pt idx="15">
                  <c:v>-54.513973674972533</c:v>
                </c:pt>
                <c:pt idx="16">
                  <c:v>-8.1362485665971462</c:v>
                </c:pt>
                <c:pt idx="17">
                  <c:v>-14.218805055012069</c:v>
                </c:pt>
                <c:pt idx="18">
                  <c:v>-13.893600019525763</c:v>
                </c:pt>
                <c:pt idx="19">
                  <c:v>-48.500747432389574</c:v>
                </c:pt>
                <c:pt idx="20">
                  <c:v>-48.554672505659028</c:v>
                </c:pt>
                <c:pt idx="21">
                  <c:v>-52.500636324554705</c:v>
                </c:pt>
                <c:pt idx="22">
                  <c:v>-46.71856313984631</c:v>
                </c:pt>
                <c:pt idx="23">
                  <c:v>-38.159095939261135</c:v>
                </c:pt>
                <c:pt idx="24">
                  <c:v>-16.552709159707206</c:v>
                </c:pt>
                <c:pt idx="25">
                  <c:v>-45.085943050544131</c:v>
                </c:pt>
                <c:pt idx="26">
                  <c:v>12.810028068723739</c:v>
                </c:pt>
                <c:pt idx="27">
                  <c:v>-44.402941000301382</c:v>
                </c:pt>
                <c:pt idx="28">
                  <c:v>-45.200295624587568</c:v>
                </c:pt>
                <c:pt idx="29">
                  <c:v>-44.986346930188859</c:v>
                </c:pt>
                <c:pt idx="30">
                  <c:v>-18.916950018509965</c:v>
                </c:pt>
                <c:pt idx="31">
                  <c:v>-19.084126521549365</c:v>
                </c:pt>
                <c:pt idx="32">
                  <c:v>-42.616100618362623</c:v>
                </c:pt>
                <c:pt idx="33">
                  <c:v>-20.5857337223012</c:v>
                </c:pt>
                <c:pt idx="34">
                  <c:v>-20.564186730185781</c:v>
                </c:pt>
                <c:pt idx="35">
                  <c:v>-41.612069302993746</c:v>
                </c:pt>
                <c:pt idx="36">
                  <c:v>-21.416950018509965</c:v>
                </c:pt>
                <c:pt idx="37">
                  <c:v>-21.534577767230076</c:v>
                </c:pt>
                <c:pt idx="38">
                  <c:v>-22.595134867078343</c:v>
                </c:pt>
                <c:pt idx="39">
                  <c:v>-38.131047742382009</c:v>
                </c:pt>
                <c:pt idx="40">
                  <c:v>-23.409136020802237</c:v>
                </c:pt>
                <c:pt idx="41">
                  <c:v>-40.147615749623071</c:v>
                </c:pt>
                <c:pt idx="42">
                  <c:v>-39.500976686194633</c:v>
                </c:pt>
                <c:pt idx="43">
                  <c:v>-38.444845453858193</c:v>
                </c:pt>
                <c:pt idx="44">
                  <c:v>-31.931234959444907</c:v>
                </c:pt>
                <c:pt idx="45">
                  <c:v>-38.457438882932991</c:v>
                </c:pt>
                <c:pt idx="46">
                  <c:v>-37.780721713366404</c:v>
                </c:pt>
                <c:pt idx="47">
                  <c:v>-36.749850332282904</c:v>
                </c:pt>
                <c:pt idx="48">
                  <c:v>-25.85408600684849</c:v>
                </c:pt>
                <c:pt idx="49">
                  <c:v>-26.09837189350992</c:v>
                </c:pt>
                <c:pt idx="50">
                  <c:v>-27.477399402241076</c:v>
                </c:pt>
                <c:pt idx="51">
                  <c:v>-35.572818104714941</c:v>
                </c:pt>
                <c:pt idx="52">
                  <c:v>-32.869995249802116</c:v>
                </c:pt>
                <c:pt idx="53">
                  <c:v>-29.008011383312521</c:v>
                </c:pt>
                <c:pt idx="54">
                  <c:v>-28.920911272626597</c:v>
                </c:pt>
                <c:pt idx="55">
                  <c:v>-29.208054386064191</c:v>
                </c:pt>
                <c:pt idx="56">
                  <c:v>-29.118153143509971</c:v>
                </c:pt>
                <c:pt idx="57">
                  <c:v>-33.266029707609789</c:v>
                </c:pt>
                <c:pt idx="58">
                  <c:v>-33.177561901086108</c:v>
                </c:pt>
                <c:pt idx="59">
                  <c:v>-29.930249054037745</c:v>
                </c:pt>
                <c:pt idx="60">
                  <c:v>-33.088287857672015</c:v>
                </c:pt>
                <c:pt idx="61">
                  <c:v>-32.697982210304076</c:v>
                </c:pt>
                <c:pt idx="62">
                  <c:v>-32.573161121809676</c:v>
                </c:pt>
                <c:pt idx="63">
                  <c:v>-32.588668704464339</c:v>
                </c:pt>
                <c:pt idx="64">
                  <c:v>-30.603200018509995</c:v>
                </c:pt>
                <c:pt idx="65">
                  <c:v>-30.623994425763158</c:v>
                </c:pt>
                <c:pt idx="66">
                  <c:v>-32.086276073174076</c:v>
                </c:pt>
                <c:pt idx="67">
                  <c:v>-31.93978740157371</c:v>
                </c:pt>
                <c:pt idx="68">
                  <c:v>-31.908931798212336</c:v>
                </c:pt>
                <c:pt idx="69">
                  <c:v>-31.028608761401188</c:v>
                </c:pt>
                <c:pt idx="70">
                  <c:v>-31.855401941954312</c:v>
                </c:pt>
                <c:pt idx="71">
                  <c:v>-30.992116980376409</c:v>
                </c:pt>
                <c:pt idx="72">
                  <c:v>-31.576576904745195</c:v>
                </c:pt>
                <c:pt idx="73">
                  <c:v>-31.107725018509996</c:v>
                </c:pt>
                <c:pt idx="74">
                  <c:v>-31.585647123859189</c:v>
                </c:pt>
                <c:pt idx="75">
                  <c:v>-31.468834212662102</c:v>
                </c:pt>
                <c:pt idx="76">
                  <c:v>-31.466217575989958</c:v>
                </c:pt>
                <c:pt idx="77">
                  <c:v>-31.384782106486455</c:v>
                </c:pt>
                <c:pt idx="78">
                  <c:v>-31.3884482913179</c:v>
                </c:pt>
                <c:pt idx="79">
                  <c:v>-31.379026913112341</c:v>
                </c:pt>
                <c:pt idx="80">
                  <c:v>-31.416950018509965</c:v>
                </c:pt>
                <c:pt idx="81">
                  <c:v>-31.416950018509965</c:v>
                </c:pt>
                <c:pt idx="82">
                  <c:v>-31.416950018509965</c:v>
                </c:pt>
                <c:pt idx="83">
                  <c:v>-31.416950018509965</c:v>
                </c:pt>
                <c:pt idx="84">
                  <c:v>-31.416950018509965</c:v>
                </c:pt>
                <c:pt idx="85">
                  <c:v>-31.416950018509965</c:v>
                </c:pt>
                <c:pt idx="86">
                  <c:v>-31.416950018509965</c:v>
                </c:pt>
                <c:pt idx="87">
                  <c:v>-31.416950018509965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D-44C8-8981-7E128B38B3AB}"/>
            </c:ext>
          </c:extLst>
        </c:ser>
        <c:ser>
          <c:idx val="1"/>
          <c:order val="1"/>
          <c:tx>
            <c:strRef>
              <c:f>OWSA!$E$5</c:f>
              <c:strCache>
                <c:ptCount val="1"/>
                <c:pt idx="0">
                  <c:v>High Input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OWSA!$C$10:$C$33</c:f>
              <c:strCache>
                <c:ptCount val="24"/>
                <c:pt idx="0">
                  <c:v>0</c:v>
                </c:pt>
                <c:pt idx="1">
                  <c:v>0</c:v>
                </c:pt>
                <c:pt idx="2">
                  <c:v>Prev: </c:v>
                </c:pt>
                <c:pt idx="3">
                  <c:v>Adh: </c:v>
                </c:pt>
                <c:pt idx="4">
                  <c:v>0</c:v>
                </c:pt>
                <c:pt idx="5">
                  <c:v>Prev: </c:v>
                </c:pt>
                <c:pt idx="6">
                  <c:v>0</c:v>
                </c:pt>
                <c:pt idx="7">
                  <c:v>Adh: </c:v>
                </c:pt>
                <c:pt idx="8">
                  <c:v>Pen: </c:v>
                </c:pt>
                <c:pt idx="9">
                  <c:v>0</c:v>
                </c:pt>
                <c:pt idx="10">
                  <c:v>Pen: </c:v>
                </c:pt>
                <c:pt idx="11">
                  <c:v>0</c:v>
                </c:pt>
                <c:pt idx="12">
                  <c:v>Prev: </c:v>
                </c:pt>
                <c:pt idx="13">
                  <c:v>0</c:v>
                </c:pt>
                <c:pt idx="14">
                  <c:v>Adh: 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Adh: </c:v>
                </c:pt>
                <c:pt idx="19">
                  <c:v>0</c:v>
                </c:pt>
                <c:pt idx="20">
                  <c:v>Prev: </c:v>
                </c:pt>
                <c:pt idx="21">
                  <c:v>Prev: </c:v>
                </c:pt>
                <c:pt idx="22">
                  <c:v>0</c:v>
                </c:pt>
                <c:pt idx="23">
                  <c:v>Prev: </c:v>
                </c:pt>
              </c:strCache>
            </c:strRef>
          </c:cat>
          <c:val>
            <c:numRef>
              <c:f>OWSA!$G$6:$G$93</c:f>
              <c:numCache>
                <c:formatCode>"$"#,##0</c:formatCode>
                <c:ptCount val="88"/>
                <c:pt idx="0">
                  <c:v>-281.41695001851019</c:v>
                </c:pt>
                <c:pt idx="1">
                  <c:v>-198.78752296965871</c:v>
                </c:pt>
                <c:pt idx="2">
                  <c:v>-118.77683553829098</c:v>
                </c:pt>
                <c:pt idx="3">
                  <c:v>-104.09699906300096</c:v>
                </c:pt>
                <c:pt idx="4">
                  <c:v>34.500911791572946</c:v>
                </c:pt>
                <c:pt idx="5">
                  <c:v>-115.52657046549984</c:v>
                </c:pt>
                <c:pt idx="6">
                  <c:v>36.846008786384743</c:v>
                </c:pt>
                <c:pt idx="7">
                  <c:v>36.836331231490703</c:v>
                </c:pt>
                <c:pt idx="8">
                  <c:v>-81.416950018509965</c:v>
                </c:pt>
                <c:pt idx="9">
                  <c:v>12.487154854000892</c:v>
                </c:pt>
                <c:pt idx="10">
                  <c:v>-9.7085386077210956</c:v>
                </c:pt>
                <c:pt idx="11">
                  <c:v>2.2103846201396209</c:v>
                </c:pt>
                <c:pt idx="12">
                  <c:v>1.032040065387605</c:v>
                </c:pt>
                <c:pt idx="13">
                  <c:v>-23.165160617902188</c:v>
                </c:pt>
                <c:pt idx="14">
                  <c:v>-2.3126000185101248</c:v>
                </c:pt>
                <c:pt idx="15">
                  <c:v>3.2285854661936924</c:v>
                </c:pt>
                <c:pt idx="16">
                  <c:v>-54.697651470420055</c:v>
                </c:pt>
                <c:pt idx="17">
                  <c:v>-50.379363458822127</c:v>
                </c:pt>
                <c:pt idx="18">
                  <c:v>-48.940300017494167</c:v>
                </c:pt>
                <c:pt idx="19">
                  <c:v>-14.809039163726368</c:v>
                </c:pt>
                <c:pt idx="20">
                  <c:v>-15.226042330962741</c:v>
                </c:pt>
                <c:pt idx="21">
                  <c:v>-21.460098148201041</c:v>
                </c:pt>
                <c:pt idx="22">
                  <c:v>-16.115336897167992</c:v>
                </c:pt>
                <c:pt idx="23">
                  <c:v>-7.6205580663145156</c:v>
                </c:pt>
                <c:pt idx="24">
                  <c:v>-46.281190877312781</c:v>
                </c:pt>
                <c:pt idx="25">
                  <c:v>-17.747956986475685</c:v>
                </c:pt>
                <c:pt idx="26">
                  <c:v>-13.526931895746998</c:v>
                </c:pt>
                <c:pt idx="27">
                  <c:v>-18.43095903670735</c:v>
                </c:pt>
                <c:pt idx="28">
                  <c:v>-19.255174483729661</c:v>
                </c:pt>
                <c:pt idx="29">
                  <c:v>-19.601601376077213</c:v>
                </c:pt>
                <c:pt idx="30">
                  <c:v>-43.916950018510022</c:v>
                </c:pt>
                <c:pt idx="31">
                  <c:v>-43.749773515470565</c:v>
                </c:pt>
                <c:pt idx="32">
                  <c:v>-20.217799418643438</c:v>
                </c:pt>
                <c:pt idx="33">
                  <c:v>-42.248166314710375</c:v>
                </c:pt>
                <c:pt idx="34">
                  <c:v>-42.060805461831535</c:v>
                </c:pt>
                <c:pt idx="35">
                  <c:v>-21.221830734026128</c:v>
                </c:pt>
                <c:pt idx="36">
                  <c:v>-41.416950018510022</c:v>
                </c:pt>
                <c:pt idx="37">
                  <c:v>-41.299322269789855</c:v>
                </c:pt>
                <c:pt idx="38">
                  <c:v>-41.732175706468013</c:v>
                </c:pt>
                <c:pt idx="39">
                  <c:v>-20.148904055207765</c:v>
                </c:pt>
                <c:pt idx="40">
                  <c:v>-40.976389445617599</c:v>
                </c:pt>
                <c:pt idx="41">
                  <c:v>-57.450859766833617</c:v>
                </c:pt>
                <c:pt idx="42">
                  <c:v>-23.332923350822512</c:v>
                </c:pt>
                <c:pt idx="43">
                  <c:v>-24.389054583161737</c:v>
                </c:pt>
                <c:pt idx="44">
                  <c:v>-17.875819935718312</c:v>
                </c:pt>
                <c:pt idx="45">
                  <c:v>-25.495159011445708</c:v>
                </c:pt>
                <c:pt idx="46">
                  <c:v>-25.053178323647955</c:v>
                </c:pt>
                <c:pt idx="47">
                  <c:v>-25.389542578349278</c:v>
                </c:pt>
                <c:pt idx="48">
                  <c:v>-36.979814030171383</c:v>
                </c:pt>
                <c:pt idx="49">
                  <c:v>-36.735528143509953</c:v>
                </c:pt>
                <c:pt idx="50">
                  <c:v>-35.95643748800569</c:v>
                </c:pt>
                <c:pt idx="51">
                  <c:v>-27.261081932302204</c:v>
                </c:pt>
                <c:pt idx="52">
                  <c:v>-25.604769093338405</c:v>
                </c:pt>
                <c:pt idx="53">
                  <c:v>-34.293392785678748</c:v>
                </c:pt>
                <c:pt idx="54">
                  <c:v>-33.912988764390491</c:v>
                </c:pt>
                <c:pt idx="55">
                  <c:v>-34.11523706424714</c:v>
                </c:pt>
                <c:pt idx="56">
                  <c:v>-33.715746893509959</c:v>
                </c:pt>
                <c:pt idx="57">
                  <c:v>-29.567870329410084</c:v>
                </c:pt>
                <c:pt idx="58">
                  <c:v>-29.656338135933765</c:v>
                </c:pt>
                <c:pt idx="59">
                  <c:v>-33.365235604398379</c:v>
                </c:pt>
                <c:pt idx="60">
                  <c:v>-29.753864286805936</c:v>
                </c:pt>
                <c:pt idx="61">
                  <c:v>-30.349839946443524</c:v>
                </c:pt>
                <c:pt idx="62">
                  <c:v>-30.258316203752997</c:v>
                </c:pt>
                <c:pt idx="63">
                  <c:v>-30.549584919840754</c:v>
                </c:pt>
                <c:pt idx="64">
                  <c:v>-32.230700018509992</c:v>
                </c:pt>
                <c:pt idx="65">
                  <c:v>-32.223411759877479</c:v>
                </c:pt>
                <c:pt idx="66">
                  <c:v>-30.747623963843068</c:v>
                </c:pt>
                <c:pt idx="67">
                  <c:v>-30.809978924291613</c:v>
                </c:pt>
                <c:pt idx="68">
                  <c:v>-30.931620481168693</c:v>
                </c:pt>
                <c:pt idx="69">
                  <c:v>-31.999461904164718</c:v>
                </c:pt>
                <c:pt idx="70">
                  <c:v>-30.978498095065618</c:v>
                </c:pt>
                <c:pt idx="71">
                  <c:v>-31.83655847606201</c:v>
                </c:pt>
                <c:pt idx="72">
                  <c:v>-30.884860397725845</c:v>
                </c:pt>
                <c:pt idx="73">
                  <c:v>-31.726175018509991</c:v>
                </c:pt>
                <c:pt idx="74">
                  <c:v>-31.248252913160627</c:v>
                </c:pt>
                <c:pt idx="75">
                  <c:v>-31.347771092971925</c:v>
                </c:pt>
                <c:pt idx="76">
                  <c:v>-31.366924498607204</c:v>
                </c:pt>
                <c:pt idx="77">
                  <c:v>-31.449117930533475</c:v>
                </c:pt>
                <c:pt idx="78">
                  <c:v>-31.444989805228943</c:v>
                </c:pt>
                <c:pt idx="79">
                  <c:v>-31.356905101626921</c:v>
                </c:pt>
                <c:pt idx="80">
                  <c:v>-31.41695001850718</c:v>
                </c:pt>
                <c:pt idx="81">
                  <c:v>-31.416950018509965</c:v>
                </c:pt>
                <c:pt idx="82">
                  <c:v>-31.416950018509965</c:v>
                </c:pt>
                <c:pt idx="83">
                  <c:v>-31.416950018509965</c:v>
                </c:pt>
                <c:pt idx="84">
                  <c:v>-31.416950018509965</c:v>
                </c:pt>
                <c:pt idx="85">
                  <c:v>-31.416950018509965</c:v>
                </c:pt>
                <c:pt idx="86">
                  <c:v>-31.416950018509965</c:v>
                </c:pt>
                <c:pt idx="87">
                  <c:v>-31.416950018509965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ED-44C8-8981-7E128B38B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206097272"/>
        <c:axId val="206093744"/>
      </c:barChart>
      <c:scatterChart>
        <c:scatterStyle val="lineMarker"/>
        <c:varyColors val="0"/>
        <c:ser>
          <c:idx val="2"/>
          <c:order val="2"/>
          <c:tx>
            <c:v>zero</c:v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chemeClr val="accent5"/>
              </a:solidFill>
              <a:ln>
                <a:noFill/>
              </a:ln>
            </c:spPr>
          </c:marker>
          <c:errBars>
            <c:errDir val="y"/>
            <c:errBarType val="minus"/>
            <c:errValType val="fixedVal"/>
            <c:noEndCap val="1"/>
            <c:val val="1"/>
            <c:spPr>
              <a:ln w="19050">
                <a:solidFill>
                  <a:schemeClr val="accent5"/>
                </a:solidFill>
                <a:prstDash val="sysDash"/>
              </a:ln>
            </c:spPr>
          </c:errBars>
          <c:errBars>
            <c:errDir val="x"/>
            <c:errBarType val="both"/>
            <c:errValType val="fixedVal"/>
            <c:noEndCap val="0"/>
            <c:val val="1"/>
          </c:errBars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F1CB-49E5-9055-0FC242203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779856"/>
        <c:axId val="651772512"/>
      </c:scatterChart>
      <c:catAx>
        <c:axId val="206097272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chemeClr val="tx2"/>
            </a:solidFill>
            <a:prstDash val="dash"/>
          </a:ln>
        </c:spPr>
        <c:crossAx val="206093744"/>
        <c:crossesAt val="-31.417000000000009"/>
        <c:auto val="1"/>
        <c:lblAlgn val="ctr"/>
        <c:lblOffset val="100"/>
        <c:noMultiLvlLbl val="0"/>
      </c:catAx>
      <c:valAx>
        <c:axId val="206093744"/>
        <c:scaling>
          <c:orientation val="minMax"/>
          <c:max val="200"/>
          <c:min val="-300"/>
        </c:scaling>
        <c:delete val="0"/>
        <c:axPos val="t"/>
        <c:numFmt formatCode="&quot;$&quot;#,###;\-&quot;$&quot;#,###;&quot;$&quot;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097272"/>
        <c:crosses val="autoZero"/>
        <c:crossBetween val="between"/>
        <c:majorUnit val="100"/>
      </c:valAx>
      <c:valAx>
        <c:axId val="651772512"/>
        <c:scaling>
          <c:orientation val="minMax"/>
          <c:max val="1"/>
        </c:scaling>
        <c:delete val="1"/>
        <c:axPos val="r"/>
        <c:numFmt formatCode="General" sourceLinked="1"/>
        <c:majorTickMark val="out"/>
        <c:minorTickMark val="none"/>
        <c:tickLblPos val="nextTo"/>
        <c:crossAx val="651779856"/>
        <c:crosses val="max"/>
        <c:crossBetween val="midCat"/>
      </c:valAx>
      <c:valAx>
        <c:axId val="65177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65177251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33171815061572E-2"/>
          <c:y val="1.4796176597328322E-2"/>
          <c:w val="0.87290288713910758"/>
          <c:h val="0.970587378070278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Breast_Ovarian!$BY$22</c:f>
              <c:strCache>
                <c:ptCount val="1"/>
                <c:pt idx="0">
                  <c:v>Low Result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Breast_Ovarian!$BY$24:$BY$88</c:f>
              <c:numCache>
                <c:formatCode>"$"#,###</c:formatCode>
                <c:ptCount val="65"/>
                <c:pt idx="0">
                  <c:v>-2.80883969568049</c:v>
                </c:pt>
                <c:pt idx="1">
                  <c:v>-11.860100388342289</c:v>
                </c:pt>
                <c:pt idx="2">
                  <c:v>-6.498437168194414</c:v>
                </c:pt>
                <c:pt idx="3">
                  <c:v>-6.5958916640815914</c:v>
                </c:pt>
                <c:pt idx="4">
                  <c:v>-6.6745725327023138</c:v>
                </c:pt>
                <c:pt idx="5">
                  <c:v>-6.7048499809043278</c:v>
                </c:pt>
                <c:pt idx="6">
                  <c:v>-7.0336538985111474</c:v>
                </c:pt>
                <c:pt idx="7">
                  <c:v>-7.0358274516665915</c:v>
                </c:pt>
                <c:pt idx="8">
                  <c:v>-7.0582092951190134</c:v>
                </c:pt>
                <c:pt idx="9">
                  <c:v>-7.0791376437423423</c:v>
                </c:pt>
                <c:pt idx="10">
                  <c:v>-7.1100051806956799</c:v>
                </c:pt>
                <c:pt idx="11">
                  <c:v>-7.9556376342411568</c:v>
                </c:pt>
                <c:pt idx="12">
                  <c:v>-7.236701860998437</c:v>
                </c:pt>
                <c:pt idx="13">
                  <c:v>-7.24932614056479</c:v>
                </c:pt>
                <c:pt idx="14">
                  <c:v>-7.2394719139820154</c:v>
                </c:pt>
                <c:pt idx="15">
                  <c:v>-7.822661960586629</c:v>
                </c:pt>
                <c:pt idx="16">
                  <c:v>-7.3950697566478993</c:v>
                </c:pt>
                <c:pt idx="17">
                  <c:v>-7.4247255383925221</c:v>
                </c:pt>
                <c:pt idx="18">
                  <c:v>-7.4373650454167546</c:v>
                </c:pt>
                <c:pt idx="19">
                  <c:v>-7.6638304971520483</c:v>
                </c:pt>
                <c:pt idx="20">
                  <c:v>-7.4514193936370248</c:v>
                </c:pt>
                <c:pt idx="21">
                  <c:v>-7.4564511412650063</c:v>
                </c:pt>
                <c:pt idx="22">
                  <c:v>-7.4657581054507318</c:v>
                </c:pt>
                <c:pt idx="23">
                  <c:v>-7.4694970872496924</c:v>
                </c:pt>
                <c:pt idx="24">
                  <c:v>-7.4924942419556828</c:v>
                </c:pt>
                <c:pt idx="25">
                  <c:v>-7.6092527065084141</c:v>
                </c:pt>
                <c:pt idx="26">
                  <c:v>-7.5063865960169096</c:v>
                </c:pt>
                <c:pt idx="27">
                  <c:v>-7.5088519961227576</c:v>
                </c:pt>
                <c:pt idx="28">
                  <c:v>-7.5152761941876634</c:v>
                </c:pt>
                <c:pt idx="29">
                  <c:v>-7.5875913552831662</c:v>
                </c:pt>
                <c:pt idx="30">
                  <c:v>-7.5182919205717553</c:v>
                </c:pt>
                <c:pt idx="31">
                  <c:v>-7.5237475559592895</c:v>
                </c:pt>
                <c:pt idx="32">
                  <c:v>-7.5249024033832939</c:v>
                </c:pt>
                <c:pt idx="33">
                  <c:v>-7.5292950540610946</c:v>
                </c:pt>
                <c:pt idx="34">
                  <c:v>-7.5310037728004318</c:v>
                </c:pt>
                <c:pt idx="35">
                  <c:v>-7.5400520070515995</c:v>
                </c:pt>
                <c:pt idx="36">
                  <c:v>-7.5407539963516683</c:v>
                </c:pt>
                <c:pt idx="37">
                  <c:v>-7.5413880468481693</c:v>
                </c:pt>
                <c:pt idx="38">
                  <c:v>-7.5415216933006377</c:v>
                </c:pt>
                <c:pt idx="39">
                  <c:v>-7.5646874889439459</c:v>
                </c:pt>
                <c:pt idx="40">
                  <c:v>-7.5437395535541327</c:v>
                </c:pt>
                <c:pt idx="41">
                  <c:v>-7.5454453101347099</c:v>
                </c:pt>
                <c:pt idx="42">
                  <c:v>-7.5462854695415444</c:v>
                </c:pt>
                <c:pt idx="43">
                  <c:v>-7.5463410303668752</c:v>
                </c:pt>
                <c:pt idx="44">
                  <c:v>-7.5484128384782707</c:v>
                </c:pt>
                <c:pt idx="45">
                  <c:v>-7.5579118396376543</c:v>
                </c:pt>
                <c:pt idx="46">
                  <c:v>-7.5488389704901238</c:v>
                </c:pt>
                <c:pt idx="47">
                  <c:v>-7.5563956153637264</c:v>
                </c:pt>
                <c:pt idx="48">
                  <c:v>-7.550486913354689</c:v>
                </c:pt>
                <c:pt idx="49">
                  <c:v>-7.5519725429144273</c:v>
                </c:pt>
                <c:pt idx="50">
                  <c:v>-7.5528124579732321</c:v>
                </c:pt>
                <c:pt idx="51">
                  <c:v>-7.5531978571930267</c:v>
                </c:pt>
                <c:pt idx="52">
                  <c:v>-7.5531978571930267</c:v>
                </c:pt>
                <c:pt idx="53">
                  <c:v>-7.5531978571930267</c:v>
                </c:pt>
                <c:pt idx="54">
                  <c:v>-7.5531978571930267</c:v>
                </c:pt>
                <c:pt idx="55">
                  <c:v>-7.5531978571930267</c:v>
                </c:pt>
                <c:pt idx="56">
                  <c:v>-7.5531978571930267</c:v>
                </c:pt>
                <c:pt idx="57">
                  <c:v>-7.5531978571930267</c:v>
                </c:pt>
                <c:pt idx="58">
                  <c:v>-7.5531978571930267</c:v>
                </c:pt>
                <c:pt idx="59">
                  <c:v>-7.5531978571930267</c:v>
                </c:pt>
                <c:pt idx="60">
                  <c:v>-7.5531978571930267</c:v>
                </c:pt>
                <c:pt idx="61">
                  <c:v>-7.5531978571930267</c:v>
                </c:pt>
                <c:pt idx="62">
                  <c:v>-7.5531978571930267</c:v>
                </c:pt>
                <c:pt idx="63">
                  <c:v>-7.5531978571930267</c:v>
                </c:pt>
                <c:pt idx="64">
                  <c:v>-7.5531978571930267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1-4AA6-9865-01233F93FA75}"/>
            </c:ext>
          </c:extLst>
        </c:ser>
        <c:ser>
          <c:idx val="1"/>
          <c:order val="1"/>
          <c:tx>
            <c:strRef>
              <c:f>Breast_Ovarian!$BZ$22</c:f>
              <c:strCache>
                <c:ptCount val="1"/>
                <c:pt idx="0">
                  <c:v>High Result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Breast_Ovarian!$BZ$24:$BZ$88</c:f>
              <c:numCache>
                <c:formatCode>"$"#,###</c:formatCode>
                <c:ptCount val="65"/>
                <c:pt idx="0">
                  <c:v>-12.268547174155628</c:v>
                </c:pt>
                <c:pt idx="1">
                  <c:v>-3.2700075559973811</c:v>
                </c:pt>
                <c:pt idx="2">
                  <c:v>-8.6079585461902752</c:v>
                </c:pt>
                <c:pt idx="3">
                  <c:v>-8.473425536294144</c:v>
                </c:pt>
                <c:pt idx="4">
                  <c:v>-8.5107202758613312</c:v>
                </c:pt>
                <c:pt idx="5">
                  <c:v>-8.4015457334785424</c:v>
                </c:pt>
                <c:pt idx="6">
                  <c:v>-8.0727418158735418</c:v>
                </c:pt>
                <c:pt idx="7">
                  <c:v>-8.0705682627185524</c:v>
                </c:pt>
                <c:pt idx="8">
                  <c:v>-8.0481864192679495</c:v>
                </c:pt>
                <c:pt idx="9">
                  <c:v>-8.0272580706405279</c:v>
                </c:pt>
                <c:pt idx="10">
                  <c:v>-7.996135982564283</c:v>
                </c:pt>
                <c:pt idx="11">
                  <c:v>-7.1509661539507761</c:v>
                </c:pt>
                <c:pt idx="12">
                  <c:v>-7.8696938533862522</c:v>
                </c:pt>
                <c:pt idx="13">
                  <c:v>-7.8570695738189897</c:v>
                </c:pt>
                <c:pt idx="14">
                  <c:v>-7.8419282676682087</c:v>
                </c:pt>
                <c:pt idx="15">
                  <c:v>-7.3304268104575385</c:v>
                </c:pt>
                <c:pt idx="16">
                  <c:v>-7.7113259577349709</c:v>
                </c:pt>
                <c:pt idx="17">
                  <c:v>-7.6764529317492816</c:v>
                </c:pt>
                <c:pt idx="18">
                  <c:v>-7.6618535192542367</c:v>
                </c:pt>
                <c:pt idx="19">
                  <c:v>-7.4431082311725731</c:v>
                </c:pt>
                <c:pt idx="20">
                  <c:v>-7.6532022807168687</c:v>
                </c:pt>
                <c:pt idx="21">
                  <c:v>-7.6497045333439928</c:v>
                </c:pt>
                <c:pt idx="22">
                  <c:v>-7.6403136321023339</c:v>
                </c:pt>
                <c:pt idx="23">
                  <c:v>-7.6348416164391892</c:v>
                </c:pt>
                <c:pt idx="24">
                  <c:v>-7.6139014724271874</c:v>
                </c:pt>
                <c:pt idx="25">
                  <c:v>-7.497449478073122</c:v>
                </c:pt>
                <c:pt idx="26">
                  <c:v>-7.5993959058305336</c:v>
                </c:pt>
                <c:pt idx="27">
                  <c:v>-7.5975437182623864</c:v>
                </c:pt>
                <c:pt idx="28">
                  <c:v>-7.5911195201992996</c:v>
                </c:pt>
                <c:pt idx="29">
                  <c:v>-7.5188043591001588</c:v>
                </c:pt>
                <c:pt idx="30">
                  <c:v>-7.5854206729882208</c:v>
                </c:pt>
                <c:pt idx="31">
                  <c:v>-7.5826481584235808</c:v>
                </c:pt>
                <c:pt idx="32">
                  <c:v>-7.5812741040799665</c:v>
                </c:pt>
                <c:pt idx="33">
                  <c:v>-7.5771006603222304</c:v>
                </c:pt>
                <c:pt idx="34">
                  <c:v>-7.5753919415851669</c:v>
                </c:pt>
                <c:pt idx="35">
                  <c:v>-7.5662000529564466</c:v>
                </c:pt>
                <c:pt idx="36">
                  <c:v>-7.5656417180357494</c:v>
                </c:pt>
                <c:pt idx="37">
                  <c:v>-7.5649618931452096</c:v>
                </c:pt>
                <c:pt idx="38">
                  <c:v>-7.5645031004169141</c:v>
                </c:pt>
                <c:pt idx="39">
                  <c:v>-7.541714108067481</c:v>
                </c:pt>
                <c:pt idx="40">
                  <c:v>-7.5626405940474797</c:v>
                </c:pt>
                <c:pt idx="41">
                  <c:v>-7.5609323549820147</c:v>
                </c:pt>
                <c:pt idx="42">
                  <c:v>-7.5601102448417805</c:v>
                </c:pt>
                <c:pt idx="43">
                  <c:v>-7.5599459620289053</c:v>
                </c:pt>
                <c:pt idx="44">
                  <c:v>-7.5579828759068732</c:v>
                </c:pt>
                <c:pt idx="45">
                  <c:v>-7.548486053050965</c:v>
                </c:pt>
                <c:pt idx="46">
                  <c:v>-7.5575513630355999</c:v>
                </c:pt>
                <c:pt idx="47">
                  <c:v>-7.5500000990195986</c:v>
                </c:pt>
                <c:pt idx="48">
                  <c:v>-7.5559088010300002</c:v>
                </c:pt>
                <c:pt idx="49">
                  <c:v>-7.5544219109174264</c:v>
                </c:pt>
                <c:pt idx="50">
                  <c:v>-7.5535832564128214</c:v>
                </c:pt>
                <c:pt idx="51">
                  <c:v>-7.5531978571930267</c:v>
                </c:pt>
                <c:pt idx="52">
                  <c:v>-7.5531978571930267</c:v>
                </c:pt>
                <c:pt idx="53">
                  <c:v>-7.5531978571930267</c:v>
                </c:pt>
                <c:pt idx="54">
                  <c:v>-7.5531978571930267</c:v>
                </c:pt>
                <c:pt idx="55">
                  <c:v>-7.5531978571930267</c:v>
                </c:pt>
                <c:pt idx="56">
                  <c:v>-7.5531978571930267</c:v>
                </c:pt>
                <c:pt idx="57">
                  <c:v>-7.5531978571930267</c:v>
                </c:pt>
                <c:pt idx="58">
                  <c:v>-7.5531978571930267</c:v>
                </c:pt>
                <c:pt idx="59">
                  <c:v>-7.5531978571930267</c:v>
                </c:pt>
                <c:pt idx="60">
                  <c:v>-7.5531978571930267</c:v>
                </c:pt>
                <c:pt idx="61">
                  <c:v>-7.5531978571930267</c:v>
                </c:pt>
                <c:pt idx="62">
                  <c:v>-7.5531978571930267</c:v>
                </c:pt>
                <c:pt idx="63">
                  <c:v>-7.5531978571930267</c:v>
                </c:pt>
                <c:pt idx="64">
                  <c:v>-7.5531978571930267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1-4AA6-9865-01233F93F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45698816"/>
        <c:axId val="1301075840"/>
      </c:barChart>
      <c:catAx>
        <c:axId val="1645698816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1075840"/>
        <c:crossesAt val="-7.5531978571930267"/>
        <c:auto val="1"/>
        <c:lblAlgn val="ctr"/>
        <c:lblOffset val="100"/>
        <c:noMultiLvlLbl val="0"/>
      </c:catAx>
      <c:valAx>
        <c:axId val="1301075840"/>
        <c:scaling>
          <c:orientation val="minMax"/>
          <c:max val="0"/>
          <c:min val="-20"/>
        </c:scaling>
        <c:delete val="0"/>
        <c:axPos val="t"/>
        <c:numFmt formatCode="&quot;$&quot;#,,&quot;M&quot;;\-&quot;$&quot;#,,&quot;M&quot;;&quot;$&quot;0" sourceLinked="0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45698816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375564734735994E-2"/>
          <c:y val="8.5571607896839E-2"/>
          <c:w val="0.8319408962768543"/>
          <c:h val="0.76929798775153102"/>
        </c:manualLayout>
      </c:layout>
      <c:scatterChart>
        <c:scatterStyle val="smoothMarker"/>
        <c:varyColors val="0"/>
        <c:ser>
          <c:idx val="1"/>
          <c:order val="0"/>
          <c:tx>
            <c:v>Pr_Cost-Effective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PSA!$J$16:$J$156</c:f>
              <c:numCache>
                <c:formatCode>"$"#,##0</c:formatCode>
                <c:ptCount val="14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6000</c:v>
                </c:pt>
                <c:pt idx="52">
                  <c:v>7000</c:v>
                </c:pt>
                <c:pt idx="53">
                  <c:v>8000</c:v>
                </c:pt>
                <c:pt idx="54">
                  <c:v>9000</c:v>
                </c:pt>
                <c:pt idx="55">
                  <c:v>10000</c:v>
                </c:pt>
                <c:pt idx="56">
                  <c:v>11000</c:v>
                </c:pt>
                <c:pt idx="57">
                  <c:v>12000</c:v>
                </c:pt>
                <c:pt idx="58">
                  <c:v>13000</c:v>
                </c:pt>
                <c:pt idx="59">
                  <c:v>14000</c:v>
                </c:pt>
                <c:pt idx="60">
                  <c:v>15000</c:v>
                </c:pt>
                <c:pt idx="61">
                  <c:v>16000</c:v>
                </c:pt>
                <c:pt idx="62">
                  <c:v>17000</c:v>
                </c:pt>
                <c:pt idx="63">
                  <c:v>18000</c:v>
                </c:pt>
                <c:pt idx="64">
                  <c:v>19000</c:v>
                </c:pt>
                <c:pt idx="65">
                  <c:v>20000</c:v>
                </c:pt>
                <c:pt idx="66">
                  <c:v>21000</c:v>
                </c:pt>
                <c:pt idx="67">
                  <c:v>22000</c:v>
                </c:pt>
                <c:pt idx="68">
                  <c:v>23000</c:v>
                </c:pt>
                <c:pt idx="69">
                  <c:v>24000</c:v>
                </c:pt>
                <c:pt idx="70">
                  <c:v>25000</c:v>
                </c:pt>
                <c:pt idx="71">
                  <c:v>27500</c:v>
                </c:pt>
                <c:pt idx="72">
                  <c:v>30000</c:v>
                </c:pt>
                <c:pt idx="73">
                  <c:v>32500</c:v>
                </c:pt>
                <c:pt idx="74">
                  <c:v>35000</c:v>
                </c:pt>
                <c:pt idx="75">
                  <c:v>37500</c:v>
                </c:pt>
                <c:pt idx="76">
                  <c:v>40000</c:v>
                </c:pt>
                <c:pt idx="77">
                  <c:v>42500</c:v>
                </c:pt>
                <c:pt idx="78">
                  <c:v>45000</c:v>
                </c:pt>
                <c:pt idx="79">
                  <c:v>47500</c:v>
                </c:pt>
                <c:pt idx="80">
                  <c:v>50000</c:v>
                </c:pt>
                <c:pt idx="81">
                  <c:v>52500</c:v>
                </c:pt>
                <c:pt idx="82">
                  <c:v>55000</c:v>
                </c:pt>
                <c:pt idx="83">
                  <c:v>57500</c:v>
                </c:pt>
                <c:pt idx="84">
                  <c:v>60000</c:v>
                </c:pt>
                <c:pt idx="85">
                  <c:v>62500</c:v>
                </c:pt>
                <c:pt idx="86">
                  <c:v>65000</c:v>
                </c:pt>
                <c:pt idx="87">
                  <c:v>67500</c:v>
                </c:pt>
                <c:pt idx="88">
                  <c:v>70000</c:v>
                </c:pt>
                <c:pt idx="89">
                  <c:v>72500</c:v>
                </c:pt>
                <c:pt idx="90">
                  <c:v>75000</c:v>
                </c:pt>
                <c:pt idx="91">
                  <c:v>77500</c:v>
                </c:pt>
                <c:pt idx="92">
                  <c:v>80000</c:v>
                </c:pt>
                <c:pt idx="93">
                  <c:v>82500</c:v>
                </c:pt>
                <c:pt idx="94">
                  <c:v>85000</c:v>
                </c:pt>
                <c:pt idx="95">
                  <c:v>87500</c:v>
                </c:pt>
                <c:pt idx="96">
                  <c:v>90000</c:v>
                </c:pt>
                <c:pt idx="97">
                  <c:v>92500</c:v>
                </c:pt>
                <c:pt idx="98">
                  <c:v>95000</c:v>
                </c:pt>
                <c:pt idx="99">
                  <c:v>97500</c:v>
                </c:pt>
                <c:pt idx="100">
                  <c:v>100000</c:v>
                </c:pt>
                <c:pt idx="101">
                  <c:v>102500</c:v>
                </c:pt>
                <c:pt idx="102">
                  <c:v>105000</c:v>
                </c:pt>
                <c:pt idx="103">
                  <c:v>107500</c:v>
                </c:pt>
                <c:pt idx="104">
                  <c:v>110000</c:v>
                </c:pt>
                <c:pt idx="105">
                  <c:v>112500</c:v>
                </c:pt>
                <c:pt idx="106">
                  <c:v>115000</c:v>
                </c:pt>
                <c:pt idx="107">
                  <c:v>117500</c:v>
                </c:pt>
                <c:pt idx="108">
                  <c:v>120000</c:v>
                </c:pt>
                <c:pt idx="109">
                  <c:v>122500</c:v>
                </c:pt>
                <c:pt idx="110">
                  <c:v>125000</c:v>
                </c:pt>
                <c:pt idx="111">
                  <c:v>127500</c:v>
                </c:pt>
                <c:pt idx="112">
                  <c:v>130000</c:v>
                </c:pt>
                <c:pt idx="113">
                  <c:v>132500</c:v>
                </c:pt>
                <c:pt idx="114">
                  <c:v>135000</c:v>
                </c:pt>
                <c:pt idx="115">
                  <c:v>137500</c:v>
                </c:pt>
                <c:pt idx="116">
                  <c:v>140000</c:v>
                </c:pt>
                <c:pt idx="117">
                  <c:v>142500</c:v>
                </c:pt>
                <c:pt idx="118">
                  <c:v>145000</c:v>
                </c:pt>
                <c:pt idx="119">
                  <c:v>147500</c:v>
                </c:pt>
                <c:pt idx="120">
                  <c:v>150000</c:v>
                </c:pt>
                <c:pt idx="121">
                  <c:v>152500</c:v>
                </c:pt>
                <c:pt idx="122">
                  <c:v>155000</c:v>
                </c:pt>
                <c:pt idx="123">
                  <c:v>157500</c:v>
                </c:pt>
                <c:pt idx="124">
                  <c:v>160000</c:v>
                </c:pt>
                <c:pt idx="125">
                  <c:v>162500</c:v>
                </c:pt>
                <c:pt idx="126">
                  <c:v>165000</c:v>
                </c:pt>
                <c:pt idx="127">
                  <c:v>167500</c:v>
                </c:pt>
                <c:pt idx="128">
                  <c:v>170000</c:v>
                </c:pt>
                <c:pt idx="129">
                  <c:v>172500</c:v>
                </c:pt>
                <c:pt idx="130">
                  <c:v>175000</c:v>
                </c:pt>
                <c:pt idx="131">
                  <c:v>177500</c:v>
                </c:pt>
                <c:pt idx="132">
                  <c:v>180000</c:v>
                </c:pt>
                <c:pt idx="133">
                  <c:v>182500</c:v>
                </c:pt>
                <c:pt idx="134">
                  <c:v>185000</c:v>
                </c:pt>
                <c:pt idx="135">
                  <c:v>187500</c:v>
                </c:pt>
                <c:pt idx="136">
                  <c:v>190000</c:v>
                </c:pt>
                <c:pt idx="137">
                  <c:v>192500</c:v>
                </c:pt>
                <c:pt idx="138">
                  <c:v>195000</c:v>
                </c:pt>
                <c:pt idx="139">
                  <c:v>197500</c:v>
                </c:pt>
                <c:pt idx="140">
                  <c:v>200000</c:v>
                </c:pt>
              </c:numCache>
            </c:numRef>
          </c:xVal>
          <c:yVal>
            <c:numRef>
              <c:f>PSA!$L$16:$L$156</c:f>
              <c:numCache>
                <c:formatCode>General</c:formatCode>
                <c:ptCount val="14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0.999</c:v>
                </c:pt>
                <c:pt idx="74">
                  <c:v>0.998</c:v>
                </c:pt>
                <c:pt idx="75">
                  <c:v>0.998</c:v>
                </c:pt>
                <c:pt idx="76">
                  <c:v>0.997</c:v>
                </c:pt>
                <c:pt idx="77">
                  <c:v>0.997</c:v>
                </c:pt>
                <c:pt idx="78">
                  <c:v>0.996</c:v>
                </c:pt>
                <c:pt idx="79">
                  <c:v>0.995</c:v>
                </c:pt>
                <c:pt idx="80">
                  <c:v>0.99399999999999999</c:v>
                </c:pt>
                <c:pt idx="81">
                  <c:v>0.99199999999999999</c:v>
                </c:pt>
                <c:pt idx="82">
                  <c:v>0.99</c:v>
                </c:pt>
                <c:pt idx="83">
                  <c:v>0.98799999999999999</c:v>
                </c:pt>
                <c:pt idx="84">
                  <c:v>0.98499999999999999</c:v>
                </c:pt>
                <c:pt idx="85">
                  <c:v>0.98499999999999999</c:v>
                </c:pt>
                <c:pt idx="86">
                  <c:v>0.98299999999999998</c:v>
                </c:pt>
                <c:pt idx="87">
                  <c:v>0.98199999999999998</c:v>
                </c:pt>
                <c:pt idx="88">
                  <c:v>0.98</c:v>
                </c:pt>
                <c:pt idx="89">
                  <c:v>0.97799999999999998</c:v>
                </c:pt>
                <c:pt idx="90">
                  <c:v>0.97599999999999998</c:v>
                </c:pt>
                <c:pt idx="91">
                  <c:v>0.97499999999999998</c:v>
                </c:pt>
                <c:pt idx="92">
                  <c:v>0.97199999999999998</c:v>
                </c:pt>
                <c:pt idx="93">
                  <c:v>0.97199999999999998</c:v>
                </c:pt>
                <c:pt idx="94">
                  <c:v>0.96899999999999997</c:v>
                </c:pt>
                <c:pt idx="95">
                  <c:v>0.96599999999999997</c:v>
                </c:pt>
                <c:pt idx="96">
                  <c:v>0.96399999999999997</c:v>
                </c:pt>
                <c:pt idx="97">
                  <c:v>0.96299999999999997</c:v>
                </c:pt>
                <c:pt idx="98">
                  <c:v>0.96299999999999997</c:v>
                </c:pt>
                <c:pt idx="99">
                  <c:v>0.96199999999999997</c:v>
                </c:pt>
                <c:pt idx="100">
                  <c:v>0.96099999999999997</c:v>
                </c:pt>
                <c:pt idx="101">
                  <c:v>0.96</c:v>
                </c:pt>
                <c:pt idx="102">
                  <c:v>0.95799999999999996</c:v>
                </c:pt>
                <c:pt idx="103">
                  <c:v>0.95599999999999996</c:v>
                </c:pt>
                <c:pt idx="104">
                  <c:v>0.95599999999999996</c:v>
                </c:pt>
                <c:pt idx="105">
                  <c:v>0.95599999999999996</c:v>
                </c:pt>
                <c:pt idx="106">
                  <c:v>0.95499999999999996</c:v>
                </c:pt>
                <c:pt idx="107">
                  <c:v>0.95399999999999996</c:v>
                </c:pt>
                <c:pt idx="108">
                  <c:v>0.95199999999999996</c:v>
                </c:pt>
                <c:pt idx="109">
                  <c:v>0.95</c:v>
                </c:pt>
                <c:pt idx="110">
                  <c:v>0.94899999999999995</c:v>
                </c:pt>
                <c:pt idx="111">
                  <c:v>0.94799999999999995</c:v>
                </c:pt>
                <c:pt idx="112">
                  <c:v>0.94599999999999995</c:v>
                </c:pt>
                <c:pt idx="113">
                  <c:v>0.94399999999999995</c:v>
                </c:pt>
                <c:pt idx="114">
                  <c:v>0.94299999999999995</c:v>
                </c:pt>
                <c:pt idx="115">
                  <c:v>0.94199999999999995</c:v>
                </c:pt>
                <c:pt idx="116">
                  <c:v>0.94099999999999995</c:v>
                </c:pt>
                <c:pt idx="117">
                  <c:v>0.93899999999999995</c:v>
                </c:pt>
                <c:pt idx="118">
                  <c:v>0.93899999999999995</c:v>
                </c:pt>
                <c:pt idx="119">
                  <c:v>0.93700000000000006</c:v>
                </c:pt>
                <c:pt idx="120">
                  <c:v>0.93400000000000005</c:v>
                </c:pt>
                <c:pt idx="121">
                  <c:v>0.93400000000000005</c:v>
                </c:pt>
                <c:pt idx="122">
                  <c:v>0.93200000000000005</c:v>
                </c:pt>
                <c:pt idx="123">
                  <c:v>0.93200000000000005</c:v>
                </c:pt>
                <c:pt idx="124">
                  <c:v>0.93200000000000005</c:v>
                </c:pt>
                <c:pt idx="125">
                  <c:v>0.93100000000000005</c:v>
                </c:pt>
                <c:pt idx="126">
                  <c:v>0.93100000000000005</c:v>
                </c:pt>
                <c:pt idx="127">
                  <c:v>0.93</c:v>
                </c:pt>
                <c:pt idx="128">
                  <c:v>0.92900000000000005</c:v>
                </c:pt>
                <c:pt idx="129">
                  <c:v>0.92800000000000005</c:v>
                </c:pt>
                <c:pt idx="130">
                  <c:v>0.92800000000000005</c:v>
                </c:pt>
                <c:pt idx="131">
                  <c:v>0.92600000000000005</c:v>
                </c:pt>
                <c:pt idx="132">
                  <c:v>0.92600000000000005</c:v>
                </c:pt>
                <c:pt idx="133">
                  <c:v>0.92600000000000005</c:v>
                </c:pt>
                <c:pt idx="134">
                  <c:v>0.92600000000000005</c:v>
                </c:pt>
                <c:pt idx="135">
                  <c:v>0.92400000000000004</c:v>
                </c:pt>
                <c:pt idx="136">
                  <c:v>0.92400000000000004</c:v>
                </c:pt>
                <c:pt idx="137">
                  <c:v>0.92400000000000004</c:v>
                </c:pt>
                <c:pt idx="138">
                  <c:v>0.92200000000000004</c:v>
                </c:pt>
                <c:pt idx="139">
                  <c:v>0.92200000000000004</c:v>
                </c:pt>
                <c:pt idx="140">
                  <c:v>0.92100000000000004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D1-4118-967B-88E5D263C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006520"/>
        <c:axId val="40300612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ICER</c:v>
                </c:tx>
                <c:marker>
                  <c:symbol val="none"/>
                </c:marker>
                <c:dPt>
                  <c:idx val="0"/>
                  <c:marker>
                    <c:symbol val="circle"/>
                    <c:size val="8"/>
                    <c:spPr>
                      <a:solidFill>
                        <a:schemeClr val="tx2"/>
                      </a:solidFill>
                      <a:ln>
                        <a:noFill/>
                      </a:ln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1-46D1-4118-967B-88E5D263CAC5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wrap="square" lIns="38100" tIns="19050" rIns="38100" bIns="19050" anchor="ctr">
                        <a:spAutoFit/>
                      </a:bodyPr>
                      <a:lstStyle/>
                      <a:p>
                        <a:pPr>
                          <a:defRPr b="1">
                            <a:solidFill>
                              <a:schemeClr val="tx1"/>
                            </a:solidFill>
                          </a:defRPr>
                        </a:pPr>
                        <a:endParaRPr lang="en-US"/>
                      </a:p>
                    </c:txPr>
                    <c:showLegendKey val="0"/>
                    <c:showVal val="0"/>
                    <c:showCatName val="1"/>
                    <c:showSerName val="1"/>
                    <c:showPercent val="0"/>
                    <c:showBubbleSize val="0"/>
                    <c:extLst>
                      <c:ext xmlns:c16="http://schemas.microsoft.com/office/drawing/2014/chart" uri="{C3380CC4-5D6E-409C-BE32-E72D297353CC}">
                        <c16:uniqueId val="{00000001-46D1-4118-967B-88E5D263CAC5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1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PSA!$L$12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-93816.824882527711</c:v>
                      </c:pt>
                    </c:numCache>
                  </c:numRef>
                </c:xVal>
                <c:yVal>
                  <c:numLit>
                    <c:formatCode>General</c:formatCode>
                    <c:ptCount val="1"/>
                    <c:pt idx="0">
                      <c:v>0.5</c:v>
                    </c:pt>
                  </c:numLit>
                </c:yVal>
                <c:smooth val="1"/>
                <c:extLst>
                  <c:ext xmlns:c16="http://schemas.microsoft.com/office/drawing/2014/chart" uri="{C3380CC4-5D6E-409C-BE32-E72D297353CC}">
                    <c16:uniqueId val="{00000002-46D1-4118-967B-88E5D263CAC5}"/>
                  </c:ext>
                </c:extLst>
              </c15:ser>
            </c15:filteredScatterSeries>
          </c:ext>
        </c:extLst>
      </c:scatterChart>
      <c:valAx>
        <c:axId val="403006520"/>
        <c:scaling>
          <c:orientation val="minMax"/>
          <c:max val="200000"/>
        </c:scaling>
        <c:delete val="0"/>
        <c:axPos val="b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numFmt formatCode="&quot;$&quot;#,##0,&quot;K&quot;" sourceLinked="0"/>
        <c:majorTickMark val="out"/>
        <c:minorTickMark val="none"/>
        <c:tickLblPos val="nextTo"/>
        <c:txPr>
          <a:bodyPr rot="-1980000"/>
          <a:lstStyle/>
          <a:p>
            <a:pPr>
              <a:defRPr>
                <a:latin typeface="Arial"/>
                <a:cs typeface="Arial"/>
              </a:defRPr>
            </a:pPr>
            <a:endParaRPr lang="en-US"/>
          </a:p>
        </c:txPr>
        <c:crossAx val="403006128"/>
        <c:crosses val="autoZero"/>
        <c:crossBetween val="midCat"/>
        <c:majorUnit val="25000"/>
      </c:valAx>
      <c:valAx>
        <c:axId val="403006128"/>
        <c:scaling>
          <c:orientation val="minMax"/>
          <c:max val="1.01"/>
          <c:min val="0"/>
        </c:scaling>
        <c:delete val="0"/>
        <c:axPos val="l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/>
                <a:cs typeface="Arial"/>
              </a:defRPr>
            </a:pPr>
            <a:endParaRPr lang="en-US"/>
          </a:p>
        </c:txPr>
        <c:crossAx val="403006520"/>
        <c:crosses val="autoZero"/>
        <c:crossBetween val="midCat"/>
        <c:majorUnit val="0.1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76678353463302"/>
          <c:y val="4.8888888888888891E-2"/>
          <c:w val="0.82880873022721246"/>
          <c:h val="0.81786666666666685"/>
        </c:manualLayout>
      </c:layout>
      <c:scatterChart>
        <c:scatterStyle val="lineMarker"/>
        <c:varyColors val="0"/>
        <c:ser>
          <c:idx val="0"/>
          <c:order val="0"/>
          <c:tx>
            <c:v>ICER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PSA!$H$16:$H$1015</c:f>
              <c:numCache>
                <c:formatCode>General</c:formatCode>
                <c:ptCount val="1000"/>
                <c:pt idx="0">
                  <c:v>1.9227107074151206E-3</c:v>
                </c:pt>
                <c:pt idx="1">
                  <c:v>-2.1985738758878881E-2</c:v>
                </c:pt>
                <c:pt idx="2">
                  <c:v>2.8244930532984824E-2</c:v>
                </c:pt>
                <c:pt idx="3">
                  <c:v>6.2497513313015673E-2</c:v>
                </c:pt>
                <c:pt idx="4">
                  <c:v>2.57581082209839E-2</c:v>
                </c:pt>
                <c:pt idx="5">
                  <c:v>5.4714571102472576E-2</c:v>
                </c:pt>
                <c:pt idx="6">
                  <c:v>3.386675622071067E-3</c:v>
                </c:pt>
                <c:pt idx="7">
                  <c:v>2.8175411268744455E-2</c:v>
                </c:pt>
                <c:pt idx="8">
                  <c:v>1.3457824097972804E-2</c:v>
                </c:pt>
                <c:pt idx="9">
                  <c:v>3.7784381891022178E-2</c:v>
                </c:pt>
                <c:pt idx="10">
                  <c:v>2.4990639123139147E-2</c:v>
                </c:pt>
                <c:pt idx="11">
                  <c:v>1.5311204681516699E-2</c:v>
                </c:pt>
                <c:pt idx="12">
                  <c:v>-9.6336148584299508E-3</c:v>
                </c:pt>
                <c:pt idx="13">
                  <c:v>8.0959341260822271E-4</c:v>
                </c:pt>
                <c:pt idx="14">
                  <c:v>1.7736130761363711E-2</c:v>
                </c:pt>
                <c:pt idx="15">
                  <c:v>3.0998858556529285E-2</c:v>
                </c:pt>
                <c:pt idx="16">
                  <c:v>3.7478698563869983E-2</c:v>
                </c:pt>
                <c:pt idx="17">
                  <c:v>4.1092344175183371E-2</c:v>
                </c:pt>
                <c:pt idx="18">
                  <c:v>1.3774132742586431E-2</c:v>
                </c:pt>
                <c:pt idx="19">
                  <c:v>4.8080962362249124E-3</c:v>
                </c:pt>
                <c:pt idx="20">
                  <c:v>2.682698188976218E-2</c:v>
                </c:pt>
                <c:pt idx="21">
                  <c:v>3.390697698885603E-2</c:v>
                </c:pt>
                <c:pt idx="22">
                  <c:v>7.1702961116493213E-3</c:v>
                </c:pt>
                <c:pt idx="23">
                  <c:v>8.324482379027387E-3</c:v>
                </c:pt>
                <c:pt idx="24">
                  <c:v>9.8238592823491899E-3</c:v>
                </c:pt>
                <c:pt idx="25">
                  <c:v>4.0596551340858156E-2</c:v>
                </c:pt>
                <c:pt idx="26">
                  <c:v>4.4318974009126322E-2</c:v>
                </c:pt>
                <c:pt idx="27">
                  <c:v>-9.2611583806068154E-3</c:v>
                </c:pt>
                <c:pt idx="28">
                  <c:v>2.4159553411610801E-2</c:v>
                </c:pt>
                <c:pt idx="29">
                  <c:v>3.8471342397485842E-2</c:v>
                </c:pt>
                <c:pt idx="30">
                  <c:v>4.5142226611726954E-2</c:v>
                </c:pt>
                <c:pt idx="31">
                  <c:v>2.0765943356220617E-2</c:v>
                </c:pt>
                <c:pt idx="32">
                  <c:v>1.6415224835121478E-2</c:v>
                </c:pt>
                <c:pt idx="33">
                  <c:v>3.0427881342834695E-2</c:v>
                </c:pt>
                <c:pt idx="34">
                  <c:v>5.0092800948036142E-3</c:v>
                </c:pt>
                <c:pt idx="35">
                  <c:v>3.2990594072082047E-2</c:v>
                </c:pt>
                <c:pt idx="36">
                  <c:v>1.4683246880931478E-2</c:v>
                </c:pt>
                <c:pt idx="37">
                  <c:v>2.5340354969323187E-3</c:v>
                </c:pt>
                <c:pt idx="38">
                  <c:v>3.2855452610963454E-2</c:v>
                </c:pt>
                <c:pt idx="39">
                  <c:v>7.8656655091116079E-3</c:v>
                </c:pt>
                <c:pt idx="40">
                  <c:v>2.4059100463002636E-2</c:v>
                </c:pt>
                <c:pt idx="41">
                  <c:v>3.4335892060610718E-3</c:v>
                </c:pt>
                <c:pt idx="42">
                  <c:v>8.1921455698470425E-3</c:v>
                </c:pt>
                <c:pt idx="43">
                  <c:v>1.5290330588126011E-2</c:v>
                </c:pt>
                <c:pt idx="44">
                  <c:v>5.096867016967721E-2</c:v>
                </c:pt>
                <c:pt idx="45">
                  <c:v>7.827751170574615E-2</c:v>
                </c:pt>
                <c:pt idx="46">
                  <c:v>1.9610418899127069E-2</c:v>
                </c:pt>
                <c:pt idx="47">
                  <c:v>3.5717630118480059E-2</c:v>
                </c:pt>
                <c:pt idx="48">
                  <c:v>2.4870928727530384E-2</c:v>
                </c:pt>
                <c:pt idx="49">
                  <c:v>1.0993138207219033E-2</c:v>
                </c:pt>
                <c:pt idx="50">
                  <c:v>4.3122364167736293E-2</c:v>
                </c:pt>
                <c:pt idx="51">
                  <c:v>1.3091846663623841E-2</c:v>
                </c:pt>
                <c:pt idx="52" formatCode="&quot;$&quot;#,##0.00_);\(&quot;$&quot;#,##0.00\)">
                  <c:v>-2.138607795238201E-2</c:v>
                </c:pt>
                <c:pt idx="53">
                  <c:v>1.3884920754101415E-2</c:v>
                </c:pt>
                <c:pt idx="54">
                  <c:v>3.3111126706298677E-2</c:v>
                </c:pt>
                <c:pt idx="55">
                  <c:v>1.4278037874539962E-3</c:v>
                </c:pt>
                <c:pt idx="56">
                  <c:v>3.6394201981330809E-2</c:v>
                </c:pt>
                <c:pt idx="57">
                  <c:v>3.2887231267419992E-2</c:v>
                </c:pt>
                <c:pt idx="58">
                  <c:v>8.1713637866549504E-3</c:v>
                </c:pt>
                <c:pt idx="59">
                  <c:v>9.9806195470435455E-3</c:v>
                </c:pt>
                <c:pt idx="60">
                  <c:v>2.6039237029372941E-2</c:v>
                </c:pt>
                <c:pt idx="61">
                  <c:v>5.3560242795960278E-3</c:v>
                </c:pt>
                <c:pt idx="62">
                  <c:v>5.8990606991020655E-2</c:v>
                </c:pt>
                <c:pt idx="63">
                  <c:v>3.7454672341997508E-2</c:v>
                </c:pt>
                <c:pt idx="64">
                  <c:v>3.2360305927191746E-2</c:v>
                </c:pt>
                <c:pt idx="65">
                  <c:v>3.336341677497856E-2</c:v>
                </c:pt>
                <c:pt idx="66">
                  <c:v>-6.1195821624586699E-3</c:v>
                </c:pt>
                <c:pt idx="67">
                  <c:v>7.3599770759766869E-2</c:v>
                </c:pt>
                <c:pt idx="68">
                  <c:v>5.31557445727735E-2</c:v>
                </c:pt>
                <c:pt idx="69">
                  <c:v>2.6551902631403834E-2</c:v>
                </c:pt>
                <c:pt idx="70">
                  <c:v>3.093445970706199E-2</c:v>
                </c:pt>
                <c:pt idx="71">
                  <c:v>-1.7887337164914641E-2</c:v>
                </c:pt>
                <c:pt idx="72">
                  <c:v>2.6699267466806731E-2</c:v>
                </c:pt>
                <c:pt idx="73">
                  <c:v>3.082659715964553E-2</c:v>
                </c:pt>
                <c:pt idx="74">
                  <c:v>4.6531488244188068E-2</c:v>
                </c:pt>
                <c:pt idx="75">
                  <c:v>3.8833160361768648E-2</c:v>
                </c:pt>
                <c:pt idx="76">
                  <c:v>2.2573892589189626E-2</c:v>
                </c:pt>
                <c:pt idx="77" formatCode="&quot;$&quot;#,##0.00_);\(&quot;$&quot;#,##0.00\)">
                  <c:v>-1.4684590693118338E-2</c:v>
                </c:pt>
                <c:pt idx="78">
                  <c:v>-2.7109369434164421E-2</c:v>
                </c:pt>
                <c:pt idx="79">
                  <c:v>2.7175128330299003E-3</c:v>
                </c:pt>
                <c:pt idx="80">
                  <c:v>-5.3274962860974995E-2</c:v>
                </c:pt>
                <c:pt idx="81">
                  <c:v>8.6970117036742067E-3</c:v>
                </c:pt>
                <c:pt idx="82">
                  <c:v>-7.5015449647821697E-3</c:v>
                </c:pt>
                <c:pt idx="83">
                  <c:v>1.6682690640934084E-2</c:v>
                </c:pt>
                <c:pt idx="84">
                  <c:v>1.6056448975138693E-2</c:v>
                </c:pt>
                <c:pt idx="85">
                  <c:v>2.3810333399858052E-2</c:v>
                </c:pt>
                <c:pt idx="86">
                  <c:v>-5.7922810557187177E-4</c:v>
                </c:pt>
                <c:pt idx="87">
                  <c:v>1.8017786328631047E-2</c:v>
                </c:pt>
                <c:pt idx="88">
                  <c:v>2.8911547158298134E-2</c:v>
                </c:pt>
                <c:pt idx="89">
                  <c:v>1.0033556289663181E-2</c:v>
                </c:pt>
                <c:pt idx="90">
                  <c:v>1.7964634692830828E-3</c:v>
                </c:pt>
                <c:pt idx="91">
                  <c:v>3.653830361346877E-2</c:v>
                </c:pt>
                <c:pt idx="92">
                  <c:v>-1.2004317841789458E-2</c:v>
                </c:pt>
                <c:pt idx="93">
                  <c:v>-9.5292999984692983E-3</c:v>
                </c:pt>
                <c:pt idx="94">
                  <c:v>7.4958117921244849E-2</c:v>
                </c:pt>
                <c:pt idx="95">
                  <c:v>4.2907738080334212E-2</c:v>
                </c:pt>
                <c:pt idx="96">
                  <c:v>2.5215691567872511E-2</c:v>
                </c:pt>
                <c:pt idx="97">
                  <c:v>1.680200863452086E-2</c:v>
                </c:pt>
                <c:pt idx="98">
                  <c:v>1.4184802243114802E-2</c:v>
                </c:pt>
                <c:pt idx="99">
                  <c:v>1.5054879583214387E-2</c:v>
                </c:pt>
                <c:pt idx="100">
                  <c:v>3.4780799733560741E-2</c:v>
                </c:pt>
                <c:pt idx="101">
                  <c:v>1.7753532152131157E-2</c:v>
                </c:pt>
                <c:pt idx="102" formatCode="&quot;$&quot;#,##0.00_);\(&quot;$&quot;#,##0.00\)">
                  <c:v>3.3651112913418046E-2</c:v>
                </c:pt>
                <c:pt idx="103">
                  <c:v>7.6983861300938372E-2</c:v>
                </c:pt>
                <c:pt idx="104">
                  <c:v>6.3470451328484501E-4</c:v>
                </c:pt>
                <c:pt idx="105">
                  <c:v>1.0074020700102437E-2</c:v>
                </c:pt>
                <c:pt idx="106">
                  <c:v>8.1844941950244277E-3</c:v>
                </c:pt>
                <c:pt idx="107">
                  <c:v>7.4631324965714896E-3</c:v>
                </c:pt>
                <c:pt idx="108">
                  <c:v>1.0735814010217837E-2</c:v>
                </c:pt>
                <c:pt idx="109">
                  <c:v>-3.3138445231692515E-2</c:v>
                </c:pt>
                <c:pt idx="110">
                  <c:v>4.2498308539020258E-2</c:v>
                </c:pt>
                <c:pt idx="111">
                  <c:v>3.8689425301281943E-2</c:v>
                </c:pt>
                <c:pt idx="112">
                  <c:v>2.8315624478366885E-2</c:v>
                </c:pt>
                <c:pt idx="113">
                  <c:v>4.882784304059129E-2</c:v>
                </c:pt>
                <c:pt idx="114">
                  <c:v>1.5103964602044329E-2</c:v>
                </c:pt>
                <c:pt idx="115">
                  <c:v>4.4189647566891921E-2</c:v>
                </c:pt>
                <c:pt idx="116">
                  <c:v>6.6910422233039668E-2</c:v>
                </c:pt>
                <c:pt idx="117">
                  <c:v>-1.9852019513265873E-2</c:v>
                </c:pt>
                <c:pt idx="118">
                  <c:v>5.5792394977473236E-2</c:v>
                </c:pt>
                <c:pt idx="119">
                  <c:v>1.1070450036925195E-2</c:v>
                </c:pt>
                <c:pt idx="120">
                  <c:v>3.6987171761012405E-2</c:v>
                </c:pt>
                <c:pt idx="121">
                  <c:v>3.9097039803458244E-2</c:v>
                </c:pt>
                <c:pt idx="122">
                  <c:v>2.6069071609569505E-2</c:v>
                </c:pt>
                <c:pt idx="123">
                  <c:v>2.3165493380702173E-2</c:v>
                </c:pt>
                <c:pt idx="124">
                  <c:v>2.8368238565182224E-2</c:v>
                </c:pt>
                <c:pt idx="125">
                  <c:v>2.3312037256971507E-2</c:v>
                </c:pt>
                <c:pt idx="126">
                  <c:v>-4.7679153283866071E-3</c:v>
                </c:pt>
                <c:pt idx="127">
                  <c:v>1.3124102616330902E-3</c:v>
                </c:pt>
                <c:pt idx="128">
                  <c:v>2.1753793367651042E-2</c:v>
                </c:pt>
                <c:pt idx="129">
                  <c:v>4.1836085709164195E-2</c:v>
                </c:pt>
                <c:pt idx="130">
                  <c:v>2.6581648323919183E-2</c:v>
                </c:pt>
                <c:pt idx="131">
                  <c:v>4.6370413654429399E-2</c:v>
                </c:pt>
                <c:pt idx="132">
                  <c:v>4.6935988131643569E-2</c:v>
                </c:pt>
                <c:pt idx="133">
                  <c:v>3.2369369410925941E-2</c:v>
                </c:pt>
                <c:pt idx="134">
                  <c:v>6.2336124287512007E-3</c:v>
                </c:pt>
                <c:pt idx="135">
                  <c:v>4.8508248916931507E-2</c:v>
                </c:pt>
                <c:pt idx="136">
                  <c:v>3.2349870972513628E-2</c:v>
                </c:pt>
                <c:pt idx="137">
                  <c:v>4.1609813470859791E-2</c:v>
                </c:pt>
                <c:pt idx="138">
                  <c:v>-1.5799990094173211E-2</c:v>
                </c:pt>
                <c:pt idx="139">
                  <c:v>1.3430752435194648E-2</c:v>
                </c:pt>
                <c:pt idx="140">
                  <c:v>7.4371360882025783E-2</c:v>
                </c:pt>
                <c:pt idx="141">
                  <c:v>2.1399890399109722E-3</c:v>
                </c:pt>
                <c:pt idx="142">
                  <c:v>4.9045552567452688E-2</c:v>
                </c:pt>
                <c:pt idx="143">
                  <c:v>-1.4807453159377815E-3</c:v>
                </c:pt>
                <c:pt idx="144">
                  <c:v>2.9801958298627085E-2</c:v>
                </c:pt>
                <c:pt idx="145">
                  <c:v>1.8205195320636136E-2</c:v>
                </c:pt>
                <c:pt idx="146">
                  <c:v>2.2628156434205238E-2</c:v>
                </c:pt>
                <c:pt idx="147">
                  <c:v>5.5708701346453893E-2</c:v>
                </c:pt>
                <c:pt idx="148">
                  <c:v>3.037705454953965E-2</c:v>
                </c:pt>
                <c:pt idx="149">
                  <c:v>6.6123817362715442E-3</c:v>
                </c:pt>
                <c:pt idx="150">
                  <c:v>3.9210732509765478E-2</c:v>
                </c:pt>
                <c:pt idx="151">
                  <c:v>2.8395101585587668E-3</c:v>
                </c:pt>
                <c:pt idx="152">
                  <c:v>-3.6281906491808513E-4</c:v>
                </c:pt>
                <c:pt idx="153">
                  <c:v>2.6680464188828523E-2</c:v>
                </c:pt>
                <c:pt idx="154">
                  <c:v>4.0378709134525792E-2</c:v>
                </c:pt>
                <c:pt idx="155">
                  <c:v>1.8773393774672797E-2</c:v>
                </c:pt>
                <c:pt idx="156">
                  <c:v>2.3541667204398209E-2</c:v>
                </c:pt>
                <c:pt idx="157">
                  <c:v>8.9045023780663257E-2</c:v>
                </c:pt>
                <c:pt idx="158">
                  <c:v>3.2148947255500104E-2</c:v>
                </c:pt>
                <c:pt idx="159">
                  <c:v>1.5129976662027644E-2</c:v>
                </c:pt>
                <c:pt idx="160">
                  <c:v>1.323913878483296E-3</c:v>
                </c:pt>
                <c:pt idx="161">
                  <c:v>5.9086705478588186E-2</c:v>
                </c:pt>
                <c:pt idx="162">
                  <c:v>1.3503543867660284E-2</c:v>
                </c:pt>
                <c:pt idx="163">
                  <c:v>-1.0049876378367628E-2</c:v>
                </c:pt>
                <c:pt idx="164">
                  <c:v>4.911728512507807E-2</c:v>
                </c:pt>
                <c:pt idx="165">
                  <c:v>2.0814020050405446E-2</c:v>
                </c:pt>
                <c:pt idx="166">
                  <c:v>-4.2292622879713804E-4</c:v>
                </c:pt>
                <c:pt idx="167">
                  <c:v>-1.9649474030291714E-2</c:v>
                </c:pt>
                <c:pt idx="168">
                  <c:v>4.5340452499878836E-2</c:v>
                </c:pt>
                <c:pt idx="169">
                  <c:v>4.4173764661380233E-2</c:v>
                </c:pt>
                <c:pt idx="170">
                  <c:v>3.4628584962018039E-2</c:v>
                </c:pt>
                <c:pt idx="171">
                  <c:v>5.1850076016787483E-2</c:v>
                </c:pt>
                <c:pt idx="172">
                  <c:v>4.9430623210504621E-2</c:v>
                </c:pt>
                <c:pt idx="173">
                  <c:v>4.0840843344735589E-2</c:v>
                </c:pt>
                <c:pt idx="174">
                  <c:v>1.357984625101949E-2</c:v>
                </c:pt>
                <c:pt idx="175">
                  <c:v>4.1567194665287133E-2</c:v>
                </c:pt>
                <c:pt idx="176">
                  <c:v>4.967249950899344E-2</c:v>
                </c:pt>
                <c:pt idx="177">
                  <c:v>6.6210936934609776E-3</c:v>
                </c:pt>
                <c:pt idx="178">
                  <c:v>-1.5656912174410564E-2</c:v>
                </c:pt>
                <c:pt idx="179">
                  <c:v>3.5986577141059684E-2</c:v>
                </c:pt>
                <c:pt idx="180">
                  <c:v>-6.8287129579367445E-3</c:v>
                </c:pt>
                <c:pt idx="181">
                  <c:v>3.182759504181476E-2</c:v>
                </c:pt>
                <c:pt idx="182">
                  <c:v>2.7703982570415064E-2</c:v>
                </c:pt>
                <c:pt idx="183">
                  <c:v>3.8262589097577404E-3</c:v>
                </c:pt>
                <c:pt idx="184">
                  <c:v>3.4243758415541947E-2</c:v>
                </c:pt>
                <c:pt idx="185">
                  <c:v>-9.6018630167620245E-3</c:v>
                </c:pt>
                <c:pt idx="186">
                  <c:v>2.0216465674746331E-2</c:v>
                </c:pt>
                <c:pt idx="187">
                  <c:v>3.2312610917450968E-2</c:v>
                </c:pt>
                <c:pt idx="188">
                  <c:v>-2.6898406955346843E-2</c:v>
                </c:pt>
                <c:pt idx="189">
                  <c:v>3.9692867468371418E-2</c:v>
                </c:pt>
                <c:pt idx="190">
                  <c:v>1.9303397264415878E-2</c:v>
                </c:pt>
                <c:pt idx="191">
                  <c:v>1.9240953963013396E-2</c:v>
                </c:pt>
                <c:pt idx="192">
                  <c:v>-1.208468449810951E-2</c:v>
                </c:pt>
                <c:pt idx="193">
                  <c:v>-1.9983177985004374E-2</c:v>
                </c:pt>
                <c:pt idx="194">
                  <c:v>5.1545675381490241E-3</c:v>
                </c:pt>
                <c:pt idx="195">
                  <c:v>2.1912578936568394E-2</c:v>
                </c:pt>
                <c:pt idx="196">
                  <c:v>2.611634485829839E-2</c:v>
                </c:pt>
                <c:pt idx="197">
                  <c:v>3.5145536441270053E-3</c:v>
                </c:pt>
                <c:pt idx="198">
                  <c:v>1.5692656073106548E-2</c:v>
                </c:pt>
                <c:pt idx="199">
                  <c:v>1.8844044737807764E-2</c:v>
                </c:pt>
                <c:pt idx="200">
                  <c:v>6.4782553456712577E-2</c:v>
                </c:pt>
                <c:pt idx="201">
                  <c:v>1.8996763520011228E-2</c:v>
                </c:pt>
                <c:pt idx="202" formatCode="&quot;$&quot;#,##0.00_);\(&quot;$&quot;#,##0.00\)">
                  <c:v>-1.8466704522762001E-2</c:v>
                </c:pt>
                <c:pt idx="203">
                  <c:v>2.5723507464036288E-2</c:v>
                </c:pt>
                <c:pt idx="204">
                  <c:v>1.5864683252672762E-2</c:v>
                </c:pt>
                <c:pt idx="205">
                  <c:v>3.8184829688418631E-2</c:v>
                </c:pt>
                <c:pt idx="206">
                  <c:v>6.2336603937819035E-2</c:v>
                </c:pt>
                <c:pt idx="207">
                  <c:v>1.9253930617963988E-3</c:v>
                </c:pt>
                <c:pt idx="208">
                  <c:v>4.3241916773872902E-2</c:v>
                </c:pt>
                <c:pt idx="209">
                  <c:v>-1.935256684867781E-2</c:v>
                </c:pt>
                <c:pt idx="210">
                  <c:v>6.2012349576768599E-2</c:v>
                </c:pt>
                <c:pt idx="211">
                  <c:v>5.5699005901743703E-3</c:v>
                </c:pt>
                <c:pt idx="212">
                  <c:v>3.8570154385176636E-2</c:v>
                </c:pt>
                <c:pt idx="213">
                  <c:v>1.0224565347357384E-2</c:v>
                </c:pt>
                <c:pt idx="214">
                  <c:v>2.1900569451332785E-2</c:v>
                </c:pt>
                <c:pt idx="215">
                  <c:v>1.3141568605650633E-2</c:v>
                </c:pt>
                <c:pt idx="216">
                  <c:v>2.7881237185710006E-2</c:v>
                </c:pt>
                <c:pt idx="217">
                  <c:v>2.719680072277697E-2</c:v>
                </c:pt>
                <c:pt idx="218">
                  <c:v>4.6054874113792721E-2</c:v>
                </c:pt>
                <c:pt idx="219">
                  <c:v>5.0925787506781006E-2</c:v>
                </c:pt>
                <c:pt idx="220">
                  <c:v>1.5041719347138383E-2</c:v>
                </c:pt>
                <c:pt idx="221">
                  <c:v>1.1017353843236322E-2</c:v>
                </c:pt>
                <c:pt idx="222">
                  <c:v>5.1642862843522153E-2</c:v>
                </c:pt>
                <c:pt idx="223">
                  <c:v>3.034295563252698E-2</c:v>
                </c:pt>
                <c:pt idx="224">
                  <c:v>2.9779847196692799E-2</c:v>
                </c:pt>
                <c:pt idx="225">
                  <c:v>3.7782912439453753E-2</c:v>
                </c:pt>
                <c:pt idx="226">
                  <c:v>6.9006837003975363E-3</c:v>
                </c:pt>
                <c:pt idx="227">
                  <c:v>-1.527414485833134E-2</c:v>
                </c:pt>
                <c:pt idx="228">
                  <c:v>1.41563236995772E-2</c:v>
                </c:pt>
                <c:pt idx="229">
                  <c:v>2.7062248061863414E-2</c:v>
                </c:pt>
                <c:pt idx="230">
                  <c:v>-2.7551452510472529E-3</c:v>
                </c:pt>
                <c:pt idx="231">
                  <c:v>8.0223880070064979E-3</c:v>
                </c:pt>
                <c:pt idx="232">
                  <c:v>4.6158196884711344E-3</c:v>
                </c:pt>
                <c:pt idx="233">
                  <c:v>2.2340549665486265E-2</c:v>
                </c:pt>
                <c:pt idx="234">
                  <c:v>-1.5373002889795373E-2</c:v>
                </c:pt>
                <c:pt idx="235">
                  <c:v>3.120478485503142E-2</c:v>
                </c:pt>
                <c:pt idx="236">
                  <c:v>1.8997884547005128E-3</c:v>
                </c:pt>
                <c:pt idx="237">
                  <c:v>8.8463751126688805E-2</c:v>
                </c:pt>
                <c:pt idx="238">
                  <c:v>4.633125525995041E-3</c:v>
                </c:pt>
                <c:pt idx="239">
                  <c:v>-1.9121877183135183E-2</c:v>
                </c:pt>
                <c:pt idx="240">
                  <c:v>1.252256263271434E-2</c:v>
                </c:pt>
                <c:pt idx="241">
                  <c:v>8.010755755186949E-3</c:v>
                </c:pt>
                <c:pt idx="242">
                  <c:v>3.1339143449493179E-2</c:v>
                </c:pt>
                <c:pt idx="243">
                  <c:v>-2.8909283729774415E-3</c:v>
                </c:pt>
                <c:pt idx="244">
                  <c:v>3.1210647190288654E-2</c:v>
                </c:pt>
                <c:pt idx="245">
                  <c:v>3.8460923718101725E-2</c:v>
                </c:pt>
                <c:pt idx="246">
                  <c:v>3.348365408159637E-2</c:v>
                </c:pt>
                <c:pt idx="247">
                  <c:v>5.3186311842157608E-2</c:v>
                </c:pt>
                <c:pt idx="248">
                  <c:v>-4.6316158564998489E-3</c:v>
                </c:pt>
                <c:pt idx="249">
                  <c:v>5.2989181655906492E-2</c:v>
                </c:pt>
                <c:pt idx="250">
                  <c:v>5.6388162133512054E-2</c:v>
                </c:pt>
                <c:pt idx="251">
                  <c:v>5.8907738242755414E-2</c:v>
                </c:pt>
                <c:pt idx="252" formatCode="&quot;$&quot;#,##0.00_);\(&quot;$&quot;#,##0.00\)">
                  <c:v>1.1517328526753801E-2</c:v>
                </c:pt>
                <c:pt idx="253">
                  <c:v>7.8098522342067156E-3</c:v>
                </c:pt>
                <c:pt idx="254">
                  <c:v>-2.6538999240592887E-3</c:v>
                </c:pt>
                <c:pt idx="255">
                  <c:v>2.7229508884655473E-2</c:v>
                </c:pt>
                <c:pt idx="256">
                  <c:v>-1.5911307588744705E-2</c:v>
                </c:pt>
                <c:pt idx="257">
                  <c:v>1.5547127710732411E-2</c:v>
                </c:pt>
                <c:pt idx="258">
                  <c:v>4.0789430493717305E-2</c:v>
                </c:pt>
                <c:pt idx="259">
                  <c:v>-1.8823305118971234E-3</c:v>
                </c:pt>
                <c:pt idx="260">
                  <c:v>-2.7956936634154772E-5</c:v>
                </c:pt>
                <c:pt idx="261">
                  <c:v>4.6244184595174431E-3</c:v>
                </c:pt>
                <c:pt idx="262">
                  <c:v>1.3878407767666801E-2</c:v>
                </c:pt>
                <c:pt idx="263">
                  <c:v>4.5245211943441888E-2</c:v>
                </c:pt>
                <c:pt idx="264">
                  <c:v>1.8243095854955982E-2</c:v>
                </c:pt>
                <c:pt idx="265">
                  <c:v>2.2396958041429826E-2</c:v>
                </c:pt>
                <c:pt idx="266">
                  <c:v>1.0149564652234488E-2</c:v>
                </c:pt>
                <c:pt idx="267">
                  <c:v>5.0629945685827238E-3</c:v>
                </c:pt>
                <c:pt idx="268">
                  <c:v>7.8134311177475269E-2</c:v>
                </c:pt>
                <c:pt idx="269">
                  <c:v>3.6183405496164056E-2</c:v>
                </c:pt>
                <c:pt idx="270">
                  <c:v>-2.3254632813092257E-3</c:v>
                </c:pt>
                <c:pt idx="271">
                  <c:v>5.1088412141584882E-2</c:v>
                </c:pt>
                <c:pt idx="272">
                  <c:v>-2.7573965359785291E-2</c:v>
                </c:pt>
                <c:pt idx="273">
                  <c:v>3.8469695777195057E-2</c:v>
                </c:pt>
                <c:pt idx="274">
                  <c:v>8.205830980031692E-3</c:v>
                </c:pt>
                <c:pt idx="275">
                  <c:v>-2.740880601968243E-2</c:v>
                </c:pt>
                <c:pt idx="276">
                  <c:v>1.5849123036783652E-2</c:v>
                </c:pt>
                <c:pt idx="277">
                  <c:v>4.4846556372064583E-2</c:v>
                </c:pt>
                <c:pt idx="278">
                  <c:v>6.7990235807648958E-3</c:v>
                </c:pt>
                <c:pt idx="279">
                  <c:v>1.3463745442699349E-2</c:v>
                </c:pt>
                <c:pt idx="280">
                  <c:v>3.3588948601490642E-2</c:v>
                </c:pt>
                <c:pt idx="281">
                  <c:v>1.6797780471129897E-2</c:v>
                </c:pt>
                <c:pt idx="282">
                  <c:v>-2.740075696036115E-2</c:v>
                </c:pt>
                <c:pt idx="283">
                  <c:v>-2.6558431140198735E-2</c:v>
                </c:pt>
                <c:pt idx="284">
                  <c:v>5.6647755602611483E-2</c:v>
                </c:pt>
                <c:pt idx="285">
                  <c:v>7.2252129492298423E-3</c:v>
                </c:pt>
                <c:pt idx="286">
                  <c:v>2.6240401233646793E-2</c:v>
                </c:pt>
                <c:pt idx="287">
                  <c:v>3.3994438748820244E-2</c:v>
                </c:pt>
                <c:pt idx="288">
                  <c:v>5.1330457508171889E-3</c:v>
                </c:pt>
                <c:pt idx="289">
                  <c:v>-2.1254231415436919E-2</c:v>
                </c:pt>
                <c:pt idx="290">
                  <c:v>-3.3941352773112499E-3</c:v>
                </c:pt>
                <c:pt idx="291">
                  <c:v>5.0300330461290343E-2</c:v>
                </c:pt>
                <c:pt idx="292">
                  <c:v>2.2740819042688543E-2</c:v>
                </c:pt>
                <c:pt idx="293">
                  <c:v>3.1088086990134656E-2</c:v>
                </c:pt>
                <c:pt idx="294">
                  <c:v>3.8858953399348195E-2</c:v>
                </c:pt>
                <c:pt idx="295">
                  <c:v>5.7603111707638988E-2</c:v>
                </c:pt>
                <c:pt idx="296">
                  <c:v>2.5516273608307216E-2</c:v>
                </c:pt>
                <c:pt idx="297">
                  <c:v>3.0740304547620667E-2</c:v>
                </c:pt>
                <c:pt idx="298">
                  <c:v>7.5581733229199699E-3</c:v>
                </c:pt>
                <c:pt idx="299">
                  <c:v>2.1358387053318495E-2</c:v>
                </c:pt>
                <c:pt idx="300">
                  <c:v>-7.7041629608487483E-4</c:v>
                </c:pt>
                <c:pt idx="301">
                  <c:v>4.2409442115783236E-2</c:v>
                </c:pt>
                <c:pt idx="302">
                  <c:v>-5.5142953551303719E-3</c:v>
                </c:pt>
                <c:pt idx="303">
                  <c:v>5.8585271720023258E-2</c:v>
                </c:pt>
                <c:pt idx="304">
                  <c:v>6.1361173237024502E-3</c:v>
                </c:pt>
                <c:pt idx="305">
                  <c:v>-1.0264167674485236E-2</c:v>
                </c:pt>
                <c:pt idx="306">
                  <c:v>-6.9356440290455623E-3</c:v>
                </c:pt>
                <c:pt idx="307">
                  <c:v>3.0511195267585833E-2</c:v>
                </c:pt>
                <c:pt idx="308">
                  <c:v>4.2179523623616433E-2</c:v>
                </c:pt>
                <c:pt idx="309">
                  <c:v>3.0536218409249472E-2</c:v>
                </c:pt>
                <c:pt idx="310">
                  <c:v>2.5222633845999098E-2</c:v>
                </c:pt>
                <c:pt idx="311">
                  <c:v>8.1881660980087645E-3</c:v>
                </c:pt>
                <c:pt idx="312">
                  <c:v>3.6691553380851616E-2</c:v>
                </c:pt>
                <c:pt idx="313">
                  <c:v>-6.3918718865458857E-3</c:v>
                </c:pt>
                <c:pt idx="314">
                  <c:v>-4.3635567027216382E-2</c:v>
                </c:pt>
                <c:pt idx="315">
                  <c:v>1.7946261932383578E-2</c:v>
                </c:pt>
                <c:pt idx="316">
                  <c:v>2.1643378422655957E-2</c:v>
                </c:pt>
                <c:pt idx="317">
                  <c:v>2.8179713393235772E-2</c:v>
                </c:pt>
                <c:pt idx="318">
                  <c:v>2.6419632414345529E-2</c:v>
                </c:pt>
                <c:pt idx="319">
                  <c:v>-6.557534647335217E-3</c:v>
                </c:pt>
                <c:pt idx="320">
                  <c:v>1.272815464816901E-2</c:v>
                </c:pt>
                <c:pt idx="321">
                  <c:v>4.564164267800308E-2</c:v>
                </c:pt>
                <c:pt idx="322">
                  <c:v>4.6785527835858431E-2</c:v>
                </c:pt>
                <c:pt idx="323">
                  <c:v>-1.591117327252789E-2</c:v>
                </c:pt>
                <c:pt idx="324">
                  <c:v>-9.1823683222465036E-3</c:v>
                </c:pt>
                <c:pt idx="325">
                  <c:v>1.8866031427041463E-2</c:v>
                </c:pt>
                <c:pt idx="326">
                  <c:v>2.4276075637494898E-3</c:v>
                </c:pt>
                <c:pt idx="327">
                  <c:v>3.3010676306464148E-2</c:v>
                </c:pt>
                <c:pt idx="328">
                  <c:v>3.4788673989822883E-3</c:v>
                </c:pt>
                <c:pt idx="329">
                  <c:v>7.5236038412640482E-3</c:v>
                </c:pt>
                <c:pt idx="330">
                  <c:v>1.9307722377213565E-2</c:v>
                </c:pt>
                <c:pt idx="331">
                  <c:v>6.5305108935252321E-2</c:v>
                </c:pt>
                <c:pt idx="332">
                  <c:v>2.4065581796499202E-2</c:v>
                </c:pt>
                <c:pt idx="333">
                  <c:v>5.2384571386468792E-2</c:v>
                </c:pt>
                <c:pt idx="334">
                  <c:v>4.778115688074891E-2</c:v>
                </c:pt>
                <c:pt idx="335">
                  <c:v>3.9212779627430194E-2</c:v>
                </c:pt>
                <c:pt idx="336">
                  <c:v>-1.9022154486769693E-3</c:v>
                </c:pt>
                <c:pt idx="337">
                  <c:v>6.6363003084710215E-2</c:v>
                </c:pt>
                <c:pt idx="338">
                  <c:v>2.7502284913129671E-2</c:v>
                </c:pt>
                <c:pt idx="339">
                  <c:v>-1.9078269438281836E-3</c:v>
                </c:pt>
                <c:pt idx="340">
                  <c:v>6.7489077883596593E-2</c:v>
                </c:pt>
                <c:pt idx="341">
                  <c:v>1.9978420517126949E-2</c:v>
                </c:pt>
                <c:pt idx="342">
                  <c:v>6.5957482248748533E-3</c:v>
                </c:pt>
                <c:pt idx="343">
                  <c:v>1.2548665131898673E-2</c:v>
                </c:pt>
                <c:pt idx="344">
                  <c:v>1.7020421386121143E-2</c:v>
                </c:pt>
                <c:pt idx="345">
                  <c:v>3.7883664723263877E-2</c:v>
                </c:pt>
                <c:pt idx="346">
                  <c:v>3.1310341820272924E-2</c:v>
                </c:pt>
                <c:pt idx="347">
                  <c:v>2.8010624333766998E-2</c:v>
                </c:pt>
                <c:pt idx="348">
                  <c:v>7.1046383967505733E-2</c:v>
                </c:pt>
                <c:pt idx="349">
                  <c:v>1.136872262116384E-2</c:v>
                </c:pt>
                <c:pt idx="350">
                  <c:v>7.4185311986873614E-2</c:v>
                </c:pt>
                <c:pt idx="351">
                  <c:v>9.8607411345028595E-3</c:v>
                </c:pt>
                <c:pt idx="352">
                  <c:v>1.7723610242672549E-2</c:v>
                </c:pt>
                <c:pt idx="353">
                  <c:v>2.9195439488624686E-2</c:v>
                </c:pt>
                <c:pt idx="354">
                  <c:v>1.2216564272943486E-2</c:v>
                </c:pt>
                <c:pt idx="355">
                  <c:v>-4.6970696563128911E-3</c:v>
                </c:pt>
                <c:pt idx="356">
                  <c:v>5.0407996472042527E-2</c:v>
                </c:pt>
                <c:pt idx="357">
                  <c:v>-1.1595378604184248E-2</c:v>
                </c:pt>
                <c:pt idx="358">
                  <c:v>8.9337751683800093E-3</c:v>
                </c:pt>
                <c:pt idx="359">
                  <c:v>2.610443946369756E-2</c:v>
                </c:pt>
                <c:pt idx="360">
                  <c:v>3.9360261260938501E-2</c:v>
                </c:pt>
                <c:pt idx="361">
                  <c:v>3.4865801974213184E-2</c:v>
                </c:pt>
                <c:pt idx="362">
                  <c:v>2.0325436554095688E-2</c:v>
                </c:pt>
                <c:pt idx="363">
                  <c:v>3.3413285353333322E-2</c:v>
                </c:pt>
                <c:pt idx="364">
                  <c:v>5.6490943315928632E-2</c:v>
                </c:pt>
                <c:pt idx="365">
                  <c:v>7.6177949303968262E-3</c:v>
                </c:pt>
                <c:pt idx="366">
                  <c:v>-1.1654669406887308E-2</c:v>
                </c:pt>
                <c:pt idx="367">
                  <c:v>6.5014196734686891E-2</c:v>
                </c:pt>
                <c:pt idx="368">
                  <c:v>5.2427433549873115E-3</c:v>
                </c:pt>
                <c:pt idx="369">
                  <c:v>7.6246429739086352E-2</c:v>
                </c:pt>
                <c:pt idx="370">
                  <c:v>2.7299759217029873E-2</c:v>
                </c:pt>
                <c:pt idx="371">
                  <c:v>2.7286524923237465E-2</c:v>
                </c:pt>
                <c:pt idx="372">
                  <c:v>-4.1937148189390427E-3</c:v>
                </c:pt>
                <c:pt idx="373">
                  <c:v>4.9042315466632402E-2</c:v>
                </c:pt>
                <c:pt idx="374">
                  <c:v>1.8900711828848671E-2</c:v>
                </c:pt>
                <c:pt idx="375">
                  <c:v>9.5781796332410352E-3</c:v>
                </c:pt>
                <c:pt idx="376">
                  <c:v>4.1834092128151923E-2</c:v>
                </c:pt>
                <c:pt idx="377">
                  <c:v>2.6785693845443603E-2</c:v>
                </c:pt>
                <c:pt idx="378">
                  <c:v>1.6480638180844664E-3</c:v>
                </c:pt>
                <c:pt idx="379">
                  <c:v>2.1322340439766663E-2</c:v>
                </c:pt>
                <c:pt idx="380">
                  <c:v>2.2165092522961061E-2</c:v>
                </c:pt>
                <c:pt idx="381">
                  <c:v>4.8236992787614952E-2</c:v>
                </c:pt>
                <c:pt idx="382">
                  <c:v>-4.8590331737788262E-2</c:v>
                </c:pt>
                <c:pt idx="383">
                  <c:v>1.0802731435365587E-2</c:v>
                </c:pt>
                <c:pt idx="384">
                  <c:v>6.7614269925684312E-2</c:v>
                </c:pt>
                <c:pt idx="385">
                  <c:v>1.9648908297412504E-2</c:v>
                </c:pt>
                <c:pt idx="386">
                  <c:v>2.0024207748075895E-2</c:v>
                </c:pt>
                <c:pt idx="387">
                  <c:v>4.3987684041653097E-2</c:v>
                </c:pt>
                <c:pt idx="388">
                  <c:v>7.2086147848832383E-2</c:v>
                </c:pt>
                <c:pt idx="389">
                  <c:v>1.4572147158222748E-2</c:v>
                </c:pt>
                <c:pt idx="390">
                  <c:v>3.1129870520416603E-3</c:v>
                </c:pt>
                <c:pt idx="391">
                  <c:v>2.2019345762380738E-2</c:v>
                </c:pt>
                <c:pt idx="392">
                  <c:v>4.3618738853208328E-2</c:v>
                </c:pt>
                <c:pt idx="393">
                  <c:v>5.9957645784990632E-2</c:v>
                </c:pt>
                <c:pt idx="394">
                  <c:v>4.2218425493935285E-2</c:v>
                </c:pt>
                <c:pt idx="395">
                  <c:v>1.5364766983857692E-2</c:v>
                </c:pt>
                <c:pt idx="396">
                  <c:v>3.748147195640783E-2</c:v>
                </c:pt>
                <c:pt idx="397">
                  <c:v>1.5820936396721663E-2</c:v>
                </c:pt>
                <c:pt idx="398">
                  <c:v>1.0586987472922971E-2</c:v>
                </c:pt>
                <c:pt idx="399">
                  <c:v>6.2419817898948793E-3</c:v>
                </c:pt>
                <c:pt idx="400">
                  <c:v>2.4652719166741832E-2</c:v>
                </c:pt>
                <c:pt idx="401">
                  <c:v>-2.8373843231630502E-2</c:v>
                </c:pt>
                <c:pt idx="402">
                  <c:v>3.797840405400521E-2</c:v>
                </c:pt>
                <c:pt idx="403">
                  <c:v>3.0604348617856658E-2</c:v>
                </c:pt>
                <c:pt idx="404">
                  <c:v>2.187233326933935E-2</c:v>
                </c:pt>
                <c:pt idx="405">
                  <c:v>4.7640947258553723E-2</c:v>
                </c:pt>
                <c:pt idx="406">
                  <c:v>2.7952385106409849E-2</c:v>
                </c:pt>
                <c:pt idx="407">
                  <c:v>-8.6777080407216545E-3</c:v>
                </c:pt>
                <c:pt idx="408">
                  <c:v>-1.029372305260523E-2</c:v>
                </c:pt>
                <c:pt idx="409">
                  <c:v>1.0358421035707721E-2</c:v>
                </c:pt>
                <c:pt idx="410">
                  <c:v>2.0145436354393809E-2</c:v>
                </c:pt>
                <c:pt idx="411">
                  <c:v>5.6137009235307289E-2</c:v>
                </c:pt>
                <c:pt idx="412">
                  <c:v>5.0257895367561645E-2</c:v>
                </c:pt>
                <c:pt idx="413">
                  <c:v>-3.2020810551003365E-3</c:v>
                </c:pt>
                <c:pt idx="414">
                  <c:v>4.899575945199075E-2</c:v>
                </c:pt>
                <c:pt idx="415">
                  <c:v>2.5451749471663732E-2</c:v>
                </c:pt>
                <c:pt idx="416">
                  <c:v>4.5269170878963649E-2</c:v>
                </c:pt>
                <c:pt idx="417">
                  <c:v>8.3071177609120639E-2</c:v>
                </c:pt>
                <c:pt idx="418">
                  <c:v>3.249076662175554E-2</c:v>
                </c:pt>
                <c:pt idx="419">
                  <c:v>6.7532506901503808E-2</c:v>
                </c:pt>
                <c:pt idx="420">
                  <c:v>2.7079076160394067E-2</c:v>
                </c:pt>
                <c:pt idx="421">
                  <c:v>7.8315692797623626E-3</c:v>
                </c:pt>
                <c:pt idx="422">
                  <c:v>6.2722183398662423E-3</c:v>
                </c:pt>
                <c:pt idx="423">
                  <c:v>4.1473267259050317E-2</c:v>
                </c:pt>
                <c:pt idx="424">
                  <c:v>3.5483670567469261E-2</c:v>
                </c:pt>
                <c:pt idx="425">
                  <c:v>2.3232668920645239E-2</c:v>
                </c:pt>
                <c:pt idx="426">
                  <c:v>3.5736830697306488E-2</c:v>
                </c:pt>
                <c:pt idx="427">
                  <c:v>5.1337870921287276E-2</c:v>
                </c:pt>
                <c:pt idx="428">
                  <c:v>2.437735286297027E-2</c:v>
                </c:pt>
                <c:pt idx="429">
                  <c:v>4.8587931965634823E-2</c:v>
                </c:pt>
                <c:pt idx="430">
                  <c:v>4.48910594750771E-2</c:v>
                </c:pt>
                <c:pt idx="431">
                  <c:v>2.9161518040304202E-2</c:v>
                </c:pt>
                <c:pt idx="432">
                  <c:v>8.2232932947690074E-3</c:v>
                </c:pt>
                <c:pt idx="433">
                  <c:v>2.5202769699742333E-2</c:v>
                </c:pt>
                <c:pt idx="434">
                  <c:v>3.1352467659338856E-2</c:v>
                </c:pt>
                <c:pt idx="435">
                  <c:v>4.6442043759533647E-2</c:v>
                </c:pt>
                <c:pt idx="436">
                  <c:v>5.5086507540991647E-2</c:v>
                </c:pt>
                <c:pt idx="437">
                  <c:v>0.11635559943950824</c:v>
                </c:pt>
                <c:pt idx="438">
                  <c:v>1.8470027728717753E-2</c:v>
                </c:pt>
                <c:pt idx="439">
                  <c:v>-3.8500706266582085E-3</c:v>
                </c:pt>
                <c:pt idx="440">
                  <c:v>2.7111505087514587E-2</c:v>
                </c:pt>
                <c:pt idx="441">
                  <c:v>3.5537012875540341E-2</c:v>
                </c:pt>
                <c:pt idx="442">
                  <c:v>2.3625679110150344E-2</c:v>
                </c:pt>
                <c:pt idx="443">
                  <c:v>3.9924173191639767E-2</c:v>
                </c:pt>
                <c:pt idx="444">
                  <c:v>2.7151906458442454E-2</c:v>
                </c:pt>
                <c:pt idx="445">
                  <c:v>9.5633791377665034E-3</c:v>
                </c:pt>
                <c:pt idx="446">
                  <c:v>5.0186766681079575E-2</c:v>
                </c:pt>
                <c:pt idx="447">
                  <c:v>-1.1723814655390186E-2</c:v>
                </c:pt>
                <c:pt idx="448">
                  <c:v>7.054021224711704E-2</c:v>
                </c:pt>
                <c:pt idx="449">
                  <c:v>1.3123078112656117E-2</c:v>
                </c:pt>
                <c:pt idx="450">
                  <c:v>1.6511238195466404E-2</c:v>
                </c:pt>
                <c:pt idx="451">
                  <c:v>8.3608546884832435E-3</c:v>
                </c:pt>
                <c:pt idx="452">
                  <c:v>4.8630137458623324E-2</c:v>
                </c:pt>
                <c:pt idx="453">
                  <c:v>2.224355158514868E-2</c:v>
                </c:pt>
                <c:pt idx="454">
                  <c:v>5.2578752698160258E-3</c:v>
                </c:pt>
                <c:pt idx="455">
                  <c:v>4.7045546058374299E-2</c:v>
                </c:pt>
                <c:pt idx="456">
                  <c:v>-1.7354081945626376E-3</c:v>
                </c:pt>
                <c:pt idx="457">
                  <c:v>2.3356861687801711E-2</c:v>
                </c:pt>
                <c:pt idx="458">
                  <c:v>-1.6414026483886346E-2</c:v>
                </c:pt>
                <c:pt idx="459">
                  <c:v>2.1205095089250392E-2</c:v>
                </c:pt>
                <c:pt idx="460">
                  <c:v>2.3734955522169088E-2</c:v>
                </c:pt>
                <c:pt idx="461">
                  <c:v>-1.5686797279535369E-2</c:v>
                </c:pt>
                <c:pt idx="462">
                  <c:v>-3.5042060738398106E-2</c:v>
                </c:pt>
                <c:pt idx="463">
                  <c:v>2.553530340399135E-2</c:v>
                </c:pt>
                <c:pt idx="464">
                  <c:v>2.3989197691172137E-3</c:v>
                </c:pt>
                <c:pt idx="465">
                  <c:v>-4.3245801060304956E-2</c:v>
                </c:pt>
                <c:pt idx="466">
                  <c:v>1.1366955575375925E-3</c:v>
                </c:pt>
                <c:pt idx="467">
                  <c:v>2.4469661207181304E-2</c:v>
                </c:pt>
                <c:pt idx="468">
                  <c:v>3.8215303492371788E-2</c:v>
                </c:pt>
                <c:pt idx="469">
                  <c:v>1.6074053847564329E-2</c:v>
                </c:pt>
                <c:pt idx="470">
                  <c:v>-2.5948228102066651E-2</c:v>
                </c:pt>
                <c:pt idx="471">
                  <c:v>3.8888628307855555E-2</c:v>
                </c:pt>
                <c:pt idx="472">
                  <c:v>3.9338733923788283E-2</c:v>
                </c:pt>
                <c:pt idx="473">
                  <c:v>1.5012350906935978E-2</c:v>
                </c:pt>
                <c:pt idx="474">
                  <c:v>2.2576062336860048E-2</c:v>
                </c:pt>
                <c:pt idx="475">
                  <c:v>2.8677818876300165E-2</c:v>
                </c:pt>
                <c:pt idx="476">
                  <c:v>4.1868355659342882E-2</c:v>
                </c:pt>
                <c:pt idx="477">
                  <c:v>1.9673335294001504E-2</c:v>
                </c:pt>
                <c:pt idx="478">
                  <c:v>3.4630009202771816E-2</c:v>
                </c:pt>
                <c:pt idx="479">
                  <c:v>4.5025767576941433E-2</c:v>
                </c:pt>
                <c:pt idx="480">
                  <c:v>4.4362359176815858E-2</c:v>
                </c:pt>
                <c:pt idx="481">
                  <c:v>1.7682833495925365E-2</c:v>
                </c:pt>
                <c:pt idx="482">
                  <c:v>1.9928933679818073E-2</c:v>
                </c:pt>
                <c:pt idx="483">
                  <c:v>7.0531941808447129E-3</c:v>
                </c:pt>
                <c:pt idx="484">
                  <c:v>-5.1969863166192454E-3</c:v>
                </c:pt>
                <c:pt idx="485">
                  <c:v>-1.5302176495637809E-2</c:v>
                </c:pt>
                <c:pt idx="486">
                  <c:v>4.2002418725033408E-2</c:v>
                </c:pt>
                <c:pt idx="487">
                  <c:v>3.908309735059845E-3</c:v>
                </c:pt>
                <c:pt idx="488">
                  <c:v>1.575624511652407E-2</c:v>
                </c:pt>
                <c:pt idx="489">
                  <c:v>1.2299742950077075E-3</c:v>
                </c:pt>
                <c:pt idx="490">
                  <c:v>3.8663755225993413E-2</c:v>
                </c:pt>
                <c:pt idx="491">
                  <c:v>4.2487559011483711E-3</c:v>
                </c:pt>
                <c:pt idx="492">
                  <c:v>2.8084011437268686E-2</c:v>
                </c:pt>
                <c:pt idx="493">
                  <c:v>5.5878335436538862E-3</c:v>
                </c:pt>
                <c:pt idx="494">
                  <c:v>9.9259646206881769E-3</c:v>
                </c:pt>
                <c:pt idx="495">
                  <c:v>3.6586114842137363E-2</c:v>
                </c:pt>
                <c:pt idx="496">
                  <c:v>-2.2529819089186276E-2</c:v>
                </c:pt>
                <c:pt idx="497">
                  <c:v>8.9992673576020366E-3</c:v>
                </c:pt>
                <c:pt idx="498">
                  <c:v>2.4398777476335454E-3</c:v>
                </c:pt>
                <c:pt idx="499">
                  <c:v>3.656320776153521E-2</c:v>
                </c:pt>
                <c:pt idx="500">
                  <c:v>8.770089014760174E-4</c:v>
                </c:pt>
                <c:pt idx="501">
                  <c:v>4.2572482232866804E-2</c:v>
                </c:pt>
                <c:pt idx="502" formatCode="&quot;$&quot;#,##0.00_);\(&quot;$&quot;#,##0.00\)">
                  <c:v>1.490362973350301E-2</c:v>
                </c:pt>
                <c:pt idx="503">
                  <c:v>7.0276201641306102E-3</c:v>
                </c:pt>
                <c:pt idx="504">
                  <c:v>-2.2373871743859297E-3</c:v>
                </c:pt>
                <c:pt idx="505">
                  <c:v>-7.8378332411723761E-3</c:v>
                </c:pt>
                <c:pt idx="506">
                  <c:v>1.1002906172308258E-2</c:v>
                </c:pt>
                <c:pt idx="507">
                  <c:v>1.722782038885029E-2</c:v>
                </c:pt>
                <c:pt idx="508">
                  <c:v>5.4080207434036964E-2</c:v>
                </c:pt>
                <c:pt idx="509">
                  <c:v>-1.3422854352754143E-2</c:v>
                </c:pt>
                <c:pt idx="510">
                  <c:v>5.1469498356766508E-3</c:v>
                </c:pt>
                <c:pt idx="511">
                  <c:v>4.0580127643202957E-2</c:v>
                </c:pt>
                <c:pt idx="512">
                  <c:v>7.1789040259702119E-3</c:v>
                </c:pt>
                <c:pt idx="513">
                  <c:v>-1.5334181117523826E-2</c:v>
                </c:pt>
                <c:pt idx="514">
                  <c:v>2.1183024972909692E-2</c:v>
                </c:pt>
                <c:pt idx="515">
                  <c:v>-2.6107881613938844E-2</c:v>
                </c:pt>
                <c:pt idx="516">
                  <c:v>3.4511924592024457E-3</c:v>
                </c:pt>
                <c:pt idx="517">
                  <c:v>2.1173646127230938E-2</c:v>
                </c:pt>
                <c:pt idx="518">
                  <c:v>-3.8164075626532679E-2</c:v>
                </c:pt>
                <c:pt idx="519">
                  <c:v>2.9216737019034156E-2</c:v>
                </c:pt>
                <c:pt idx="520">
                  <c:v>7.8628327234397943E-3</c:v>
                </c:pt>
                <c:pt idx="521">
                  <c:v>6.9650666612872669E-3</c:v>
                </c:pt>
                <c:pt idx="522">
                  <c:v>1.6177745824066392E-2</c:v>
                </c:pt>
                <c:pt idx="523">
                  <c:v>3.741045388632358E-2</c:v>
                </c:pt>
                <c:pt idx="524">
                  <c:v>5.9744591014947446E-3</c:v>
                </c:pt>
                <c:pt idx="525">
                  <c:v>2.8511650499343233E-2</c:v>
                </c:pt>
                <c:pt idx="526">
                  <c:v>-1.6514749076172563E-2</c:v>
                </c:pt>
                <c:pt idx="527">
                  <c:v>8.4834776394941969E-3</c:v>
                </c:pt>
                <c:pt idx="528">
                  <c:v>6.0832449092629304E-4</c:v>
                </c:pt>
                <c:pt idx="529">
                  <c:v>2.0197108804978825E-2</c:v>
                </c:pt>
                <c:pt idx="530">
                  <c:v>2.4404017316541626E-2</c:v>
                </c:pt>
                <c:pt idx="531">
                  <c:v>2.5016493966131037E-2</c:v>
                </c:pt>
                <c:pt idx="532">
                  <c:v>5.1053633969665668E-2</c:v>
                </c:pt>
                <c:pt idx="533">
                  <c:v>7.8869226986093111E-2</c:v>
                </c:pt>
                <c:pt idx="534">
                  <c:v>5.0588460254559209E-3</c:v>
                </c:pt>
                <c:pt idx="535">
                  <c:v>3.6869916701576244E-2</c:v>
                </c:pt>
                <c:pt idx="536">
                  <c:v>7.1564149010509226E-2</c:v>
                </c:pt>
                <c:pt idx="537">
                  <c:v>1.5413998160454412E-2</c:v>
                </c:pt>
                <c:pt idx="538">
                  <c:v>2.0317647091836477E-2</c:v>
                </c:pt>
                <c:pt idx="539">
                  <c:v>2.3781248201235172E-2</c:v>
                </c:pt>
                <c:pt idx="540">
                  <c:v>3.7529270684682814E-2</c:v>
                </c:pt>
                <c:pt idx="541">
                  <c:v>-4.2237846055211747E-2</c:v>
                </c:pt>
                <c:pt idx="542">
                  <c:v>3.1231664348528199E-2</c:v>
                </c:pt>
                <c:pt idx="543">
                  <c:v>2.8411175682901302E-2</c:v>
                </c:pt>
                <c:pt idx="544">
                  <c:v>1.0596558568369829E-2</c:v>
                </c:pt>
                <c:pt idx="545">
                  <c:v>-6.4546560994429569E-3</c:v>
                </c:pt>
                <c:pt idx="546">
                  <c:v>1.9676004961045379E-2</c:v>
                </c:pt>
                <c:pt idx="547">
                  <c:v>2.2760862597500875E-2</c:v>
                </c:pt>
                <c:pt idx="548">
                  <c:v>1.0674999222459292E-2</c:v>
                </c:pt>
                <c:pt idx="549">
                  <c:v>5.0460865493278106E-2</c:v>
                </c:pt>
                <c:pt idx="550">
                  <c:v>1.3505472638406957E-2</c:v>
                </c:pt>
                <c:pt idx="551">
                  <c:v>5.3537301164993778E-2</c:v>
                </c:pt>
                <c:pt idx="552">
                  <c:v>5.2172587381850377E-2</c:v>
                </c:pt>
                <c:pt idx="553">
                  <c:v>4.7065967990452151E-2</c:v>
                </c:pt>
                <c:pt idx="554">
                  <c:v>5.1019282506267416E-2</c:v>
                </c:pt>
                <c:pt idx="555">
                  <c:v>4.3181038164647134E-2</c:v>
                </c:pt>
                <c:pt idx="556">
                  <c:v>6.9687926059174288E-3</c:v>
                </c:pt>
                <c:pt idx="557">
                  <c:v>2.121035796130144E-2</c:v>
                </c:pt>
                <c:pt idx="558">
                  <c:v>9.6010391128054096E-3</c:v>
                </c:pt>
                <c:pt idx="559">
                  <c:v>3.5014690803642168E-2</c:v>
                </c:pt>
                <c:pt idx="560">
                  <c:v>7.2499604152937991E-3</c:v>
                </c:pt>
                <c:pt idx="561">
                  <c:v>2.3181399122346846E-2</c:v>
                </c:pt>
                <c:pt idx="562">
                  <c:v>2.097647055703078E-2</c:v>
                </c:pt>
                <c:pt idx="563">
                  <c:v>4.7216455469811791E-2</c:v>
                </c:pt>
                <c:pt idx="564">
                  <c:v>9.2534666303095037E-2</c:v>
                </c:pt>
                <c:pt idx="565">
                  <c:v>2.8190567071010975E-2</c:v>
                </c:pt>
                <c:pt idx="566">
                  <c:v>1.5644242889361948E-2</c:v>
                </c:pt>
                <c:pt idx="567">
                  <c:v>7.580271873592892E-2</c:v>
                </c:pt>
                <c:pt idx="568">
                  <c:v>6.9542561687185867E-4</c:v>
                </c:pt>
                <c:pt idx="569">
                  <c:v>1.5198484481622643E-2</c:v>
                </c:pt>
                <c:pt idx="570">
                  <c:v>2.8076112752092541E-2</c:v>
                </c:pt>
                <c:pt idx="571">
                  <c:v>2.5078970176078741E-2</c:v>
                </c:pt>
                <c:pt idx="572">
                  <c:v>1.8676931168361222E-2</c:v>
                </c:pt>
                <c:pt idx="573">
                  <c:v>4.582107055394502E-2</c:v>
                </c:pt>
                <c:pt idx="574">
                  <c:v>5.0968869415633833E-2</c:v>
                </c:pt>
                <c:pt idx="575">
                  <c:v>3.8897731425354465E-2</c:v>
                </c:pt>
                <c:pt idx="576">
                  <c:v>2.3653035488521823E-2</c:v>
                </c:pt>
                <c:pt idx="577">
                  <c:v>1.3141942881720325E-2</c:v>
                </c:pt>
                <c:pt idx="578">
                  <c:v>8.5493384274251127E-3</c:v>
                </c:pt>
                <c:pt idx="579">
                  <c:v>1.0424329263713616E-2</c:v>
                </c:pt>
                <c:pt idx="580">
                  <c:v>1.9479128842494475E-2</c:v>
                </c:pt>
                <c:pt idx="581">
                  <c:v>-8.8215466047572022E-3</c:v>
                </c:pt>
                <c:pt idx="582">
                  <c:v>3.8484505404959179E-2</c:v>
                </c:pt>
                <c:pt idx="583">
                  <c:v>2.717836785776484E-2</c:v>
                </c:pt>
                <c:pt idx="584">
                  <c:v>7.6358588254976212E-2</c:v>
                </c:pt>
                <c:pt idx="585">
                  <c:v>6.1816722658424084E-2</c:v>
                </c:pt>
                <c:pt idx="586">
                  <c:v>1.9543053309259761E-2</c:v>
                </c:pt>
                <c:pt idx="587">
                  <c:v>1.5659862340157815E-2</c:v>
                </c:pt>
                <c:pt idx="588">
                  <c:v>-3.1774073307001771E-2</c:v>
                </c:pt>
                <c:pt idx="589">
                  <c:v>-3.9262854838888472E-3</c:v>
                </c:pt>
                <c:pt idx="590">
                  <c:v>-1.9961012657130794E-2</c:v>
                </c:pt>
                <c:pt idx="591">
                  <c:v>3.2537182283956412E-2</c:v>
                </c:pt>
                <c:pt idx="592">
                  <c:v>-4.3987334378041254E-2</c:v>
                </c:pt>
                <c:pt idx="593">
                  <c:v>-2.7346428351901153E-2</c:v>
                </c:pt>
                <c:pt idx="594">
                  <c:v>1.5946771679537619E-2</c:v>
                </c:pt>
                <c:pt idx="595">
                  <c:v>1.5423334158910507E-2</c:v>
                </c:pt>
                <c:pt idx="596">
                  <c:v>3.5101673672290445E-2</c:v>
                </c:pt>
                <c:pt idx="597">
                  <c:v>1.6211881354770696E-2</c:v>
                </c:pt>
                <c:pt idx="598">
                  <c:v>1.9985506409128106E-2</c:v>
                </c:pt>
                <c:pt idx="599">
                  <c:v>2.3903679936928768E-2</c:v>
                </c:pt>
                <c:pt idx="600">
                  <c:v>2.7103523826923492E-3</c:v>
                </c:pt>
                <c:pt idx="601">
                  <c:v>7.0885200600216081E-2</c:v>
                </c:pt>
                <c:pt idx="602">
                  <c:v>3.4074409685679541E-2</c:v>
                </c:pt>
                <c:pt idx="603">
                  <c:v>2.6078337329661139E-2</c:v>
                </c:pt>
                <c:pt idx="604">
                  <c:v>4.4120149347602222E-2</c:v>
                </c:pt>
                <c:pt idx="605">
                  <c:v>2.3109786559547985E-2</c:v>
                </c:pt>
                <c:pt idx="606">
                  <c:v>8.2211940755350099E-3</c:v>
                </c:pt>
                <c:pt idx="607">
                  <c:v>1.2734895350639874E-2</c:v>
                </c:pt>
                <c:pt idx="608">
                  <c:v>-1.3183572715650627E-2</c:v>
                </c:pt>
                <c:pt idx="609">
                  <c:v>3.647145213856362E-2</c:v>
                </c:pt>
                <c:pt idx="610">
                  <c:v>4.0415136897674842E-2</c:v>
                </c:pt>
                <c:pt idx="611">
                  <c:v>2.3792397559226686E-2</c:v>
                </c:pt>
                <c:pt idx="612">
                  <c:v>1.5681516491934389E-2</c:v>
                </c:pt>
                <c:pt idx="613">
                  <c:v>-2.1924979217416762E-2</c:v>
                </c:pt>
                <c:pt idx="614">
                  <c:v>2.9424045148545019E-3</c:v>
                </c:pt>
                <c:pt idx="615">
                  <c:v>2.081807698037963E-2</c:v>
                </c:pt>
                <c:pt idx="616">
                  <c:v>5.2608934278893571E-2</c:v>
                </c:pt>
                <c:pt idx="617">
                  <c:v>3.5624801366370917E-2</c:v>
                </c:pt>
                <c:pt idx="618">
                  <c:v>-3.8459705292517299E-3</c:v>
                </c:pt>
                <c:pt idx="619">
                  <c:v>3.3936096992942311E-2</c:v>
                </c:pt>
                <c:pt idx="620">
                  <c:v>7.817594199565292E-3</c:v>
                </c:pt>
                <c:pt idx="621">
                  <c:v>3.9656906017508931E-2</c:v>
                </c:pt>
                <c:pt idx="622">
                  <c:v>9.4595065590326044E-3</c:v>
                </c:pt>
                <c:pt idx="623">
                  <c:v>-3.781374820324146E-3</c:v>
                </c:pt>
                <c:pt idx="624">
                  <c:v>2.7631466266640814E-2</c:v>
                </c:pt>
                <c:pt idx="625">
                  <c:v>2.3356778233154074E-2</c:v>
                </c:pt>
                <c:pt idx="626">
                  <c:v>1.6102180700976021E-2</c:v>
                </c:pt>
                <c:pt idx="627">
                  <c:v>4.4133058665469349E-2</c:v>
                </c:pt>
                <c:pt idx="628">
                  <c:v>1.5827363869608035E-2</c:v>
                </c:pt>
                <c:pt idx="629">
                  <c:v>-7.4474747909185623E-3</c:v>
                </c:pt>
                <c:pt idx="630">
                  <c:v>5.8801864772860313E-2</c:v>
                </c:pt>
                <c:pt idx="631">
                  <c:v>-1.0332302095033441E-2</c:v>
                </c:pt>
                <c:pt idx="632">
                  <c:v>-2.1422728617650932E-2</c:v>
                </c:pt>
                <c:pt idx="633">
                  <c:v>1.4626147780528953E-2</c:v>
                </c:pt>
                <c:pt idx="634">
                  <c:v>1.1681335184416497E-2</c:v>
                </c:pt>
                <c:pt idx="635">
                  <c:v>4.0045807887086227E-2</c:v>
                </c:pt>
                <c:pt idx="636">
                  <c:v>6.550415462765713E-2</c:v>
                </c:pt>
                <c:pt idx="637">
                  <c:v>5.4160860977251701E-2</c:v>
                </c:pt>
                <c:pt idx="638">
                  <c:v>5.0316782186605735E-3</c:v>
                </c:pt>
                <c:pt idx="639">
                  <c:v>2.6364463638088864E-3</c:v>
                </c:pt>
                <c:pt idx="640">
                  <c:v>8.8104613994666181E-3</c:v>
                </c:pt>
                <c:pt idx="641">
                  <c:v>3.0506020853877658E-2</c:v>
                </c:pt>
                <c:pt idx="642">
                  <c:v>1.0889908012721605E-2</c:v>
                </c:pt>
                <c:pt idx="643">
                  <c:v>2.2496115479125223E-2</c:v>
                </c:pt>
                <c:pt idx="644">
                  <c:v>3.9485798325639365E-2</c:v>
                </c:pt>
                <c:pt idx="645">
                  <c:v>2.4316330890489013E-2</c:v>
                </c:pt>
                <c:pt idx="646">
                  <c:v>4.0861843512459473E-2</c:v>
                </c:pt>
                <c:pt idx="647">
                  <c:v>6.0585798182728468E-2</c:v>
                </c:pt>
                <c:pt idx="648">
                  <c:v>4.142067706517949E-2</c:v>
                </c:pt>
                <c:pt idx="649">
                  <c:v>2.3375599638733036E-2</c:v>
                </c:pt>
                <c:pt idx="650">
                  <c:v>6.2683732336207498E-2</c:v>
                </c:pt>
                <c:pt idx="651">
                  <c:v>2.3872559956704009E-2</c:v>
                </c:pt>
                <c:pt idx="652">
                  <c:v>7.5795320020393575E-2</c:v>
                </c:pt>
                <c:pt idx="653">
                  <c:v>5.6529229942650971E-2</c:v>
                </c:pt>
                <c:pt idx="654">
                  <c:v>-2.5004389776153602E-2</c:v>
                </c:pt>
                <c:pt idx="655">
                  <c:v>-2.0508307555925143E-2</c:v>
                </c:pt>
                <c:pt idx="656">
                  <c:v>4.269552454868375E-3</c:v>
                </c:pt>
                <c:pt idx="657">
                  <c:v>7.7351479985097171E-3</c:v>
                </c:pt>
                <c:pt idx="658">
                  <c:v>1.0147513024385546E-2</c:v>
                </c:pt>
                <c:pt idx="659">
                  <c:v>1.4647488107133455E-2</c:v>
                </c:pt>
                <c:pt idx="660">
                  <c:v>-7.9304927097894051E-3</c:v>
                </c:pt>
                <c:pt idx="661">
                  <c:v>2.475307754867373E-3</c:v>
                </c:pt>
                <c:pt idx="662">
                  <c:v>2.6467326757888543E-2</c:v>
                </c:pt>
                <c:pt idx="663">
                  <c:v>9.0634744763420372E-3</c:v>
                </c:pt>
                <c:pt idx="664">
                  <c:v>3.09104184788076E-2</c:v>
                </c:pt>
                <c:pt idx="665">
                  <c:v>1.8538298361185923E-3</c:v>
                </c:pt>
                <c:pt idx="666">
                  <c:v>8.4100980740586806E-3</c:v>
                </c:pt>
                <c:pt idx="667">
                  <c:v>8.9043331958592375E-2</c:v>
                </c:pt>
                <c:pt idx="668">
                  <c:v>-2.7105364288026124E-2</c:v>
                </c:pt>
                <c:pt idx="669">
                  <c:v>7.927249748409082E-3</c:v>
                </c:pt>
                <c:pt idx="670">
                  <c:v>4.6815505079699449E-2</c:v>
                </c:pt>
                <c:pt idx="671">
                  <c:v>2.168443603169834E-2</c:v>
                </c:pt>
                <c:pt idx="672">
                  <c:v>-1.9985919786442707E-3</c:v>
                </c:pt>
                <c:pt idx="673">
                  <c:v>2.1106293013993138E-2</c:v>
                </c:pt>
                <c:pt idx="674">
                  <c:v>3.1151579806483198E-3</c:v>
                </c:pt>
                <c:pt idx="675">
                  <c:v>3.384384765891113E-2</c:v>
                </c:pt>
                <c:pt idx="676">
                  <c:v>1.9250054615188361E-2</c:v>
                </c:pt>
                <c:pt idx="677">
                  <c:v>-9.8768790122711891E-3</c:v>
                </c:pt>
                <c:pt idx="678">
                  <c:v>9.1243706561137117E-3</c:v>
                </c:pt>
                <c:pt idx="679">
                  <c:v>3.4801779897115637E-2</c:v>
                </c:pt>
                <c:pt idx="680">
                  <c:v>4.3118594641484265E-2</c:v>
                </c:pt>
                <c:pt idx="681">
                  <c:v>5.5356183715922214E-3</c:v>
                </c:pt>
                <c:pt idx="682">
                  <c:v>8.3628849209194556E-2</c:v>
                </c:pt>
                <c:pt idx="683">
                  <c:v>7.095348323947448E-2</c:v>
                </c:pt>
                <c:pt idx="684">
                  <c:v>3.3148428939675512E-2</c:v>
                </c:pt>
                <c:pt idx="685">
                  <c:v>8.081333581433725E-2</c:v>
                </c:pt>
                <c:pt idx="686">
                  <c:v>2.5696905371557222E-2</c:v>
                </c:pt>
                <c:pt idx="687">
                  <c:v>4.095337655712683E-3</c:v>
                </c:pt>
                <c:pt idx="688">
                  <c:v>1.8193633101624584E-2</c:v>
                </c:pt>
                <c:pt idx="689">
                  <c:v>3.6989727841060471E-2</c:v>
                </c:pt>
                <c:pt idx="690">
                  <c:v>7.8241163911982881E-3</c:v>
                </c:pt>
                <c:pt idx="691">
                  <c:v>3.569082832068915E-3</c:v>
                </c:pt>
                <c:pt idx="692">
                  <c:v>-3.5986181489171543E-2</c:v>
                </c:pt>
                <c:pt idx="693">
                  <c:v>1.1120273637519773E-2</c:v>
                </c:pt>
                <c:pt idx="694">
                  <c:v>4.6675184681561177E-2</c:v>
                </c:pt>
                <c:pt idx="695">
                  <c:v>7.3160686990124901E-2</c:v>
                </c:pt>
                <c:pt idx="696">
                  <c:v>9.029072727440024E-3</c:v>
                </c:pt>
                <c:pt idx="697">
                  <c:v>2.6465430006133772E-2</c:v>
                </c:pt>
                <c:pt idx="698">
                  <c:v>2.9078363599204238E-2</c:v>
                </c:pt>
                <c:pt idx="699">
                  <c:v>-8.0367355995569767E-3</c:v>
                </c:pt>
                <c:pt idx="700">
                  <c:v>-1.2611318558050755E-2</c:v>
                </c:pt>
                <c:pt idx="701">
                  <c:v>1.199480210506465E-2</c:v>
                </c:pt>
                <c:pt idx="702">
                  <c:v>2.3551482799380352E-2</c:v>
                </c:pt>
                <c:pt idx="703">
                  <c:v>1.2669590783303875E-2</c:v>
                </c:pt>
                <c:pt idx="704">
                  <c:v>2.9062327253235765E-2</c:v>
                </c:pt>
                <c:pt idx="705">
                  <c:v>-4.7997293055530577E-3</c:v>
                </c:pt>
                <c:pt idx="706">
                  <c:v>-5.26269093397147E-3</c:v>
                </c:pt>
                <c:pt idx="707">
                  <c:v>-2.8417401586935398E-3</c:v>
                </c:pt>
                <c:pt idx="708">
                  <c:v>2.2072513490506651E-2</c:v>
                </c:pt>
                <c:pt idx="709">
                  <c:v>4.025105905648374E-2</c:v>
                </c:pt>
                <c:pt idx="710">
                  <c:v>2.9695815805762749E-2</c:v>
                </c:pt>
                <c:pt idx="711">
                  <c:v>4.0361543367556152E-2</c:v>
                </c:pt>
                <c:pt idx="712">
                  <c:v>5.0758407450963716E-3</c:v>
                </c:pt>
                <c:pt idx="713">
                  <c:v>5.6373237985791746E-2</c:v>
                </c:pt>
                <c:pt idx="714">
                  <c:v>-3.3135767239045322E-4</c:v>
                </c:pt>
                <c:pt idx="715">
                  <c:v>9.120897719050447E-3</c:v>
                </c:pt>
                <c:pt idx="716">
                  <c:v>6.0623545695932535E-3</c:v>
                </c:pt>
                <c:pt idx="717">
                  <c:v>9.1507886416763995E-4</c:v>
                </c:pt>
                <c:pt idx="718">
                  <c:v>4.1670537496852234E-2</c:v>
                </c:pt>
                <c:pt idx="719">
                  <c:v>5.6470420534076027E-3</c:v>
                </c:pt>
                <c:pt idx="720">
                  <c:v>-2.0180062768737628E-3</c:v>
                </c:pt>
                <c:pt idx="721">
                  <c:v>4.0957115865882798E-2</c:v>
                </c:pt>
                <c:pt idx="722">
                  <c:v>6.2291674142684883E-3</c:v>
                </c:pt>
                <c:pt idx="723">
                  <c:v>3.8878318024583081E-2</c:v>
                </c:pt>
                <c:pt idx="724">
                  <c:v>-4.9720353929600947E-3</c:v>
                </c:pt>
                <c:pt idx="725">
                  <c:v>3.1670071718419734E-2</c:v>
                </c:pt>
                <c:pt idx="726">
                  <c:v>3.1863804092164827E-2</c:v>
                </c:pt>
                <c:pt idx="727">
                  <c:v>-1.3012816313153763E-2</c:v>
                </c:pt>
                <c:pt idx="728">
                  <c:v>1.4917706057211433E-2</c:v>
                </c:pt>
                <c:pt idx="729">
                  <c:v>-7.6477602648132859E-3</c:v>
                </c:pt>
                <c:pt idx="730">
                  <c:v>3.4741497670442101E-2</c:v>
                </c:pt>
                <c:pt idx="731">
                  <c:v>-2.349475636834697E-2</c:v>
                </c:pt>
                <c:pt idx="732">
                  <c:v>1.0735790064234862E-2</c:v>
                </c:pt>
                <c:pt idx="733">
                  <c:v>4.3050545033239018E-2</c:v>
                </c:pt>
                <c:pt idx="734">
                  <c:v>4.5805727714789413E-2</c:v>
                </c:pt>
                <c:pt idx="735">
                  <c:v>4.1840375851442957E-2</c:v>
                </c:pt>
                <c:pt idx="736">
                  <c:v>2.4084281989082967E-2</c:v>
                </c:pt>
                <c:pt idx="737">
                  <c:v>1.6387499595371224E-2</c:v>
                </c:pt>
                <c:pt idx="738">
                  <c:v>-4.7797250495769106E-3</c:v>
                </c:pt>
                <c:pt idx="739">
                  <c:v>3.2695145954640736E-2</c:v>
                </c:pt>
                <c:pt idx="740">
                  <c:v>1.1850216489406762E-2</c:v>
                </c:pt>
                <c:pt idx="741">
                  <c:v>1.1496556822539361E-2</c:v>
                </c:pt>
                <c:pt idx="742">
                  <c:v>1.4818441632538537E-2</c:v>
                </c:pt>
                <c:pt idx="743">
                  <c:v>7.4650573464317915E-2</c:v>
                </c:pt>
                <c:pt idx="744">
                  <c:v>2.3430002511631187E-2</c:v>
                </c:pt>
                <c:pt idx="745">
                  <c:v>4.8030158173713033E-2</c:v>
                </c:pt>
                <c:pt idx="746">
                  <c:v>1.3614095531828241E-2</c:v>
                </c:pt>
                <c:pt idx="747">
                  <c:v>9.0417893561038909E-3</c:v>
                </c:pt>
                <c:pt idx="748">
                  <c:v>4.3879132170019375E-3</c:v>
                </c:pt>
                <c:pt idx="749">
                  <c:v>-2.3580583468834959E-2</c:v>
                </c:pt>
                <c:pt idx="750">
                  <c:v>5.6154623363013911E-4</c:v>
                </c:pt>
                <c:pt idx="751">
                  <c:v>2.7037384638216366E-2</c:v>
                </c:pt>
                <c:pt idx="752">
                  <c:v>-3.3649157935506935E-3</c:v>
                </c:pt>
                <c:pt idx="753">
                  <c:v>1.8421799422725371E-3</c:v>
                </c:pt>
                <c:pt idx="754">
                  <c:v>4.5109265337323734E-2</c:v>
                </c:pt>
                <c:pt idx="755">
                  <c:v>1.2261840573660976E-2</c:v>
                </c:pt>
                <c:pt idx="756">
                  <c:v>2.9144564266808004E-2</c:v>
                </c:pt>
                <c:pt idx="757">
                  <c:v>-1.2942384483185521E-2</c:v>
                </c:pt>
                <c:pt idx="758">
                  <c:v>1.834160873082169E-2</c:v>
                </c:pt>
                <c:pt idx="759">
                  <c:v>-4.8013659016987731E-3</c:v>
                </c:pt>
                <c:pt idx="760">
                  <c:v>1.7060457837555276E-2</c:v>
                </c:pt>
                <c:pt idx="761">
                  <c:v>5.7433228962651128E-3</c:v>
                </c:pt>
                <c:pt idx="762">
                  <c:v>1.2092637575491949E-2</c:v>
                </c:pt>
                <c:pt idx="763">
                  <c:v>1.9939506959460118E-2</c:v>
                </c:pt>
                <c:pt idx="764">
                  <c:v>3.0572491294076798E-2</c:v>
                </c:pt>
                <c:pt idx="765">
                  <c:v>-2.886955685433179E-3</c:v>
                </c:pt>
                <c:pt idx="766">
                  <c:v>-2.855690848015513E-3</c:v>
                </c:pt>
                <c:pt idx="767">
                  <c:v>2.9814622593118401E-2</c:v>
                </c:pt>
                <c:pt idx="768">
                  <c:v>2.5554038603370799E-2</c:v>
                </c:pt>
                <c:pt idx="769">
                  <c:v>-6.2244862407318635E-2</c:v>
                </c:pt>
                <c:pt idx="770">
                  <c:v>3.0563205798841864E-2</c:v>
                </c:pt>
                <c:pt idx="771">
                  <c:v>3.0934108365354263E-2</c:v>
                </c:pt>
                <c:pt idx="772">
                  <c:v>2.3234936894695579E-2</c:v>
                </c:pt>
                <c:pt idx="773">
                  <c:v>3.5059874344792519E-2</c:v>
                </c:pt>
                <c:pt idx="774">
                  <c:v>-3.9971335933305596E-2</c:v>
                </c:pt>
                <c:pt idx="775">
                  <c:v>4.2748901988183263E-2</c:v>
                </c:pt>
                <c:pt idx="776">
                  <c:v>3.4749856977548177E-2</c:v>
                </c:pt>
                <c:pt idx="777">
                  <c:v>2.6172688204894712E-2</c:v>
                </c:pt>
                <c:pt idx="778">
                  <c:v>5.7673734443941527E-2</c:v>
                </c:pt>
                <c:pt idx="779">
                  <c:v>-7.5593141843839362E-3</c:v>
                </c:pt>
                <c:pt idx="780">
                  <c:v>2.2524507303621988E-2</c:v>
                </c:pt>
                <c:pt idx="781">
                  <c:v>3.8454159725361592E-2</c:v>
                </c:pt>
                <c:pt idx="782">
                  <c:v>-4.0596985027789856E-3</c:v>
                </c:pt>
                <c:pt idx="783">
                  <c:v>-6.8471263237164237E-3</c:v>
                </c:pt>
                <c:pt idx="784">
                  <c:v>9.4481085075557303E-3</c:v>
                </c:pt>
                <c:pt idx="785">
                  <c:v>9.8863828477071536E-3</c:v>
                </c:pt>
                <c:pt idx="786">
                  <c:v>3.4416244837125021E-2</c:v>
                </c:pt>
                <c:pt idx="787">
                  <c:v>1.0061192193120405E-2</c:v>
                </c:pt>
                <c:pt idx="788">
                  <c:v>5.843115676532662E-2</c:v>
                </c:pt>
                <c:pt idx="789">
                  <c:v>2.4815846532863617E-2</c:v>
                </c:pt>
                <c:pt idx="790">
                  <c:v>9.5324785299979453E-3</c:v>
                </c:pt>
                <c:pt idx="791">
                  <c:v>2.6362710041933468E-2</c:v>
                </c:pt>
                <c:pt idx="792">
                  <c:v>2.0424473017538247E-2</c:v>
                </c:pt>
                <c:pt idx="793">
                  <c:v>2.3757241549539287E-2</c:v>
                </c:pt>
                <c:pt idx="794">
                  <c:v>1.9959587362649245E-2</c:v>
                </c:pt>
                <c:pt idx="795">
                  <c:v>5.2086575023114534E-2</c:v>
                </c:pt>
                <c:pt idx="796">
                  <c:v>-1.2003050109825608E-3</c:v>
                </c:pt>
                <c:pt idx="797">
                  <c:v>2.2099132133710953E-2</c:v>
                </c:pt>
                <c:pt idx="798">
                  <c:v>-9.6532394611692496E-3</c:v>
                </c:pt>
                <c:pt idx="799">
                  <c:v>2.6991932890329196E-2</c:v>
                </c:pt>
                <c:pt idx="800">
                  <c:v>2.3213548476913815E-2</c:v>
                </c:pt>
                <c:pt idx="801">
                  <c:v>1.1021227091294605E-2</c:v>
                </c:pt>
                <c:pt idx="802">
                  <c:v>6.0392034622822166E-2</c:v>
                </c:pt>
                <c:pt idx="803">
                  <c:v>1.4982267539796368E-2</c:v>
                </c:pt>
                <c:pt idx="804">
                  <c:v>4.3829813414696162E-2</c:v>
                </c:pt>
                <c:pt idx="805">
                  <c:v>4.1530767229371435E-2</c:v>
                </c:pt>
                <c:pt idx="806">
                  <c:v>3.3777399574663747E-2</c:v>
                </c:pt>
                <c:pt idx="807">
                  <c:v>1.5392476401537181E-2</c:v>
                </c:pt>
                <c:pt idx="808">
                  <c:v>6.9866492823130955E-2</c:v>
                </c:pt>
                <c:pt idx="809">
                  <c:v>-1.8115740225308485E-2</c:v>
                </c:pt>
                <c:pt idx="810">
                  <c:v>-1.0233153096372405E-2</c:v>
                </c:pt>
                <c:pt idx="811">
                  <c:v>7.4418055396108684E-2</c:v>
                </c:pt>
                <c:pt idx="812">
                  <c:v>5.6427295270388811E-2</c:v>
                </c:pt>
                <c:pt idx="813">
                  <c:v>3.4249832516216827E-2</c:v>
                </c:pt>
                <c:pt idx="814">
                  <c:v>1.7774349981614534E-2</c:v>
                </c:pt>
                <c:pt idx="815">
                  <c:v>6.7588431022940654E-2</c:v>
                </c:pt>
                <c:pt idx="816">
                  <c:v>1.9792804917734941E-2</c:v>
                </c:pt>
                <c:pt idx="817">
                  <c:v>4.5689209295336042E-2</c:v>
                </c:pt>
                <c:pt idx="818">
                  <c:v>6.5333111427250401E-3</c:v>
                </c:pt>
                <c:pt idx="819">
                  <c:v>-2.4464011264555552E-3</c:v>
                </c:pt>
                <c:pt idx="820">
                  <c:v>4.3450989641193871E-3</c:v>
                </c:pt>
                <c:pt idx="821">
                  <c:v>3.5115585651332992E-2</c:v>
                </c:pt>
                <c:pt idx="822">
                  <c:v>4.7682428132834076E-2</c:v>
                </c:pt>
                <c:pt idx="823">
                  <c:v>-2.9088288441677435E-2</c:v>
                </c:pt>
                <c:pt idx="824">
                  <c:v>3.8052214143004193E-2</c:v>
                </c:pt>
                <c:pt idx="825">
                  <c:v>-4.0044707132043555E-2</c:v>
                </c:pt>
                <c:pt idx="826">
                  <c:v>1.689698262397954E-2</c:v>
                </c:pt>
                <c:pt idx="827">
                  <c:v>2.0697923206800084E-2</c:v>
                </c:pt>
                <c:pt idx="828">
                  <c:v>5.1395123865432879E-2</c:v>
                </c:pt>
                <c:pt idx="829">
                  <c:v>1.951419447069469E-2</c:v>
                </c:pt>
                <c:pt idx="830">
                  <c:v>6.6780747357864101E-2</c:v>
                </c:pt>
                <c:pt idx="831">
                  <c:v>5.142968295722028E-2</c:v>
                </c:pt>
                <c:pt idx="832">
                  <c:v>1.5206272065203308E-2</c:v>
                </c:pt>
                <c:pt idx="833">
                  <c:v>7.1368507498920764E-2</c:v>
                </c:pt>
                <c:pt idx="834">
                  <c:v>2.1856202740323738E-2</c:v>
                </c:pt>
                <c:pt idx="835">
                  <c:v>8.9644441340475112E-3</c:v>
                </c:pt>
                <c:pt idx="836">
                  <c:v>2.3150066198990515E-2</c:v>
                </c:pt>
                <c:pt idx="837">
                  <c:v>-3.7493695627013324E-3</c:v>
                </c:pt>
                <c:pt idx="838">
                  <c:v>1.8795186138127917E-2</c:v>
                </c:pt>
                <c:pt idx="839">
                  <c:v>3.5795939436781055E-2</c:v>
                </c:pt>
                <c:pt idx="840">
                  <c:v>1.5256449533239902E-2</c:v>
                </c:pt>
                <c:pt idx="841">
                  <c:v>-5.6634602290692726E-3</c:v>
                </c:pt>
                <c:pt idx="842">
                  <c:v>2.6088295394277594E-2</c:v>
                </c:pt>
                <c:pt idx="843">
                  <c:v>2.2751631860412402E-2</c:v>
                </c:pt>
                <c:pt idx="844">
                  <c:v>6.0962117055964882E-3</c:v>
                </c:pt>
                <c:pt idx="845">
                  <c:v>3.3694066263446842E-2</c:v>
                </c:pt>
                <c:pt idx="846">
                  <c:v>9.6352393679914883E-3</c:v>
                </c:pt>
                <c:pt idx="847">
                  <c:v>2.5866379723769484E-2</c:v>
                </c:pt>
                <c:pt idx="848">
                  <c:v>1.5012186836667496E-2</c:v>
                </c:pt>
                <c:pt idx="849">
                  <c:v>1.164196050471844E-2</c:v>
                </c:pt>
                <c:pt idx="850">
                  <c:v>3.2474763197157586E-2</c:v>
                </c:pt>
                <c:pt idx="851">
                  <c:v>3.6074948829849518E-2</c:v>
                </c:pt>
                <c:pt idx="852">
                  <c:v>-2.9578885378143127E-3</c:v>
                </c:pt>
                <c:pt idx="853">
                  <c:v>4.7014635451510856E-2</c:v>
                </c:pt>
                <c:pt idx="854">
                  <c:v>6.2305497308670965E-2</c:v>
                </c:pt>
                <c:pt idx="855">
                  <c:v>1.5870791358025826E-2</c:v>
                </c:pt>
                <c:pt idx="856">
                  <c:v>3.0746218301999306E-2</c:v>
                </c:pt>
                <c:pt idx="857">
                  <c:v>4.7344572042753441E-3</c:v>
                </c:pt>
                <c:pt idx="858">
                  <c:v>2.7966675800943364E-2</c:v>
                </c:pt>
                <c:pt idx="859">
                  <c:v>1.2043676426774397E-2</c:v>
                </c:pt>
                <c:pt idx="860">
                  <c:v>3.5420399854046991E-3</c:v>
                </c:pt>
                <c:pt idx="861">
                  <c:v>-4.5199315319202071E-3</c:v>
                </c:pt>
                <c:pt idx="862">
                  <c:v>2.0934550906634541E-2</c:v>
                </c:pt>
                <c:pt idx="863">
                  <c:v>6.6301865463458398E-3</c:v>
                </c:pt>
                <c:pt idx="864">
                  <c:v>3.4734608903736586E-2</c:v>
                </c:pt>
                <c:pt idx="865">
                  <c:v>2.2609983014909574E-3</c:v>
                </c:pt>
                <c:pt idx="866">
                  <c:v>2.5757661987970693E-2</c:v>
                </c:pt>
                <c:pt idx="867">
                  <c:v>4.5230852830552948E-2</c:v>
                </c:pt>
                <c:pt idx="868">
                  <c:v>1.1122596937394036E-2</c:v>
                </c:pt>
                <c:pt idx="869">
                  <c:v>1.4830491251462519E-2</c:v>
                </c:pt>
                <c:pt idx="870">
                  <c:v>4.380108218402512E-3</c:v>
                </c:pt>
                <c:pt idx="871">
                  <c:v>2.9675922038997271E-2</c:v>
                </c:pt>
                <c:pt idx="872">
                  <c:v>2.7328690595918914E-2</c:v>
                </c:pt>
                <c:pt idx="873">
                  <c:v>1.1271924247964193E-2</c:v>
                </c:pt>
                <c:pt idx="874">
                  <c:v>2.0909140267331594E-2</c:v>
                </c:pt>
                <c:pt idx="875">
                  <c:v>1.1859903199749056E-2</c:v>
                </c:pt>
                <c:pt idx="876">
                  <c:v>2.4525500463283834E-2</c:v>
                </c:pt>
                <c:pt idx="877">
                  <c:v>7.0189391581106264E-2</c:v>
                </c:pt>
                <c:pt idx="878">
                  <c:v>-5.6318422685599501E-3</c:v>
                </c:pt>
                <c:pt idx="879">
                  <c:v>1.6225267550105116E-3</c:v>
                </c:pt>
                <c:pt idx="880">
                  <c:v>6.2130326762854793E-4</c:v>
                </c:pt>
                <c:pt idx="881">
                  <c:v>4.3500241887524993E-2</c:v>
                </c:pt>
                <c:pt idx="882">
                  <c:v>3.7259877239392836E-4</c:v>
                </c:pt>
                <c:pt idx="883">
                  <c:v>8.281468060062025E-3</c:v>
                </c:pt>
                <c:pt idx="884">
                  <c:v>4.1290569900674257E-2</c:v>
                </c:pt>
                <c:pt idx="885">
                  <c:v>8.0492813368984173E-3</c:v>
                </c:pt>
                <c:pt idx="886">
                  <c:v>-4.2709663078746019E-3</c:v>
                </c:pt>
                <c:pt idx="887">
                  <c:v>8.9223348842882189E-2</c:v>
                </c:pt>
                <c:pt idx="888">
                  <c:v>2.0150924880333321E-2</c:v>
                </c:pt>
                <c:pt idx="889">
                  <c:v>2.0644153209524063E-2</c:v>
                </c:pt>
                <c:pt idx="890">
                  <c:v>3.8041967909439478E-2</c:v>
                </c:pt>
                <c:pt idx="891">
                  <c:v>4.8211467221719317E-2</c:v>
                </c:pt>
                <c:pt idx="892">
                  <c:v>-2.7062469413877466E-2</c:v>
                </c:pt>
                <c:pt idx="893">
                  <c:v>2.0478108171460008E-2</c:v>
                </c:pt>
                <c:pt idx="894">
                  <c:v>4.9479938510636146E-2</c:v>
                </c:pt>
                <c:pt idx="895">
                  <c:v>4.0885426761789745E-2</c:v>
                </c:pt>
                <c:pt idx="896">
                  <c:v>1.5579183620264558E-2</c:v>
                </c:pt>
                <c:pt idx="897">
                  <c:v>-1.7977323038955717E-3</c:v>
                </c:pt>
                <c:pt idx="898">
                  <c:v>8.4797402709462233E-3</c:v>
                </c:pt>
                <c:pt idx="899">
                  <c:v>2.186263169578595E-2</c:v>
                </c:pt>
                <c:pt idx="900">
                  <c:v>2.9635762249345277E-2</c:v>
                </c:pt>
                <c:pt idx="901">
                  <c:v>8.3606335401178455E-3</c:v>
                </c:pt>
                <c:pt idx="902">
                  <c:v>1.9834444477488944E-3</c:v>
                </c:pt>
                <c:pt idx="903">
                  <c:v>-3.2508863864748605E-3</c:v>
                </c:pt>
                <c:pt idx="904">
                  <c:v>3.8498560760871214E-2</c:v>
                </c:pt>
                <c:pt idx="905">
                  <c:v>-6.2033235352139116E-3</c:v>
                </c:pt>
                <c:pt idx="906">
                  <c:v>2.0273938481196296E-2</c:v>
                </c:pt>
                <c:pt idx="907">
                  <c:v>-1.1114683575826234E-2</c:v>
                </c:pt>
                <c:pt idx="908">
                  <c:v>6.9119362732621425E-3</c:v>
                </c:pt>
                <c:pt idx="909">
                  <c:v>1.8866709287923555E-2</c:v>
                </c:pt>
                <c:pt idx="910">
                  <c:v>-6.1593550402783137E-3</c:v>
                </c:pt>
                <c:pt idx="911">
                  <c:v>2.8037992584085458E-2</c:v>
                </c:pt>
                <c:pt idx="912">
                  <c:v>-1.9906350871188749E-2</c:v>
                </c:pt>
                <c:pt idx="913">
                  <c:v>5.6950729014495494E-3</c:v>
                </c:pt>
                <c:pt idx="914">
                  <c:v>1.226992744584976E-2</c:v>
                </c:pt>
                <c:pt idx="915">
                  <c:v>1.7016989561948748E-2</c:v>
                </c:pt>
                <c:pt idx="916">
                  <c:v>3.8166428018044485E-2</c:v>
                </c:pt>
                <c:pt idx="917">
                  <c:v>1.9802460733192362E-2</c:v>
                </c:pt>
                <c:pt idx="918">
                  <c:v>5.247145505034112E-2</c:v>
                </c:pt>
                <c:pt idx="919">
                  <c:v>2.8783780069343123E-2</c:v>
                </c:pt>
                <c:pt idx="920">
                  <c:v>1.3766659032576456E-2</c:v>
                </c:pt>
                <c:pt idx="921">
                  <c:v>2.9930346698719745E-2</c:v>
                </c:pt>
                <c:pt idx="922">
                  <c:v>7.6576150265168508E-3</c:v>
                </c:pt>
                <c:pt idx="923">
                  <c:v>-1.1278779010890361E-2</c:v>
                </c:pt>
                <c:pt idx="924">
                  <c:v>-1.7754243475966547E-2</c:v>
                </c:pt>
                <c:pt idx="925">
                  <c:v>-9.4838417389517815E-3</c:v>
                </c:pt>
                <c:pt idx="926">
                  <c:v>4.6499352675823502E-2</c:v>
                </c:pt>
                <c:pt idx="927">
                  <c:v>3.3714700012414056E-2</c:v>
                </c:pt>
                <c:pt idx="928">
                  <c:v>-7.2028614856947115E-3</c:v>
                </c:pt>
                <c:pt idx="929">
                  <c:v>4.1504822090026039E-3</c:v>
                </c:pt>
                <c:pt idx="930">
                  <c:v>1.7148814356112041E-2</c:v>
                </c:pt>
                <c:pt idx="931">
                  <c:v>2.8966990217877964E-2</c:v>
                </c:pt>
                <c:pt idx="932">
                  <c:v>1.2033973816308219E-2</c:v>
                </c:pt>
                <c:pt idx="933">
                  <c:v>1.3852809481271322E-2</c:v>
                </c:pt>
                <c:pt idx="934">
                  <c:v>-4.1354915934505243E-2</c:v>
                </c:pt>
                <c:pt idx="935">
                  <c:v>-2.3695772712208907E-2</c:v>
                </c:pt>
                <c:pt idx="936">
                  <c:v>3.9114056526173613E-2</c:v>
                </c:pt>
                <c:pt idx="937">
                  <c:v>3.7308815714549581E-2</c:v>
                </c:pt>
                <c:pt idx="938">
                  <c:v>2.0612826666020823E-2</c:v>
                </c:pt>
                <c:pt idx="939">
                  <c:v>1.4584523641175906E-2</c:v>
                </c:pt>
                <c:pt idx="940">
                  <c:v>3.8932929955926454E-2</c:v>
                </c:pt>
                <c:pt idx="941">
                  <c:v>2.6009206046275324E-2</c:v>
                </c:pt>
                <c:pt idx="942">
                  <c:v>2.363043430429812E-2</c:v>
                </c:pt>
                <c:pt idx="943">
                  <c:v>1.5475976716420092E-2</c:v>
                </c:pt>
                <c:pt idx="944">
                  <c:v>-2.3220046654799376E-3</c:v>
                </c:pt>
                <c:pt idx="945">
                  <c:v>6.4017113259811964E-2</c:v>
                </c:pt>
                <c:pt idx="946">
                  <c:v>1.990373911713661E-2</c:v>
                </c:pt>
                <c:pt idx="947">
                  <c:v>5.1065681811710562E-2</c:v>
                </c:pt>
                <c:pt idx="948">
                  <c:v>1.3606908249883531E-3</c:v>
                </c:pt>
                <c:pt idx="949">
                  <c:v>9.6993963080436174E-3</c:v>
                </c:pt>
                <c:pt idx="950">
                  <c:v>2.8616830648115155E-2</c:v>
                </c:pt>
                <c:pt idx="951">
                  <c:v>5.494435609776005E-2</c:v>
                </c:pt>
                <c:pt idx="952">
                  <c:v>3.2490968890645178E-2</c:v>
                </c:pt>
                <c:pt idx="953">
                  <c:v>2.7524305651027703E-4</c:v>
                </c:pt>
                <c:pt idx="954">
                  <c:v>3.6982037467751638E-2</c:v>
                </c:pt>
                <c:pt idx="955">
                  <c:v>2.5263458936862548E-2</c:v>
                </c:pt>
                <c:pt idx="956">
                  <c:v>1.3277633453149917E-2</c:v>
                </c:pt>
                <c:pt idx="957">
                  <c:v>-3.9870255131202015E-2</c:v>
                </c:pt>
                <c:pt idx="958">
                  <c:v>5.9036224183149244E-2</c:v>
                </c:pt>
                <c:pt idx="959">
                  <c:v>2.4182293088077955E-2</c:v>
                </c:pt>
                <c:pt idx="960">
                  <c:v>1.8361050245609079E-2</c:v>
                </c:pt>
                <c:pt idx="961">
                  <c:v>7.5556864964454462E-4</c:v>
                </c:pt>
                <c:pt idx="962">
                  <c:v>1.2141996011699518E-2</c:v>
                </c:pt>
                <c:pt idx="963">
                  <c:v>-4.0119750582547908E-3</c:v>
                </c:pt>
                <c:pt idx="964">
                  <c:v>3.5509020592538576E-2</c:v>
                </c:pt>
                <c:pt idx="965">
                  <c:v>4.8864759449209316E-2</c:v>
                </c:pt>
                <c:pt idx="966">
                  <c:v>4.2250611882561628E-2</c:v>
                </c:pt>
                <c:pt idx="967">
                  <c:v>-8.24129256720596E-4</c:v>
                </c:pt>
                <c:pt idx="968">
                  <c:v>4.2634608178001798E-2</c:v>
                </c:pt>
                <c:pt idx="969">
                  <c:v>1.9088104852976073E-2</c:v>
                </c:pt>
                <c:pt idx="970">
                  <c:v>4.1786747104456623E-2</c:v>
                </c:pt>
                <c:pt idx="971">
                  <c:v>2.2903039319803753E-2</c:v>
                </c:pt>
                <c:pt idx="972">
                  <c:v>1.2414128262250301E-3</c:v>
                </c:pt>
                <c:pt idx="973">
                  <c:v>3.1732351631855948E-2</c:v>
                </c:pt>
                <c:pt idx="974">
                  <c:v>-8.6416939018967298E-3</c:v>
                </c:pt>
                <c:pt idx="975">
                  <c:v>1.195883215896032E-2</c:v>
                </c:pt>
                <c:pt idx="976">
                  <c:v>3.7878738303916748E-2</c:v>
                </c:pt>
                <c:pt idx="977">
                  <c:v>1.6872189310898733E-2</c:v>
                </c:pt>
                <c:pt idx="978">
                  <c:v>8.3552596087876907E-3</c:v>
                </c:pt>
                <c:pt idx="979">
                  <c:v>5.4633403818762361E-3</c:v>
                </c:pt>
                <c:pt idx="980">
                  <c:v>3.0880393980510235E-2</c:v>
                </c:pt>
                <c:pt idx="981">
                  <c:v>4.2943809485620932E-2</c:v>
                </c:pt>
                <c:pt idx="982">
                  <c:v>1.8260699924329771E-2</c:v>
                </c:pt>
                <c:pt idx="983">
                  <c:v>-5.4349055336757601E-3</c:v>
                </c:pt>
                <c:pt idx="984">
                  <c:v>-5.7277934114026152E-3</c:v>
                </c:pt>
                <c:pt idx="985">
                  <c:v>-3.5449090738701727E-3</c:v>
                </c:pt>
                <c:pt idx="986">
                  <c:v>1.3091399640043022E-2</c:v>
                </c:pt>
                <c:pt idx="987">
                  <c:v>1.8300818121019802E-4</c:v>
                </c:pt>
                <c:pt idx="988">
                  <c:v>2.5589356996537305E-2</c:v>
                </c:pt>
                <c:pt idx="989">
                  <c:v>7.3720784625784574E-2</c:v>
                </c:pt>
                <c:pt idx="990">
                  <c:v>6.778291504028644E-2</c:v>
                </c:pt>
                <c:pt idx="991">
                  <c:v>2.8339302266129351E-2</c:v>
                </c:pt>
                <c:pt idx="992">
                  <c:v>2.0588404208947253E-2</c:v>
                </c:pt>
                <c:pt idx="993">
                  <c:v>2.0061334941452458E-3</c:v>
                </c:pt>
                <c:pt idx="994">
                  <c:v>1.8794139919148023E-2</c:v>
                </c:pt>
                <c:pt idx="995">
                  <c:v>2.7979488416512766E-2</c:v>
                </c:pt>
                <c:pt idx="996">
                  <c:v>1.3541397799407662E-2</c:v>
                </c:pt>
                <c:pt idx="997">
                  <c:v>2.4711574106135004E-2</c:v>
                </c:pt>
                <c:pt idx="998">
                  <c:v>-3.5528634272701254E-3</c:v>
                </c:pt>
                <c:pt idx="999">
                  <c:v>6.1557905826120418E-2</c:v>
                </c:pt>
              </c:numCache>
            </c:numRef>
          </c:xVal>
          <c:yVal>
            <c:numRef>
              <c:f>PSA!$G$16:$G$1015</c:f>
              <c:numCache>
                <c:formatCode>General</c:formatCode>
                <c:ptCount val="1000"/>
                <c:pt idx="0">
                  <c:v>-1956.0321970268815</c:v>
                </c:pt>
                <c:pt idx="1">
                  <c:v>-1819.2516277802351</c:v>
                </c:pt>
                <c:pt idx="2">
                  <c:v>-1734.6742202337118</c:v>
                </c:pt>
                <c:pt idx="3">
                  <c:v>-2114.5242368679174</c:v>
                </c:pt>
                <c:pt idx="4">
                  <c:v>-2422.3660360937429</c:v>
                </c:pt>
                <c:pt idx="5">
                  <c:v>-1713.5596336298877</c:v>
                </c:pt>
                <c:pt idx="6">
                  <c:v>-2067.2039548823195</c:v>
                </c:pt>
                <c:pt idx="7">
                  <c:v>-2201.3241523073448</c:v>
                </c:pt>
                <c:pt idx="8">
                  <c:v>-2273.5832119365296</c:v>
                </c:pt>
                <c:pt idx="9">
                  <c:v>-2223.8178469180566</c:v>
                </c:pt>
                <c:pt idx="10">
                  <c:v>-2533.768621202471</c:v>
                </c:pt>
                <c:pt idx="11">
                  <c:v>-2653.5337606516332</c:v>
                </c:pt>
                <c:pt idx="12">
                  <c:v>-1863.0075241041741</c:v>
                </c:pt>
                <c:pt idx="13">
                  <c:v>-1527.8705040494642</c:v>
                </c:pt>
                <c:pt idx="14">
                  <c:v>-2249.0230807039516</c:v>
                </c:pt>
                <c:pt idx="15">
                  <c:v>-1871.4292294166698</c:v>
                </c:pt>
                <c:pt idx="16">
                  <c:v>-2317.1561600518362</c:v>
                </c:pt>
                <c:pt idx="17">
                  <c:v>-2341.1782555225946</c:v>
                </c:pt>
                <c:pt idx="18">
                  <c:v>-2157.9352160293638</c:v>
                </c:pt>
                <c:pt idx="19">
                  <c:v>-1954.0207537636015</c:v>
                </c:pt>
                <c:pt idx="20">
                  <c:v>-1515.1133867890858</c:v>
                </c:pt>
                <c:pt idx="21">
                  <c:v>-1770.3011170046266</c:v>
                </c:pt>
                <c:pt idx="22">
                  <c:v>-2001.0830758411175</c:v>
                </c:pt>
                <c:pt idx="23">
                  <c:v>-2259.0915778733142</c:v>
                </c:pt>
                <c:pt idx="24">
                  <c:v>-2008.3862928883973</c:v>
                </c:pt>
                <c:pt idx="25">
                  <c:v>-1829.2364871347745</c:v>
                </c:pt>
                <c:pt idx="26">
                  <c:v>-1816.4490103862263</c:v>
                </c:pt>
                <c:pt idx="27">
                  <c:v>-2227.0462548720934</c:v>
                </c:pt>
                <c:pt idx="28">
                  <c:v>-2699.9713552519243</c:v>
                </c:pt>
                <c:pt idx="29">
                  <c:v>-2042.7373542811038</c:v>
                </c:pt>
                <c:pt idx="30">
                  <c:v>-2088.0980581152398</c:v>
                </c:pt>
                <c:pt idx="31">
                  <c:v>-2286.1825906373924</c:v>
                </c:pt>
                <c:pt idx="32">
                  <c:v>-1961.8111386435048</c:v>
                </c:pt>
                <c:pt idx="33">
                  <c:v>-1581.0380926735379</c:v>
                </c:pt>
                <c:pt idx="34">
                  <c:v>-2384.1141049372782</c:v>
                </c:pt>
                <c:pt idx="35">
                  <c:v>-2133.0333587359673</c:v>
                </c:pt>
                <c:pt idx="36">
                  <c:v>-1770.1466286232462</c:v>
                </c:pt>
                <c:pt idx="37">
                  <c:v>-2268.772935275083</c:v>
                </c:pt>
                <c:pt idx="38">
                  <c:v>-1935.6149800013955</c:v>
                </c:pt>
                <c:pt idx="39">
                  <c:v>-2067.7584170924092</c:v>
                </c:pt>
                <c:pt idx="40">
                  <c:v>-1936.4148631704375</c:v>
                </c:pt>
                <c:pt idx="41">
                  <c:v>-1931.2521911100921</c:v>
                </c:pt>
                <c:pt idx="42">
                  <c:v>-2065.5273921287371</c:v>
                </c:pt>
                <c:pt idx="43">
                  <c:v>-2208.1227134978253</c:v>
                </c:pt>
                <c:pt idx="44">
                  <c:v>-1446.8957340109373</c:v>
                </c:pt>
                <c:pt idx="45">
                  <c:v>-2044.7762356765488</c:v>
                </c:pt>
                <c:pt idx="46">
                  <c:v>-2008.3816917159493</c:v>
                </c:pt>
                <c:pt idx="47">
                  <c:v>-2125.1063258469367</c:v>
                </c:pt>
                <c:pt idx="48">
                  <c:v>-2519.4886958042844</c:v>
                </c:pt>
                <c:pt idx="49">
                  <c:v>-1947.5296763393526</c:v>
                </c:pt>
                <c:pt idx="50">
                  <c:v>-2033.8870270846819</c:v>
                </c:pt>
                <c:pt idx="51">
                  <c:v>-1798.4719006598134</c:v>
                </c:pt>
                <c:pt idx="52" formatCode="&quot;$&quot;#,##0.00_);\(&quot;$&quot;#,##0.00\)">
                  <c:v>-1602.8340646215656</c:v>
                </c:pt>
                <c:pt idx="53">
                  <c:v>-1929.2351309482983</c:v>
                </c:pt>
                <c:pt idx="54">
                  <c:v>-1902.3449879083892</c:v>
                </c:pt>
                <c:pt idx="55">
                  <c:v>-2310.5341300236687</c:v>
                </c:pt>
                <c:pt idx="56">
                  <c:v>-2098.065635914405</c:v>
                </c:pt>
                <c:pt idx="57">
                  <c:v>-1990.4809517536014</c:v>
                </c:pt>
                <c:pt idx="58">
                  <c:v>-2139.0871721721451</c:v>
                </c:pt>
                <c:pt idx="59">
                  <c:v>-2559.7786352767434</c:v>
                </c:pt>
                <c:pt idx="60">
                  <c:v>-2420.9035465170164</c:v>
                </c:pt>
                <c:pt idx="61">
                  <c:v>-2223.7495352583792</c:v>
                </c:pt>
                <c:pt idx="62">
                  <c:v>-1897.198576946128</c:v>
                </c:pt>
                <c:pt idx="63">
                  <c:v>-2042.3084902126066</c:v>
                </c:pt>
                <c:pt idx="64">
                  <c:v>-2236.7702725368435</c:v>
                </c:pt>
                <c:pt idx="65">
                  <c:v>-1702.6975986732286</c:v>
                </c:pt>
                <c:pt idx="66">
                  <c:v>-2214.642239872388</c:v>
                </c:pt>
                <c:pt idx="67">
                  <c:v>-2001.536341004994</c:v>
                </c:pt>
                <c:pt idx="68">
                  <c:v>-1638.2745132557466</c:v>
                </c:pt>
                <c:pt idx="69">
                  <c:v>-2284.6883942236236</c:v>
                </c:pt>
                <c:pt idx="70">
                  <c:v>-1656.3613589852393</c:v>
                </c:pt>
                <c:pt idx="71">
                  <c:v>-2079.0126660093447</c:v>
                </c:pt>
                <c:pt idx="72">
                  <c:v>-2539.2555371952258</c:v>
                </c:pt>
                <c:pt idx="73">
                  <c:v>-2036.8975731619976</c:v>
                </c:pt>
                <c:pt idx="74">
                  <c:v>-2147.0405643677223</c:v>
                </c:pt>
                <c:pt idx="75">
                  <c:v>-2193.43676698938</c:v>
                </c:pt>
                <c:pt idx="76">
                  <c:v>-2190.4606908598289</c:v>
                </c:pt>
                <c:pt idx="77" formatCode="&quot;$&quot;#,##0.00_);\(&quot;$&quot;#,##0.00\)">
                  <c:v>-2508.4179693989499</c:v>
                </c:pt>
                <c:pt idx="78">
                  <c:v>-1735.3374192364099</c:v>
                </c:pt>
                <c:pt idx="79">
                  <c:v>-2271.700215230936</c:v>
                </c:pt>
                <c:pt idx="80">
                  <c:v>-1710.2725161559138</c:v>
                </c:pt>
                <c:pt idx="81">
                  <c:v>-1766.9371571105548</c:v>
                </c:pt>
                <c:pt idx="82">
                  <c:v>-2215.9774609691085</c:v>
                </c:pt>
                <c:pt idx="83">
                  <c:v>-1777.61424295912</c:v>
                </c:pt>
                <c:pt idx="84">
                  <c:v>-2417.9499937665314</c:v>
                </c:pt>
                <c:pt idx="85">
                  <c:v>-2613.6039450764292</c:v>
                </c:pt>
                <c:pt idx="86">
                  <c:v>-2227.7372943925075</c:v>
                </c:pt>
                <c:pt idx="87">
                  <c:v>-2191.6206417085268</c:v>
                </c:pt>
                <c:pt idx="88">
                  <c:v>-1897.3337465569311</c:v>
                </c:pt>
                <c:pt idx="89">
                  <c:v>-2181.4519852907906</c:v>
                </c:pt>
                <c:pt idx="90">
                  <c:v>-2456.9645842288373</c:v>
                </c:pt>
                <c:pt idx="91">
                  <c:v>-2917.191102168279</c:v>
                </c:pt>
                <c:pt idx="92">
                  <c:v>-1949.0571737632308</c:v>
                </c:pt>
                <c:pt idx="93">
                  <c:v>-2055.0806826776425</c:v>
                </c:pt>
                <c:pt idx="94">
                  <c:v>-1612.0047193081155</c:v>
                </c:pt>
                <c:pt idx="95">
                  <c:v>-1305.1913914215984</c:v>
                </c:pt>
                <c:pt idx="96">
                  <c:v>-1990.6311714232397</c:v>
                </c:pt>
                <c:pt idx="97">
                  <c:v>-1958.6843657619829</c:v>
                </c:pt>
                <c:pt idx="98">
                  <c:v>-1991.6737908487557</c:v>
                </c:pt>
                <c:pt idx="99">
                  <c:v>-1961.5569274059962</c:v>
                </c:pt>
                <c:pt idx="100">
                  <c:v>-1584.5060859342484</c:v>
                </c:pt>
                <c:pt idx="101">
                  <c:v>-2226.317736841047</c:v>
                </c:pt>
                <c:pt idx="102" formatCode="&quot;$&quot;#,##0.00_);\(&quot;$&quot;#,##0.00\)">
                  <c:v>-2085.7848535744342</c:v>
                </c:pt>
                <c:pt idx="103">
                  <c:v>-1860.6912607812119</c:v>
                </c:pt>
                <c:pt idx="104">
                  <c:v>-1942.0434470299333</c:v>
                </c:pt>
                <c:pt idx="105">
                  <c:v>-1685.9994449432488</c:v>
                </c:pt>
                <c:pt idx="106">
                  <c:v>-1715.5067530029119</c:v>
                </c:pt>
                <c:pt idx="107">
                  <c:v>-1382.7746247606592</c:v>
                </c:pt>
                <c:pt idx="108">
                  <c:v>-2037.0719317173207</c:v>
                </c:pt>
                <c:pt idx="109">
                  <c:v>-1931.4420232525772</c:v>
                </c:pt>
                <c:pt idx="110">
                  <c:v>-2036.6816789530458</c:v>
                </c:pt>
                <c:pt idx="111">
                  <c:v>-2111.6175811142675</c:v>
                </c:pt>
                <c:pt idx="112">
                  <c:v>-2246.7829492790479</c:v>
                </c:pt>
                <c:pt idx="113">
                  <c:v>-2261.7645818470446</c:v>
                </c:pt>
                <c:pt idx="114">
                  <c:v>-1416.4344999741515</c:v>
                </c:pt>
                <c:pt idx="115">
                  <c:v>-2315.6273254465195</c:v>
                </c:pt>
                <c:pt idx="116">
                  <c:v>-2003.1812906605337</c:v>
                </c:pt>
                <c:pt idx="117">
                  <c:v>-2381.815941390596</c:v>
                </c:pt>
                <c:pt idx="118">
                  <c:v>-2032.5473930189364</c:v>
                </c:pt>
                <c:pt idx="119">
                  <c:v>-1564.5679526759704</c:v>
                </c:pt>
                <c:pt idx="120">
                  <c:v>-1926.8834612800129</c:v>
                </c:pt>
                <c:pt idx="121">
                  <c:v>-2024.748966472238</c:v>
                </c:pt>
                <c:pt idx="122">
                  <c:v>-1915.18448993934</c:v>
                </c:pt>
                <c:pt idx="123">
                  <c:v>-2233.9484782222353</c:v>
                </c:pt>
                <c:pt idx="124">
                  <c:v>-1631.4752279905661</c:v>
                </c:pt>
                <c:pt idx="125">
                  <c:v>-1943.3897274876181</c:v>
                </c:pt>
                <c:pt idx="126">
                  <c:v>-1988.0849979664999</c:v>
                </c:pt>
                <c:pt idx="127">
                  <c:v>-1746.3654558614726</c:v>
                </c:pt>
                <c:pt idx="128">
                  <c:v>-2941.4817973810314</c:v>
                </c:pt>
                <c:pt idx="129">
                  <c:v>-1756.4438974175828</c:v>
                </c:pt>
                <c:pt idx="130">
                  <c:v>-1862.4716261986905</c:v>
                </c:pt>
                <c:pt idx="131">
                  <c:v>-1871.8759855370372</c:v>
                </c:pt>
                <c:pt idx="132">
                  <c:v>-1538.2980445207359</c:v>
                </c:pt>
                <c:pt idx="133">
                  <c:v>-1573.2732639474052</c:v>
                </c:pt>
                <c:pt idx="134">
                  <c:v>-1805.7024753618716</c:v>
                </c:pt>
                <c:pt idx="135">
                  <c:v>-1917.7899183984555</c:v>
                </c:pt>
                <c:pt idx="136">
                  <c:v>-2090.1729420523916</c:v>
                </c:pt>
                <c:pt idx="137">
                  <c:v>-1996.4629251706065</c:v>
                </c:pt>
                <c:pt idx="138">
                  <c:v>-2648.3119264210909</c:v>
                </c:pt>
                <c:pt idx="139">
                  <c:v>-2603.8156614175496</c:v>
                </c:pt>
                <c:pt idx="140">
                  <c:v>-2486.8425126029251</c:v>
                </c:pt>
                <c:pt idx="141">
                  <c:v>-1711.1088281365555</c:v>
                </c:pt>
                <c:pt idx="142">
                  <c:v>-1549.1174187543038</c:v>
                </c:pt>
                <c:pt idx="143">
                  <c:v>-2284.9295382431665</c:v>
                </c:pt>
                <c:pt idx="144">
                  <c:v>-2569.3615164772091</c:v>
                </c:pt>
                <c:pt idx="145">
                  <c:v>-2206.1195359234043</c:v>
                </c:pt>
                <c:pt idx="146">
                  <c:v>-2171.9305815452244</c:v>
                </c:pt>
                <c:pt idx="147">
                  <c:v>-1956.5309205251906</c:v>
                </c:pt>
                <c:pt idx="148">
                  <c:v>-1552.8783305290635</c:v>
                </c:pt>
                <c:pt idx="149">
                  <c:v>-2039.9841281398658</c:v>
                </c:pt>
                <c:pt idx="150">
                  <c:v>-2715.7345043176465</c:v>
                </c:pt>
                <c:pt idx="151">
                  <c:v>-2082.6252593750905</c:v>
                </c:pt>
                <c:pt idx="152">
                  <c:v>-2639.7011015159806</c:v>
                </c:pt>
                <c:pt idx="153">
                  <c:v>-1977.8505948707534</c:v>
                </c:pt>
                <c:pt idx="154">
                  <c:v>-2030.2660459106955</c:v>
                </c:pt>
                <c:pt idx="155">
                  <c:v>-1999.6387567283564</c:v>
                </c:pt>
                <c:pt idx="156">
                  <c:v>-1438.307775135625</c:v>
                </c:pt>
                <c:pt idx="157">
                  <c:v>-2364.3526124575765</c:v>
                </c:pt>
                <c:pt idx="158">
                  <c:v>-2005.4376562579637</c:v>
                </c:pt>
                <c:pt idx="159">
                  <c:v>-1912.5283912280356</c:v>
                </c:pt>
                <c:pt idx="160">
                  <c:v>-1850.9953174239781</c:v>
                </c:pt>
                <c:pt idx="161">
                  <c:v>-1950.9639018649214</c:v>
                </c:pt>
                <c:pt idx="162">
                  <c:v>-1963.5060203663634</c:v>
                </c:pt>
                <c:pt idx="163">
                  <c:v>-1996.8588165788897</c:v>
                </c:pt>
                <c:pt idx="164">
                  <c:v>-1748.6635065024675</c:v>
                </c:pt>
                <c:pt idx="165">
                  <c:v>-2325.3219792432064</c:v>
                </c:pt>
                <c:pt idx="166">
                  <c:v>-1723.2729184929995</c:v>
                </c:pt>
                <c:pt idx="167">
                  <c:v>-2076.9333119829389</c:v>
                </c:pt>
                <c:pt idx="168">
                  <c:v>-1912.5043803104454</c:v>
                </c:pt>
                <c:pt idx="169">
                  <c:v>-1950.0828063061817</c:v>
                </c:pt>
                <c:pt idx="170">
                  <c:v>-2352.1119658307289</c:v>
                </c:pt>
                <c:pt idx="171">
                  <c:v>-1937.1914481271924</c:v>
                </c:pt>
                <c:pt idx="172">
                  <c:v>-2224.1662788814829</c:v>
                </c:pt>
                <c:pt idx="173">
                  <c:v>-2264.6791136415341</c:v>
                </c:pt>
                <c:pt idx="174">
                  <c:v>-2342.7018619310475</c:v>
                </c:pt>
                <c:pt idx="175">
                  <c:v>-1903.6992644483107</c:v>
                </c:pt>
                <c:pt idx="176">
                  <c:v>-1887.2039886268831</c:v>
                </c:pt>
                <c:pt idx="177">
                  <c:v>-1873.3317653244922</c:v>
                </c:pt>
                <c:pt idx="178">
                  <c:v>-2100.2761924942424</c:v>
                </c:pt>
                <c:pt idx="179">
                  <c:v>-2036.6033512386421</c:v>
                </c:pt>
                <c:pt idx="180">
                  <c:v>-1938.6616897071108</c:v>
                </c:pt>
                <c:pt idx="181">
                  <c:v>-2278.389850852378</c:v>
                </c:pt>
                <c:pt idx="182">
                  <c:v>-1912.9813854138702</c:v>
                </c:pt>
                <c:pt idx="183">
                  <c:v>-1562.100221470424</c:v>
                </c:pt>
                <c:pt idx="184">
                  <c:v>-1573.4011507784853</c:v>
                </c:pt>
                <c:pt idx="185">
                  <c:v>-1780.5476887288532</c:v>
                </c:pt>
                <c:pt idx="186">
                  <c:v>-1705.1813234821384</c:v>
                </c:pt>
                <c:pt idx="187">
                  <c:v>-2494.5370707972615</c:v>
                </c:pt>
                <c:pt idx="188">
                  <c:v>-2483.2466700319383</c:v>
                </c:pt>
                <c:pt idx="189">
                  <c:v>-2201.5494415233334</c:v>
                </c:pt>
                <c:pt idx="190">
                  <c:v>-1608.0481519933564</c:v>
                </c:pt>
                <c:pt idx="191">
                  <c:v>-2388.0666071117594</c:v>
                </c:pt>
                <c:pt idx="192">
                  <c:v>-1783.6860084262698</c:v>
                </c:pt>
                <c:pt idx="193">
                  <c:v>-1973.970835818076</c:v>
                </c:pt>
                <c:pt idx="194">
                  <c:v>-2021.8209609529513</c:v>
                </c:pt>
                <c:pt idx="195">
                  <c:v>-2341.7878890059037</c:v>
                </c:pt>
                <c:pt idx="196">
                  <c:v>-2267.6738437035601</c:v>
                </c:pt>
                <c:pt idx="197">
                  <c:v>-1432.3537434797836</c:v>
                </c:pt>
                <c:pt idx="198">
                  <c:v>-2178.5861220088627</c:v>
                </c:pt>
                <c:pt idx="199">
                  <c:v>-2045.2592251660135</c:v>
                </c:pt>
                <c:pt idx="200">
                  <c:v>-1584.6799720495983</c:v>
                </c:pt>
                <c:pt idx="201">
                  <c:v>-2142.4325749710115</c:v>
                </c:pt>
                <c:pt idx="202" formatCode="&quot;$&quot;#,##0.00_);\(&quot;$&quot;#,##0.00\)">
                  <c:v>-2243.6548730386567</c:v>
                </c:pt>
                <c:pt idx="203">
                  <c:v>-1973.374478024929</c:v>
                </c:pt>
                <c:pt idx="204">
                  <c:v>-1792.5498258204316</c:v>
                </c:pt>
                <c:pt idx="205">
                  <c:v>-2371.0440111546523</c:v>
                </c:pt>
                <c:pt idx="206">
                  <c:v>-2093.7411439893258</c:v>
                </c:pt>
                <c:pt idx="207">
                  <c:v>-2141.8522645324265</c:v>
                </c:pt>
                <c:pt idx="208">
                  <c:v>-2164.6888000825493</c:v>
                </c:pt>
                <c:pt idx="209">
                  <c:v>-2432.4423151399242</c:v>
                </c:pt>
                <c:pt idx="210">
                  <c:v>-2159.5072243222749</c:v>
                </c:pt>
                <c:pt idx="211">
                  <c:v>-2248.012506279385</c:v>
                </c:pt>
                <c:pt idx="212">
                  <c:v>-1797.3608861803004</c:v>
                </c:pt>
                <c:pt idx="213">
                  <c:v>-2295.7575120414331</c:v>
                </c:pt>
                <c:pt idx="214">
                  <c:v>-2320.3222948390176</c:v>
                </c:pt>
                <c:pt idx="215">
                  <c:v>-1800.9573065343502</c:v>
                </c:pt>
                <c:pt idx="216">
                  <c:v>-2270.6828153177485</c:v>
                </c:pt>
                <c:pt idx="217">
                  <c:v>-1904.0530067537693</c:v>
                </c:pt>
                <c:pt idx="218">
                  <c:v>-2028.0441708807302</c:v>
                </c:pt>
                <c:pt idx="219">
                  <c:v>-2133.7710968491665</c:v>
                </c:pt>
                <c:pt idx="220">
                  <c:v>-2514.8831886098415</c:v>
                </c:pt>
                <c:pt idx="221">
                  <c:v>-1970.78426555244</c:v>
                </c:pt>
                <c:pt idx="222">
                  <c:v>-2160.9746744355507</c:v>
                </c:pt>
                <c:pt idx="223">
                  <c:v>-2154.6048076176085</c:v>
                </c:pt>
                <c:pt idx="224">
                  <c:v>-1897.154670938944</c:v>
                </c:pt>
                <c:pt idx="225">
                  <c:v>-2226.280720404975</c:v>
                </c:pt>
                <c:pt idx="226">
                  <c:v>-1894.724796805167</c:v>
                </c:pt>
                <c:pt idx="227">
                  <c:v>-2343.4297770218036</c:v>
                </c:pt>
                <c:pt idx="228">
                  <c:v>-1981.4721103945703</c:v>
                </c:pt>
                <c:pt idx="229">
                  <c:v>-2271.3762694366378</c:v>
                </c:pt>
                <c:pt idx="230">
                  <c:v>-2145.7378425960051</c:v>
                </c:pt>
                <c:pt idx="231">
                  <c:v>-1909.6526841884806</c:v>
                </c:pt>
                <c:pt idx="232">
                  <c:v>-1871.8777515072106</c:v>
                </c:pt>
                <c:pt idx="233">
                  <c:v>-2242.3475522903318</c:v>
                </c:pt>
                <c:pt idx="234">
                  <c:v>-1879.0508644543879</c:v>
                </c:pt>
                <c:pt idx="235">
                  <c:v>-2430.201065508285</c:v>
                </c:pt>
                <c:pt idx="236">
                  <c:v>-2044.9165903162539</c:v>
                </c:pt>
                <c:pt idx="237">
                  <c:v>-2077.2164662150681</c:v>
                </c:pt>
                <c:pt idx="238">
                  <c:v>-2262.4802895611283</c:v>
                </c:pt>
                <c:pt idx="239">
                  <c:v>-1963.8422584671353</c:v>
                </c:pt>
                <c:pt idx="240">
                  <c:v>-2444.0243175261203</c:v>
                </c:pt>
                <c:pt idx="241">
                  <c:v>-1994.0977162778254</c:v>
                </c:pt>
                <c:pt idx="242">
                  <c:v>-2522.4783714087389</c:v>
                </c:pt>
                <c:pt idx="243">
                  <c:v>-2061.9936345832757</c:v>
                </c:pt>
                <c:pt idx="244">
                  <c:v>-2016.5853209874113</c:v>
                </c:pt>
                <c:pt idx="245">
                  <c:v>-2075.0748949584413</c:v>
                </c:pt>
                <c:pt idx="246">
                  <c:v>-2327.2171675050085</c:v>
                </c:pt>
                <c:pt idx="247">
                  <c:v>-2194.6819896623419</c:v>
                </c:pt>
                <c:pt idx="248">
                  <c:v>-2025.2390312727075</c:v>
                </c:pt>
                <c:pt idx="249">
                  <c:v>-1867.4557808891986</c:v>
                </c:pt>
                <c:pt idx="250">
                  <c:v>-1694.1367258832543</c:v>
                </c:pt>
                <c:pt idx="251">
                  <c:v>-1817.0627010013595</c:v>
                </c:pt>
                <c:pt idx="252" formatCode="&quot;$&quot;#,##0.00_);\(&quot;$&quot;#,##0.00\)">
                  <c:v>-2686.4895846757936</c:v>
                </c:pt>
                <c:pt idx="253">
                  <c:v>-2290.4325757003899</c:v>
                </c:pt>
                <c:pt idx="254">
                  <c:v>-1662.0563001599658</c:v>
                </c:pt>
                <c:pt idx="255">
                  <c:v>-1811.3728187669331</c:v>
                </c:pt>
                <c:pt idx="256">
                  <c:v>-2249.802443195018</c:v>
                </c:pt>
                <c:pt idx="257">
                  <c:v>-2022.1539859082113</c:v>
                </c:pt>
                <c:pt idx="258">
                  <c:v>-2223.5897685677774</c:v>
                </c:pt>
                <c:pt idx="259">
                  <c:v>-2247.8140739418159</c:v>
                </c:pt>
                <c:pt idx="260">
                  <c:v>-2398.3321803624494</c:v>
                </c:pt>
                <c:pt idx="261">
                  <c:v>-1544.6958666431419</c:v>
                </c:pt>
                <c:pt idx="262">
                  <c:v>-1411.4536949074245</c:v>
                </c:pt>
                <c:pt idx="263">
                  <c:v>-2012.1810317593772</c:v>
                </c:pt>
                <c:pt idx="264">
                  <c:v>-2145.5482880356103</c:v>
                </c:pt>
                <c:pt idx="265">
                  <c:v>-2244.7291762893037</c:v>
                </c:pt>
                <c:pt idx="266">
                  <c:v>-1826.148394226504</c:v>
                </c:pt>
                <c:pt idx="267">
                  <c:v>-2368.2548550847132</c:v>
                </c:pt>
                <c:pt idx="268">
                  <c:v>-1977.7868200524172</c:v>
                </c:pt>
                <c:pt idx="269">
                  <c:v>-1671.932616143793</c:v>
                </c:pt>
                <c:pt idx="270">
                  <c:v>-2066.8811510689411</c:v>
                </c:pt>
                <c:pt idx="271">
                  <c:v>-2108.3722837090536</c:v>
                </c:pt>
                <c:pt idx="272">
                  <c:v>-2153.4918166069692</c:v>
                </c:pt>
                <c:pt idx="273">
                  <c:v>-2293.8213996148334</c:v>
                </c:pt>
                <c:pt idx="274">
                  <c:v>-1765.3513868133668</c:v>
                </c:pt>
                <c:pt idx="275">
                  <c:v>-1867.0541265433567</c:v>
                </c:pt>
                <c:pt idx="276">
                  <c:v>-2037.9843089057758</c:v>
                </c:pt>
                <c:pt idx="277">
                  <c:v>-1925.6504570873731</c:v>
                </c:pt>
                <c:pt idx="278">
                  <c:v>-2444.3485468451217</c:v>
                </c:pt>
                <c:pt idx="279">
                  <c:v>-1719.6572778858826</c:v>
                </c:pt>
                <c:pt idx="280">
                  <c:v>-1823.2829181519955</c:v>
                </c:pt>
                <c:pt idx="281">
                  <c:v>-2392.7102029262169</c:v>
                </c:pt>
                <c:pt idx="282">
                  <c:v>-2277.7227497326458</c:v>
                </c:pt>
                <c:pt idx="283">
                  <c:v>-1868.9606293663383</c:v>
                </c:pt>
                <c:pt idx="284">
                  <c:v>-2101.5787120991881</c:v>
                </c:pt>
                <c:pt idx="285">
                  <c:v>-2253.9471212098142</c:v>
                </c:pt>
                <c:pt idx="286">
                  <c:v>-2585.4857060370268</c:v>
                </c:pt>
                <c:pt idx="287">
                  <c:v>-1662.7916405706092</c:v>
                </c:pt>
                <c:pt idx="288">
                  <c:v>-1996.7605082562877</c:v>
                </c:pt>
                <c:pt idx="289">
                  <c:v>-1850.9237419337551</c:v>
                </c:pt>
                <c:pt idx="290">
                  <c:v>-2093.8145969664911</c:v>
                </c:pt>
                <c:pt idx="291">
                  <c:v>-1960.7611209930619</c:v>
                </c:pt>
                <c:pt idx="292">
                  <c:v>-2350.0757413973188</c:v>
                </c:pt>
                <c:pt idx="293">
                  <c:v>-2589.3989714704221</c:v>
                </c:pt>
                <c:pt idx="294">
                  <c:v>-2120.4623434614005</c:v>
                </c:pt>
                <c:pt idx="295">
                  <c:v>-2626.7523303236521</c:v>
                </c:pt>
                <c:pt idx="296">
                  <c:v>-1868.3725885068998</c:v>
                </c:pt>
                <c:pt idx="297">
                  <c:v>-1792.9166157904874</c:v>
                </c:pt>
                <c:pt idx="298">
                  <c:v>-1544.8401276303157</c:v>
                </c:pt>
                <c:pt idx="299">
                  <c:v>-2304.480475219294</c:v>
                </c:pt>
                <c:pt idx="300">
                  <c:v>-2854.9453810544146</c:v>
                </c:pt>
                <c:pt idx="301">
                  <c:v>-1957.6736260610851</c:v>
                </c:pt>
                <c:pt idx="302">
                  <c:v>-2407.2762765734515</c:v>
                </c:pt>
                <c:pt idx="303">
                  <c:v>-1833.0420287999041</c:v>
                </c:pt>
                <c:pt idx="304">
                  <c:v>-2541.7953439206794</c:v>
                </c:pt>
                <c:pt idx="305">
                  <c:v>-2102.7889209369168</c:v>
                </c:pt>
                <c:pt idx="306">
                  <c:v>-1873.0874035749766</c:v>
                </c:pt>
                <c:pt idx="307">
                  <c:v>-2429.4102710079023</c:v>
                </c:pt>
                <c:pt idx="308">
                  <c:v>-1749.1328941145839</c:v>
                </c:pt>
                <c:pt idx="309">
                  <c:v>-1644.7817850609572</c:v>
                </c:pt>
                <c:pt idx="310">
                  <c:v>-1886.69448964611</c:v>
                </c:pt>
                <c:pt idx="311">
                  <c:v>-2333.4740962931537</c:v>
                </c:pt>
                <c:pt idx="312">
                  <c:v>-2435.1895830575959</c:v>
                </c:pt>
                <c:pt idx="313">
                  <c:v>-2410.921848683287</c:v>
                </c:pt>
                <c:pt idx="314">
                  <c:v>-2275.830902957634</c:v>
                </c:pt>
                <c:pt idx="315">
                  <c:v>-1889.7418923546938</c:v>
                </c:pt>
                <c:pt idx="316">
                  <c:v>-2621.5170844271634</c:v>
                </c:pt>
                <c:pt idx="317">
                  <c:v>-1859.9933746635288</c:v>
                </c:pt>
                <c:pt idx="318">
                  <c:v>-2092.7774062168173</c:v>
                </c:pt>
                <c:pt idx="319">
                  <c:v>-1759.1810187099727</c:v>
                </c:pt>
                <c:pt idx="320">
                  <c:v>-2071.066441360108</c:v>
                </c:pt>
                <c:pt idx="321">
                  <c:v>-2035.1634381982512</c:v>
                </c:pt>
                <c:pt idx="322">
                  <c:v>-1836.8666156891486</c:v>
                </c:pt>
                <c:pt idx="323">
                  <c:v>-2455.5498727268205</c:v>
                </c:pt>
                <c:pt idx="324">
                  <c:v>-2130.6749678416927</c:v>
                </c:pt>
                <c:pt idx="325">
                  <c:v>-1594.0402776320661</c:v>
                </c:pt>
                <c:pt idx="326">
                  <c:v>-2131.8946733525918</c:v>
                </c:pt>
                <c:pt idx="327">
                  <c:v>-2749.5577264121166</c:v>
                </c:pt>
                <c:pt idx="328">
                  <c:v>-1748.8342665306118</c:v>
                </c:pt>
                <c:pt idx="329">
                  <c:v>-2079.5978616709544</c:v>
                </c:pt>
                <c:pt idx="330">
                  <c:v>-1715.0067796823714</c:v>
                </c:pt>
                <c:pt idx="331">
                  <c:v>-1876.2114239692455</c:v>
                </c:pt>
                <c:pt idx="332">
                  <c:v>-2054.7010716861369</c:v>
                </c:pt>
                <c:pt idx="333">
                  <c:v>-2335.7988556909695</c:v>
                </c:pt>
                <c:pt idx="334">
                  <c:v>-2429.0728413072866</c:v>
                </c:pt>
                <c:pt idx="335">
                  <c:v>-2175.2602608890993</c:v>
                </c:pt>
                <c:pt idx="336">
                  <c:v>-2312.8519356718825</c:v>
                </c:pt>
                <c:pt idx="337">
                  <c:v>-1739.7691337907527</c:v>
                </c:pt>
                <c:pt idx="338">
                  <c:v>-2068.8076322709057</c:v>
                </c:pt>
                <c:pt idx="339">
                  <c:v>-1626.8209636674983</c:v>
                </c:pt>
                <c:pt idx="340">
                  <c:v>-1940.6856498270608</c:v>
                </c:pt>
                <c:pt idx="341">
                  <c:v>-1691.0944551150606</c:v>
                </c:pt>
                <c:pt idx="342">
                  <c:v>-2215.6119517788029</c:v>
                </c:pt>
                <c:pt idx="343">
                  <c:v>-1926.8877236248882</c:v>
                </c:pt>
                <c:pt idx="344">
                  <c:v>-2623.1088797703342</c:v>
                </c:pt>
                <c:pt idx="345">
                  <c:v>-2105.1353428496222</c:v>
                </c:pt>
                <c:pt idx="346">
                  <c:v>-2465.5130375838708</c:v>
                </c:pt>
                <c:pt idx="347">
                  <c:v>-3367.4807988504326</c:v>
                </c:pt>
                <c:pt idx="348">
                  <c:v>-2372.4881484033722</c:v>
                </c:pt>
                <c:pt idx="349">
                  <c:v>-2367.560737144493</c:v>
                </c:pt>
                <c:pt idx="350">
                  <c:v>-1909.4870107932365</c:v>
                </c:pt>
                <c:pt idx="351">
                  <c:v>-1633.3463276943694</c:v>
                </c:pt>
                <c:pt idx="352">
                  <c:v>-1776.7548478643475</c:v>
                </c:pt>
                <c:pt idx="353">
                  <c:v>-2222.7734902985831</c:v>
                </c:pt>
                <c:pt idx="354">
                  <c:v>-1596.461275028254</c:v>
                </c:pt>
                <c:pt idx="355">
                  <c:v>-1935.4604222650814</c:v>
                </c:pt>
                <c:pt idx="356">
                  <c:v>-2626.724848756734</c:v>
                </c:pt>
                <c:pt idx="357">
                  <c:v>-1917.5682856132735</c:v>
                </c:pt>
                <c:pt idx="358">
                  <c:v>-1539.6988162486014</c:v>
                </c:pt>
                <c:pt idx="359">
                  <c:v>-2237.3974856784771</c:v>
                </c:pt>
                <c:pt idx="360">
                  <c:v>-2420.3134203732116</c:v>
                </c:pt>
                <c:pt idx="361">
                  <c:v>-2209.8379342816261</c:v>
                </c:pt>
                <c:pt idx="362">
                  <c:v>-2100.617940880471</c:v>
                </c:pt>
                <c:pt idx="363">
                  <c:v>-1665.0370040371454</c:v>
                </c:pt>
                <c:pt idx="364">
                  <c:v>-2371.0630381308365</c:v>
                </c:pt>
                <c:pt idx="365">
                  <c:v>-2322.4971244190892</c:v>
                </c:pt>
                <c:pt idx="366">
                  <c:v>-2645.5884157162436</c:v>
                </c:pt>
                <c:pt idx="367">
                  <c:v>-2254.2922869987888</c:v>
                </c:pt>
                <c:pt idx="368">
                  <c:v>-2214.7639732678654</c:v>
                </c:pt>
                <c:pt idx="369">
                  <c:v>-2829.0046897236389</c:v>
                </c:pt>
                <c:pt idx="370">
                  <c:v>-1587.0074610254305</c:v>
                </c:pt>
                <c:pt idx="371">
                  <c:v>-1795.2792951905249</c:v>
                </c:pt>
                <c:pt idx="372">
                  <c:v>-2436.6534511525097</c:v>
                </c:pt>
                <c:pt idx="373">
                  <c:v>-2202.3682296263942</c:v>
                </c:pt>
                <c:pt idx="374">
                  <c:v>-1944.1811938638893</c:v>
                </c:pt>
                <c:pt idx="375">
                  <c:v>-1759.2095895322418</c:v>
                </c:pt>
                <c:pt idx="376">
                  <c:v>-2127.8333278956197</c:v>
                </c:pt>
                <c:pt idx="377">
                  <c:v>-2036.4890265552531</c:v>
                </c:pt>
                <c:pt idx="378">
                  <c:v>-2148.4404542367556</c:v>
                </c:pt>
                <c:pt idx="379">
                  <c:v>-1980.5872084951625</c:v>
                </c:pt>
                <c:pt idx="380">
                  <c:v>-2195.3523777354931</c:v>
                </c:pt>
                <c:pt idx="381">
                  <c:v>-2193.0178373969611</c:v>
                </c:pt>
                <c:pt idx="382">
                  <c:v>-2503.0533482533065</c:v>
                </c:pt>
                <c:pt idx="383">
                  <c:v>-2161.4882554038377</c:v>
                </c:pt>
                <c:pt idx="384">
                  <c:v>-1618.008385829613</c:v>
                </c:pt>
                <c:pt idx="385">
                  <c:v>-2073.6596663220334</c:v>
                </c:pt>
                <c:pt idx="386">
                  <c:v>-2053.1014741349063</c:v>
                </c:pt>
                <c:pt idx="387">
                  <c:v>-2102.0093348775445</c:v>
                </c:pt>
                <c:pt idx="388">
                  <c:v>-2213.0574826422344</c:v>
                </c:pt>
                <c:pt idx="389">
                  <c:v>-1549.3635308510311</c:v>
                </c:pt>
                <c:pt idx="390">
                  <c:v>-2102.6476084226379</c:v>
                </c:pt>
                <c:pt idx="391">
                  <c:v>-2242.5300173323049</c:v>
                </c:pt>
                <c:pt idx="392">
                  <c:v>-1405.483412709691</c:v>
                </c:pt>
                <c:pt idx="393">
                  <c:v>-1393.4785726636437</c:v>
                </c:pt>
                <c:pt idx="394">
                  <c:v>-2025.5410831706758</c:v>
                </c:pt>
                <c:pt idx="395">
                  <c:v>-2307.7332143873391</c:v>
                </c:pt>
                <c:pt idx="396">
                  <c:v>-2422.5563905110976</c:v>
                </c:pt>
                <c:pt idx="397">
                  <c:v>-2018.9482784304309</c:v>
                </c:pt>
                <c:pt idx="398">
                  <c:v>-1983.9373431135609</c:v>
                </c:pt>
                <c:pt idx="399">
                  <c:v>-2572.0750625517903</c:v>
                </c:pt>
                <c:pt idx="400">
                  <c:v>-2241.9491653340992</c:v>
                </c:pt>
                <c:pt idx="401">
                  <c:v>-2086.0370838554081</c:v>
                </c:pt>
                <c:pt idx="402">
                  <c:v>-1904.1134630795568</c:v>
                </c:pt>
                <c:pt idx="403">
                  <c:v>-1998.3826457782707</c:v>
                </c:pt>
                <c:pt idx="404">
                  <c:v>-2060.8287442136716</c:v>
                </c:pt>
                <c:pt idx="405">
                  <c:v>-1590.2025543973723</c:v>
                </c:pt>
                <c:pt idx="406">
                  <c:v>-1843.6215998312764</c:v>
                </c:pt>
                <c:pt idx="407">
                  <c:v>-2012.2318170884719</c:v>
                </c:pt>
                <c:pt idx="408">
                  <c:v>-1988.8317587299753</c:v>
                </c:pt>
                <c:pt idx="409">
                  <c:v>-2108.2577468660929</c:v>
                </c:pt>
                <c:pt idx="410">
                  <c:v>-2574.3279289118145</c:v>
                </c:pt>
                <c:pt idx="411">
                  <c:v>-2192.576491180509</c:v>
                </c:pt>
                <c:pt idx="412">
                  <c:v>-2472.1676511860132</c:v>
                </c:pt>
                <c:pt idx="413">
                  <c:v>-1973.0990185887822</c:v>
                </c:pt>
                <c:pt idx="414">
                  <c:v>-2277.4019569485135</c:v>
                </c:pt>
                <c:pt idx="415">
                  <c:v>-2134.3151803690998</c:v>
                </c:pt>
                <c:pt idx="416">
                  <c:v>-2129.6897174942642</c:v>
                </c:pt>
                <c:pt idx="417">
                  <c:v>-2015.685368602808</c:v>
                </c:pt>
                <c:pt idx="418">
                  <c:v>-2642.5160402779948</c:v>
                </c:pt>
                <c:pt idx="419">
                  <c:v>-2505.7385051495439</c:v>
                </c:pt>
                <c:pt idx="420">
                  <c:v>-2549.5420669532905</c:v>
                </c:pt>
                <c:pt idx="421">
                  <c:v>-1955.3447173765853</c:v>
                </c:pt>
                <c:pt idx="422">
                  <c:v>-2215.8232195146702</c:v>
                </c:pt>
                <c:pt idx="423">
                  <c:v>-1919.722097107162</c:v>
                </c:pt>
                <c:pt idx="424">
                  <c:v>-2026.5800477873381</c:v>
                </c:pt>
                <c:pt idx="425">
                  <c:v>-2115.7398985543332</c:v>
                </c:pt>
                <c:pt idx="426">
                  <c:v>-1868.7279460485006</c:v>
                </c:pt>
                <c:pt idx="427">
                  <c:v>-2425.1366450818023</c:v>
                </c:pt>
                <c:pt idx="428">
                  <c:v>-1878.3768810224283</c:v>
                </c:pt>
                <c:pt idx="429">
                  <c:v>-2202.5849833767861</c:v>
                </c:pt>
                <c:pt idx="430">
                  <c:v>-2859.1260626837611</c:v>
                </c:pt>
                <c:pt idx="431">
                  <c:v>-1708.3818006633301</c:v>
                </c:pt>
                <c:pt idx="432">
                  <c:v>-1950.6775437124379</c:v>
                </c:pt>
                <c:pt idx="433">
                  <c:v>-2186.3241476450748</c:v>
                </c:pt>
                <c:pt idx="434">
                  <c:v>-2152.680305437847</c:v>
                </c:pt>
                <c:pt idx="435">
                  <c:v>-2403.6911090805406</c:v>
                </c:pt>
                <c:pt idx="436">
                  <c:v>-1897.9600163445357</c:v>
                </c:pt>
                <c:pt idx="437">
                  <c:v>-2025.1546760588935</c:v>
                </c:pt>
                <c:pt idx="438">
                  <c:v>-1920.243836571688</c:v>
                </c:pt>
                <c:pt idx="439">
                  <c:v>-1852.0969342590652</c:v>
                </c:pt>
                <c:pt idx="440">
                  <c:v>-2069.8487565804026</c:v>
                </c:pt>
                <c:pt idx="441">
                  <c:v>-1885.8201430001573</c:v>
                </c:pt>
                <c:pt idx="442">
                  <c:v>-2138.0095956552104</c:v>
                </c:pt>
                <c:pt idx="443">
                  <c:v>-1369.4750741989992</c:v>
                </c:pt>
                <c:pt idx="444">
                  <c:v>-2775.0456841189298</c:v>
                </c:pt>
                <c:pt idx="445">
                  <c:v>-1761.2792497693372</c:v>
                </c:pt>
                <c:pt idx="446">
                  <c:v>-2215.8964001702261</c:v>
                </c:pt>
                <c:pt idx="447">
                  <c:v>-1617.585826739989</c:v>
                </c:pt>
                <c:pt idx="448">
                  <c:v>-2260.5555711716006</c:v>
                </c:pt>
                <c:pt idx="449">
                  <c:v>-2128.2930834786603</c:v>
                </c:pt>
                <c:pt idx="450">
                  <c:v>-2503.1471026179788</c:v>
                </c:pt>
                <c:pt idx="451">
                  <c:v>-1906.0874315417022</c:v>
                </c:pt>
                <c:pt idx="452">
                  <c:v>-2279.7883803493241</c:v>
                </c:pt>
                <c:pt idx="453">
                  <c:v>-2065.7375335426259</c:v>
                </c:pt>
                <c:pt idx="454">
                  <c:v>-2350.4223851398056</c:v>
                </c:pt>
                <c:pt idx="455">
                  <c:v>-2026.828256107874</c:v>
                </c:pt>
                <c:pt idx="456">
                  <c:v>-1994.9928124850085</c:v>
                </c:pt>
                <c:pt idx="457">
                  <c:v>-3038.8036871158401</c:v>
                </c:pt>
                <c:pt idx="458">
                  <c:v>-2098.7228594410881</c:v>
                </c:pt>
                <c:pt idx="459">
                  <c:v>-2214.2385545329635</c:v>
                </c:pt>
                <c:pt idx="460">
                  <c:v>-1641.4366575177737</c:v>
                </c:pt>
                <c:pt idx="461">
                  <c:v>-1860.962123055142</c:v>
                </c:pt>
                <c:pt idx="462">
                  <c:v>-2006.1683445747512</c:v>
                </c:pt>
                <c:pt idx="463">
                  <c:v>-1769.906494740826</c:v>
                </c:pt>
                <c:pt idx="464">
                  <c:v>-1725.8692511176232</c:v>
                </c:pt>
                <c:pt idx="465">
                  <c:v>-2304.2288139618977</c:v>
                </c:pt>
                <c:pt idx="466">
                  <c:v>-2037.0883141502454</c:v>
                </c:pt>
                <c:pt idx="467">
                  <c:v>-2504.4764024407268</c:v>
                </c:pt>
                <c:pt idx="468">
                  <c:v>-2233.3340497749523</c:v>
                </c:pt>
                <c:pt idx="469">
                  <c:v>-1871.4602645894338</c:v>
                </c:pt>
                <c:pt idx="470">
                  <c:v>-2016.9429407494608</c:v>
                </c:pt>
                <c:pt idx="471">
                  <c:v>-1993.92516943601</c:v>
                </c:pt>
                <c:pt idx="472">
                  <c:v>-2114.2431117561719</c:v>
                </c:pt>
                <c:pt idx="473">
                  <c:v>-1934.7287151841301</c:v>
                </c:pt>
                <c:pt idx="474">
                  <c:v>-2060.2322571347904</c:v>
                </c:pt>
                <c:pt idx="475">
                  <c:v>-2086.9536981648635</c:v>
                </c:pt>
                <c:pt idx="476">
                  <c:v>-1472.4927025147845</c:v>
                </c:pt>
                <c:pt idx="477">
                  <c:v>-1813.9613779360407</c:v>
                </c:pt>
                <c:pt idx="478">
                  <c:v>-2236.5461385039671</c:v>
                </c:pt>
                <c:pt idx="479">
                  <c:v>-2044.4568939517012</c:v>
                </c:pt>
                <c:pt idx="480">
                  <c:v>-1906.736347301252</c:v>
                </c:pt>
                <c:pt idx="481">
                  <c:v>-2872.6339945611689</c:v>
                </c:pt>
                <c:pt idx="482">
                  <c:v>-2438.3891329462786</c:v>
                </c:pt>
                <c:pt idx="483">
                  <c:v>-1705.0378701430964</c:v>
                </c:pt>
                <c:pt idx="484">
                  <c:v>-2166.4329344441539</c:v>
                </c:pt>
                <c:pt idx="485">
                  <c:v>-2011.7639102349094</c:v>
                </c:pt>
                <c:pt idx="486">
                  <c:v>-2157.5759147004501</c:v>
                </c:pt>
                <c:pt idx="487">
                  <c:v>-2264.3089473116779</c:v>
                </c:pt>
                <c:pt idx="488">
                  <c:v>-1863.3356271908342</c:v>
                </c:pt>
                <c:pt idx="489">
                  <c:v>-2389.5284519201559</c:v>
                </c:pt>
                <c:pt idx="490">
                  <c:v>-1777.1408252680303</c:v>
                </c:pt>
                <c:pt idx="491">
                  <c:v>-2023.9850412180167</c:v>
                </c:pt>
                <c:pt idx="492">
                  <c:v>-1634.2115800902066</c:v>
                </c:pt>
                <c:pt idx="493">
                  <c:v>-2642.0748064676882</c:v>
                </c:pt>
                <c:pt idx="494">
                  <c:v>-2404.9658516082563</c:v>
                </c:pt>
                <c:pt idx="495">
                  <c:v>-2196.3173727762987</c:v>
                </c:pt>
                <c:pt idx="496">
                  <c:v>-2024.4004333030753</c:v>
                </c:pt>
                <c:pt idx="497">
                  <c:v>-1898.3150212224209</c:v>
                </c:pt>
                <c:pt idx="498">
                  <c:v>-2296.3797720480652</c:v>
                </c:pt>
                <c:pt idx="499">
                  <c:v>-1660.9862057820137</c:v>
                </c:pt>
                <c:pt idx="500">
                  <c:v>-1841.4800542735902</c:v>
                </c:pt>
                <c:pt idx="501">
                  <c:v>-1948.1872469215705</c:v>
                </c:pt>
                <c:pt idx="502" formatCode="&quot;$&quot;#,##0.00_);\(&quot;$&quot;#,##0.00\)">
                  <c:v>-2167.2794073329715</c:v>
                </c:pt>
                <c:pt idx="503">
                  <c:v>-1949.6599694475299</c:v>
                </c:pt>
                <c:pt idx="504">
                  <c:v>-2320.4692070652236</c:v>
                </c:pt>
                <c:pt idx="505">
                  <c:v>-2177.2921103889275</c:v>
                </c:pt>
                <c:pt idx="506">
                  <c:v>-2536.0301669301844</c:v>
                </c:pt>
                <c:pt idx="507">
                  <c:v>-2307.6327810654984</c:v>
                </c:pt>
                <c:pt idx="508">
                  <c:v>-1946.1913070352384</c:v>
                </c:pt>
                <c:pt idx="509">
                  <c:v>-1970.6015188292185</c:v>
                </c:pt>
                <c:pt idx="510">
                  <c:v>-2529.6396295204795</c:v>
                </c:pt>
                <c:pt idx="511">
                  <c:v>-2066.935605233979</c:v>
                </c:pt>
                <c:pt idx="512">
                  <c:v>-2633.9461648910074</c:v>
                </c:pt>
                <c:pt idx="513">
                  <c:v>-2098.5615806371716</c:v>
                </c:pt>
                <c:pt idx="514">
                  <c:v>-2169.4731168469079</c:v>
                </c:pt>
                <c:pt idx="515">
                  <c:v>-2088.0636017367542</c:v>
                </c:pt>
                <c:pt idx="516">
                  <c:v>-2202.4225120127448</c:v>
                </c:pt>
                <c:pt idx="517">
                  <c:v>-2702.8385559553099</c:v>
                </c:pt>
                <c:pt idx="518">
                  <c:v>-1849.012948288273</c:v>
                </c:pt>
                <c:pt idx="519">
                  <c:v>-1757.3034728917228</c:v>
                </c:pt>
                <c:pt idx="520">
                  <c:v>-2063.3997238625852</c:v>
                </c:pt>
                <c:pt idx="521">
                  <c:v>-2081.1255586890729</c:v>
                </c:pt>
                <c:pt idx="522">
                  <c:v>-2109.7843387420289</c:v>
                </c:pt>
                <c:pt idx="523">
                  <c:v>-1873.8784436131755</c:v>
                </c:pt>
                <c:pt idx="524">
                  <c:v>-2176.8696938283683</c:v>
                </c:pt>
                <c:pt idx="525">
                  <c:v>-1892.3811449086279</c:v>
                </c:pt>
                <c:pt idx="526">
                  <c:v>-1766.6882225415902</c:v>
                </c:pt>
                <c:pt idx="527">
                  <c:v>-1852.4123075487223</c:v>
                </c:pt>
                <c:pt idx="528">
                  <c:v>-2278.483425552382</c:v>
                </c:pt>
                <c:pt idx="529">
                  <c:v>-1802.8182183108802</c:v>
                </c:pt>
                <c:pt idx="530">
                  <c:v>-2491.4620949814889</c:v>
                </c:pt>
                <c:pt idx="531">
                  <c:v>-2218.0082495060597</c:v>
                </c:pt>
                <c:pt idx="532">
                  <c:v>-2197.58875380276</c:v>
                </c:pt>
                <c:pt idx="533">
                  <c:v>-2117.2239327965726</c:v>
                </c:pt>
                <c:pt idx="534">
                  <c:v>-1845.9998474403255</c:v>
                </c:pt>
                <c:pt idx="535">
                  <c:v>-2016.3817244728343</c:v>
                </c:pt>
                <c:pt idx="536">
                  <c:v>-2230.421045914376</c:v>
                </c:pt>
                <c:pt idx="537">
                  <c:v>-2549.6651362043885</c:v>
                </c:pt>
                <c:pt idx="538">
                  <c:v>-2430.8740758683125</c:v>
                </c:pt>
                <c:pt idx="539">
                  <c:v>-1806.9357558883821</c:v>
                </c:pt>
                <c:pt idx="540">
                  <c:v>-2006.6773388439578</c:v>
                </c:pt>
                <c:pt idx="541">
                  <c:v>-1689.255911643213</c:v>
                </c:pt>
                <c:pt idx="542">
                  <c:v>-2165.413372721523</c:v>
                </c:pt>
                <c:pt idx="543">
                  <c:v>-2153.6946993713245</c:v>
                </c:pt>
                <c:pt idx="544">
                  <c:v>-2205.453343874633</c:v>
                </c:pt>
                <c:pt idx="545">
                  <c:v>-1660.4102587747875</c:v>
                </c:pt>
                <c:pt idx="546">
                  <c:v>-2516.4994295508513</c:v>
                </c:pt>
                <c:pt idx="547">
                  <c:v>-1865.0410329984916</c:v>
                </c:pt>
                <c:pt idx="548">
                  <c:v>-2127.2179357428031</c:v>
                </c:pt>
                <c:pt idx="549">
                  <c:v>-2111.2922796405364</c:v>
                </c:pt>
                <c:pt idx="550">
                  <c:v>-2138.0312478140804</c:v>
                </c:pt>
                <c:pt idx="551">
                  <c:v>-2335.1142965473337</c:v>
                </c:pt>
                <c:pt idx="552">
                  <c:v>-2273.8641952973849</c:v>
                </c:pt>
                <c:pt idx="553">
                  <c:v>-1861.8741439821424</c:v>
                </c:pt>
                <c:pt idx="554">
                  <c:v>-2186.325605825572</c:v>
                </c:pt>
                <c:pt idx="555">
                  <c:v>-1758.9352670972512</c:v>
                </c:pt>
                <c:pt idx="556">
                  <c:v>-2405.0781052542588</c:v>
                </c:pt>
                <c:pt idx="557">
                  <c:v>-1929.1808054188441</c:v>
                </c:pt>
                <c:pt idx="558">
                  <c:v>-2286.8997770373935</c:v>
                </c:pt>
                <c:pt idx="559">
                  <c:v>-1960.3147463857531</c:v>
                </c:pt>
                <c:pt idx="560">
                  <c:v>-1923.538377944853</c:v>
                </c:pt>
                <c:pt idx="561">
                  <c:v>-2209.1280645678198</c:v>
                </c:pt>
                <c:pt idx="562">
                  <c:v>-2347.0288322144916</c:v>
                </c:pt>
                <c:pt idx="563">
                  <c:v>-2177.8826528836762</c:v>
                </c:pt>
                <c:pt idx="564">
                  <c:v>-1712.6454783148583</c:v>
                </c:pt>
                <c:pt idx="565">
                  <c:v>-2266.6763888529349</c:v>
                </c:pt>
                <c:pt idx="566">
                  <c:v>-2273.0649495784637</c:v>
                </c:pt>
                <c:pt idx="567">
                  <c:v>-3090.5807922699969</c:v>
                </c:pt>
                <c:pt idx="568">
                  <c:v>-1916.5344569841363</c:v>
                </c:pt>
                <c:pt idx="569">
                  <c:v>-2681.3219693202263</c:v>
                </c:pt>
                <c:pt idx="570">
                  <c:v>-2239.7991078847735</c:v>
                </c:pt>
                <c:pt idx="571">
                  <c:v>-2067.60337744969</c:v>
                </c:pt>
                <c:pt idx="572">
                  <c:v>-1620.1890534009508</c:v>
                </c:pt>
                <c:pt idx="573">
                  <c:v>-1639.6879027267205</c:v>
                </c:pt>
                <c:pt idx="574">
                  <c:v>-1876.3650737342105</c:v>
                </c:pt>
                <c:pt idx="575">
                  <c:v>-2830.9436470534274</c:v>
                </c:pt>
                <c:pt idx="576">
                  <c:v>-2830.8901040580022</c:v>
                </c:pt>
                <c:pt idx="577">
                  <c:v>-1954.1301071671878</c:v>
                </c:pt>
                <c:pt idx="578">
                  <c:v>-2237.9575528399146</c:v>
                </c:pt>
                <c:pt idx="579">
                  <c:v>-2755.0216984075087</c:v>
                </c:pt>
                <c:pt idx="580">
                  <c:v>-2747.2205881541449</c:v>
                </c:pt>
                <c:pt idx="581">
                  <c:v>-2103.3542892984697</c:v>
                </c:pt>
                <c:pt idx="582">
                  <c:v>-1923.8426908365582</c:v>
                </c:pt>
                <c:pt idx="583">
                  <c:v>-1942.4683142062859</c:v>
                </c:pt>
                <c:pt idx="584">
                  <c:v>-2316.4534663691811</c:v>
                </c:pt>
                <c:pt idx="585">
                  <c:v>-2028.0533938979424</c:v>
                </c:pt>
                <c:pt idx="586">
                  <c:v>-2454.8831538431477</c:v>
                </c:pt>
                <c:pt idx="587">
                  <c:v>-2117.22360731757</c:v>
                </c:pt>
                <c:pt idx="588">
                  <c:v>-2014.5340160231935</c:v>
                </c:pt>
                <c:pt idx="589">
                  <c:v>-2284.2216635165969</c:v>
                </c:pt>
                <c:pt idx="590">
                  <c:v>-2007.3105430435498</c:v>
                </c:pt>
                <c:pt idx="591">
                  <c:v>-2046.8557629297829</c:v>
                </c:pt>
                <c:pt idx="592">
                  <c:v>-1891.6437446422278</c:v>
                </c:pt>
                <c:pt idx="593">
                  <c:v>-1826.3096263803272</c:v>
                </c:pt>
                <c:pt idx="594">
                  <c:v>-1708.1702780295309</c:v>
                </c:pt>
                <c:pt idx="595">
                  <c:v>-2357.1745589528073</c:v>
                </c:pt>
                <c:pt idx="596">
                  <c:v>-1633.4917058232495</c:v>
                </c:pt>
                <c:pt idx="597">
                  <c:v>-1819.1521020366999</c:v>
                </c:pt>
                <c:pt idx="598">
                  <c:v>-1702.115336071096</c:v>
                </c:pt>
                <c:pt idx="599">
                  <c:v>-1716.1833974062683</c:v>
                </c:pt>
                <c:pt idx="600">
                  <c:v>-2482.2514654688202</c:v>
                </c:pt>
                <c:pt idx="601">
                  <c:v>-1940.398363022141</c:v>
                </c:pt>
                <c:pt idx="602">
                  <c:v>-2216.1455224578895</c:v>
                </c:pt>
                <c:pt idx="603">
                  <c:v>-2028.4898001994734</c:v>
                </c:pt>
                <c:pt idx="604">
                  <c:v>-2003.0363734566781</c:v>
                </c:pt>
                <c:pt idx="605">
                  <c:v>-2339.6816002602282</c:v>
                </c:pt>
                <c:pt idx="606">
                  <c:v>-2347.3947453618966</c:v>
                </c:pt>
                <c:pt idx="607">
                  <c:v>-2105.7519184657576</c:v>
                </c:pt>
                <c:pt idx="608">
                  <c:v>-1728.5149877914264</c:v>
                </c:pt>
                <c:pt idx="609">
                  <c:v>-1754.9276946803657</c:v>
                </c:pt>
                <c:pt idx="610">
                  <c:v>-2057.1482852562985</c:v>
                </c:pt>
                <c:pt idx="611">
                  <c:v>-2192.7697624462999</c:v>
                </c:pt>
                <c:pt idx="612">
                  <c:v>-1777.7898297346801</c:v>
                </c:pt>
                <c:pt idx="613">
                  <c:v>-1587.0281654880819</c:v>
                </c:pt>
                <c:pt idx="614">
                  <c:v>-1884.8415693608695</c:v>
                </c:pt>
                <c:pt idx="615">
                  <c:v>-1845.257519396233</c:v>
                </c:pt>
                <c:pt idx="616">
                  <c:v>-2246.5050198282552</c:v>
                </c:pt>
                <c:pt idx="617">
                  <c:v>-2140.0212524094241</c:v>
                </c:pt>
                <c:pt idx="618">
                  <c:v>-2358.617323600185</c:v>
                </c:pt>
                <c:pt idx="619">
                  <c:v>-2746.0015962286197</c:v>
                </c:pt>
                <c:pt idx="620">
                  <c:v>-2157.8168424596734</c:v>
                </c:pt>
                <c:pt idx="621">
                  <c:v>-2082.0319292576314</c:v>
                </c:pt>
                <c:pt idx="622">
                  <c:v>-2619.0593212278254</c:v>
                </c:pt>
                <c:pt idx="623">
                  <c:v>-2090.1374782182138</c:v>
                </c:pt>
                <c:pt idx="624">
                  <c:v>-2191.5627456569346</c:v>
                </c:pt>
                <c:pt idx="625">
                  <c:v>-1988.568366885127</c:v>
                </c:pt>
                <c:pt idx="626">
                  <c:v>-1319.360417310214</c:v>
                </c:pt>
                <c:pt idx="627">
                  <c:v>-2024.45598780207</c:v>
                </c:pt>
                <c:pt idx="628">
                  <c:v>-2056.201768538238</c:v>
                </c:pt>
                <c:pt idx="629">
                  <c:v>-2173.9194371046688</c:v>
                </c:pt>
                <c:pt idx="630">
                  <c:v>-1914.9320005510017</c:v>
                </c:pt>
                <c:pt idx="631">
                  <c:v>-1820.2601262607495</c:v>
                </c:pt>
                <c:pt idx="632">
                  <c:v>-2667.8194361420174</c:v>
                </c:pt>
                <c:pt idx="633">
                  <c:v>-2239.5526005056308</c:v>
                </c:pt>
                <c:pt idx="634">
                  <c:v>-2193.8130890516295</c:v>
                </c:pt>
                <c:pt idx="635">
                  <c:v>-2052.6644783344163</c:v>
                </c:pt>
                <c:pt idx="636">
                  <c:v>-2210.5056496725847</c:v>
                </c:pt>
                <c:pt idx="637">
                  <c:v>-2105.2147058479277</c:v>
                </c:pt>
                <c:pt idx="638">
                  <c:v>-1822.2714044237036</c:v>
                </c:pt>
                <c:pt idx="639">
                  <c:v>-2638.6020720921442</c:v>
                </c:pt>
                <c:pt idx="640">
                  <c:v>-1725.0451791665182</c:v>
                </c:pt>
                <c:pt idx="641">
                  <c:v>-1495.7345396294404</c:v>
                </c:pt>
                <c:pt idx="642">
                  <c:v>-1901.6350019067286</c:v>
                </c:pt>
                <c:pt idx="643">
                  <c:v>-1727.0697588273215</c:v>
                </c:pt>
                <c:pt idx="644">
                  <c:v>-2101.6542650106385</c:v>
                </c:pt>
                <c:pt idx="645">
                  <c:v>-1932.32107221349</c:v>
                </c:pt>
                <c:pt idx="646">
                  <c:v>-2076.7841302502165</c:v>
                </c:pt>
                <c:pt idx="647">
                  <c:v>-2241.7844535901968</c:v>
                </c:pt>
                <c:pt idx="648">
                  <c:v>-1650.1609378494395</c:v>
                </c:pt>
                <c:pt idx="649">
                  <c:v>-2440.9141989092241</c:v>
                </c:pt>
                <c:pt idx="650">
                  <c:v>-1828.3183555204887</c:v>
                </c:pt>
                <c:pt idx="651">
                  <c:v>-2233.4614345769078</c:v>
                </c:pt>
                <c:pt idx="652">
                  <c:v>-1564.830914924114</c:v>
                </c:pt>
                <c:pt idx="653">
                  <c:v>-1703.9063702411731</c:v>
                </c:pt>
                <c:pt idx="654">
                  <c:v>-1915.9666154793158</c:v>
                </c:pt>
                <c:pt idx="655">
                  <c:v>-2322.6645437121988</c:v>
                </c:pt>
                <c:pt idx="656">
                  <c:v>-2443.8798605958509</c:v>
                </c:pt>
                <c:pt idx="657">
                  <c:v>-1783.449165023274</c:v>
                </c:pt>
                <c:pt idx="658">
                  <c:v>-1859.5417446507236</c:v>
                </c:pt>
                <c:pt idx="659">
                  <c:v>-1650.0878636369889</c:v>
                </c:pt>
                <c:pt idx="660">
                  <c:v>-2345.26725590965</c:v>
                </c:pt>
                <c:pt idx="661">
                  <c:v>-2006.4921354106264</c:v>
                </c:pt>
                <c:pt idx="662">
                  <c:v>-1865.8596147279932</c:v>
                </c:pt>
                <c:pt idx="663">
                  <c:v>-2267.2874001314194</c:v>
                </c:pt>
                <c:pt idx="664">
                  <c:v>-1515.129187391045</c:v>
                </c:pt>
                <c:pt idx="665">
                  <c:v>-1934.1927940782443</c:v>
                </c:pt>
                <c:pt idx="666">
                  <c:v>-1671.8856088490647</c:v>
                </c:pt>
                <c:pt idx="667">
                  <c:v>-2040.912392713486</c:v>
                </c:pt>
                <c:pt idx="668">
                  <c:v>-2364.2325157612177</c:v>
                </c:pt>
                <c:pt idx="669">
                  <c:v>-1708.5936115041259</c:v>
                </c:pt>
                <c:pt idx="670">
                  <c:v>-2306.4639446225083</c:v>
                </c:pt>
                <c:pt idx="671">
                  <c:v>-2260.11008791731</c:v>
                </c:pt>
                <c:pt idx="672">
                  <c:v>-2442.661356610959</c:v>
                </c:pt>
                <c:pt idx="673">
                  <c:v>-2157.3735268316595</c:v>
                </c:pt>
                <c:pt idx="674">
                  <c:v>-1928.7137688105468</c:v>
                </c:pt>
                <c:pt idx="675">
                  <c:v>-1738.0858467690232</c:v>
                </c:pt>
                <c:pt idx="676">
                  <c:v>-1950.6953269547485</c:v>
                </c:pt>
                <c:pt idx="677">
                  <c:v>-2142.452017706597</c:v>
                </c:pt>
                <c:pt idx="678">
                  <c:v>-1897.5340453763456</c:v>
                </c:pt>
                <c:pt idx="679">
                  <c:v>-1989.3226153020696</c:v>
                </c:pt>
                <c:pt idx="680">
                  <c:v>-1605.8008653371544</c:v>
                </c:pt>
                <c:pt idx="681">
                  <c:v>-1981.4646933379918</c:v>
                </c:pt>
                <c:pt idx="682">
                  <c:v>-1869.0948869457607</c:v>
                </c:pt>
                <c:pt idx="683">
                  <c:v>-1969.38958894198</c:v>
                </c:pt>
                <c:pt idx="684">
                  <c:v>-1726.0896510935054</c:v>
                </c:pt>
                <c:pt idx="685">
                  <c:v>-2181.501676527907</c:v>
                </c:pt>
                <c:pt idx="686">
                  <c:v>-1959.1220700046288</c:v>
                </c:pt>
                <c:pt idx="687">
                  <c:v>-1837.3224841310075</c:v>
                </c:pt>
                <c:pt idx="688">
                  <c:v>-2192.5535156471014</c:v>
                </c:pt>
                <c:pt idx="689">
                  <c:v>-1827.2437969432067</c:v>
                </c:pt>
                <c:pt idx="690">
                  <c:v>-2157.0526260207189</c:v>
                </c:pt>
                <c:pt idx="691">
                  <c:v>-2462.8607874815607</c:v>
                </c:pt>
                <c:pt idx="692">
                  <c:v>-2084.9417311907091</c:v>
                </c:pt>
                <c:pt idx="693">
                  <c:v>-1897.4861708246826</c:v>
                </c:pt>
                <c:pt idx="694">
                  <c:v>-2060.6047582360916</c:v>
                </c:pt>
                <c:pt idx="695">
                  <c:v>-1952.7678201685776</c:v>
                </c:pt>
                <c:pt idx="696">
                  <c:v>-2083.5186656898877</c:v>
                </c:pt>
                <c:pt idx="697">
                  <c:v>-2443.689831818152</c:v>
                </c:pt>
                <c:pt idx="698">
                  <c:v>-2547.5342413335748</c:v>
                </c:pt>
                <c:pt idx="699">
                  <c:v>-2124.1160535597228</c:v>
                </c:pt>
                <c:pt idx="700">
                  <c:v>-1779.6682576584353</c:v>
                </c:pt>
                <c:pt idx="701">
                  <c:v>-2665.087446279751</c:v>
                </c:pt>
                <c:pt idx="702">
                  <c:v>-1970.6184958648118</c:v>
                </c:pt>
                <c:pt idx="703">
                  <c:v>-2100.0131589484517</c:v>
                </c:pt>
                <c:pt idx="704">
                  <c:v>-1911.4861503369939</c:v>
                </c:pt>
                <c:pt idx="705">
                  <c:v>-2252.8147336558904</c:v>
                </c:pt>
                <c:pt idx="706">
                  <c:v>-1603.033511697322</c:v>
                </c:pt>
                <c:pt idx="707">
                  <c:v>-1968.1371840163083</c:v>
                </c:pt>
                <c:pt idx="708">
                  <c:v>-2474.4278750508311</c:v>
                </c:pt>
                <c:pt idx="709">
                  <c:v>-2081.3155942228914</c:v>
                </c:pt>
                <c:pt idx="710">
                  <c:v>-2119.9759143243027</c:v>
                </c:pt>
                <c:pt idx="711">
                  <c:v>-1580.7580429237569</c:v>
                </c:pt>
                <c:pt idx="712">
                  <c:v>-2377.0410212097195</c:v>
                </c:pt>
                <c:pt idx="713">
                  <c:v>-2146.4322674084069</c:v>
                </c:pt>
                <c:pt idx="714">
                  <c:v>-1916.4802075366097</c:v>
                </c:pt>
                <c:pt idx="715">
                  <c:v>-2244.900314032202</c:v>
                </c:pt>
                <c:pt idx="716">
                  <c:v>-2349.1948886408427</c:v>
                </c:pt>
                <c:pt idx="717">
                  <c:v>-2049.708121388634</c:v>
                </c:pt>
                <c:pt idx="718">
                  <c:v>-2371.8485594608937</c:v>
                </c:pt>
                <c:pt idx="719">
                  <c:v>-2058.7056778361875</c:v>
                </c:pt>
                <c:pt idx="720">
                  <c:v>-1989.7543215413789</c:v>
                </c:pt>
                <c:pt idx="721">
                  <c:v>-2452.7652184370963</c:v>
                </c:pt>
                <c:pt idx="722">
                  <c:v>-1611.9838699183456</c:v>
                </c:pt>
                <c:pt idx="723">
                  <c:v>-2176.8033511163885</c:v>
                </c:pt>
                <c:pt idx="724">
                  <c:v>-2317.8654107220609</c:v>
                </c:pt>
                <c:pt idx="725">
                  <c:v>-1693.9890212119863</c:v>
                </c:pt>
                <c:pt idx="726">
                  <c:v>-1818.5094322022487</c:v>
                </c:pt>
                <c:pt idx="727">
                  <c:v>-1916.0417865163217</c:v>
                </c:pt>
                <c:pt idx="728">
                  <c:v>-1874.4093886104929</c:v>
                </c:pt>
                <c:pt idx="729">
                  <c:v>-2200.7440280808514</c:v>
                </c:pt>
                <c:pt idx="730">
                  <c:v>-1918.4115169841862</c:v>
                </c:pt>
                <c:pt idx="731">
                  <c:v>-2030.4610960299178</c:v>
                </c:pt>
                <c:pt idx="732">
                  <c:v>-2104.3132505489521</c:v>
                </c:pt>
                <c:pt idx="733">
                  <c:v>-1858.4315896105909</c:v>
                </c:pt>
                <c:pt idx="734">
                  <c:v>-2174.5504216973168</c:v>
                </c:pt>
                <c:pt idx="735">
                  <c:v>-2176.7699223026939</c:v>
                </c:pt>
                <c:pt idx="736">
                  <c:v>-2111.5312056728872</c:v>
                </c:pt>
                <c:pt idx="737">
                  <c:v>-2743.3522656838613</c:v>
                </c:pt>
                <c:pt idx="738">
                  <c:v>-2038.5029596249624</c:v>
                </c:pt>
                <c:pt idx="739">
                  <c:v>-2141.3461960708664</c:v>
                </c:pt>
                <c:pt idx="740">
                  <c:v>-1789.25756125103</c:v>
                </c:pt>
                <c:pt idx="741">
                  <c:v>-2759.9031495036543</c:v>
                </c:pt>
                <c:pt idx="742">
                  <c:v>-1688.6465186955102</c:v>
                </c:pt>
                <c:pt idx="743">
                  <c:v>-2868.9883517942908</c:v>
                </c:pt>
                <c:pt idx="744">
                  <c:v>-2108.4790344162102</c:v>
                </c:pt>
                <c:pt idx="745">
                  <c:v>-2127.3384168950288</c:v>
                </c:pt>
                <c:pt idx="746">
                  <c:v>-2013.4643522904444</c:v>
                </c:pt>
                <c:pt idx="747">
                  <c:v>-2216.120902991177</c:v>
                </c:pt>
                <c:pt idx="748">
                  <c:v>-1698.7571817043645</c:v>
                </c:pt>
                <c:pt idx="749">
                  <c:v>-2095.500363817544</c:v>
                </c:pt>
                <c:pt idx="750">
                  <c:v>-1883.2287927431535</c:v>
                </c:pt>
                <c:pt idx="751">
                  <c:v>-1937.939808209594</c:v>
                </c:pt>
                <c:pt idx="752">
                  <c:v>-2301.9272041760632</c:v>
                </c:pt>
                <c:pt idx="753">
                  <c:v>-2250.3815547804152</c:v>
                </c:pt>
                <c:pt idx="754">
                  <c:v>-2368.1404479774719</c:v>
                </c:pt>
                <c:pt idx="755">
                  <c:v>-1954.2875881899708</c:v>
                </c:pt>
                <c:pt idx="756">
                  <c:v>-1828.6044309128265</c:v>
                </c:pt>
                <c:pt idx="757">
                  <c:v>-2292.2320294266829</c:v>
                </c:pt>
                <c:pt idx="758">
                  <c:v>-2051.6307950222472</c:v>
                </c:pt>
                <c:pt idx="759">
                  <c:v>-2208.4287921667783</c:v>
                </c:pt>
                <c:pt idx="760">
                  <c:v>-1627.8429683462637</c:v>
                </c:pt>
                <c:pt idx="761">
                  <c:v>-1785.5631021179724</c:v>
                </c:pt>
                <c:pt idx="762">
                  <c:v>-1964.7370054505845</c:v>
                </c:pt>
                <c:pt idx="763">
                  <c:v>-1999.9248092761918</c:v>
                </c:pt>
                <c:pt idx="764">
                  <c:v>-2507.7426703701713</c:v>
                </c:pt>
                <c:pt idx="765">
                  <c:v>-1753.8544709849775</c:v>
                </c:pt>
                <c:pt idx="766">
                  <c:v>-2217.5737536214292</c:v>
                </c:pt>
                <c:pt idx="767">
                  <c:v>-2217.3909444609162</c:v>
                </c:pt>
                <c:pt idx="768">
                  <c:v>-1953.2109160621549</c:v>
                </c:pt>
                <c:pt idx="769">
                  <c:v>-2056.1149496364087</c:v>
                </c:pt>
                <c:pt idx="770">
                  <c:v>-2491.2535040180737</c:v>
                </c:pt>
                <c:pt idx="771">
                  <c:v>-2461.1208566454297</c:v>
                </c:pt>
                <c:pt idx="772">
                  <c:v>-1860.7246802328591</c:v>
                </c:pt>
                <c:pt idx="773">
                  <c:v>-1609.7662310714659</c:v>
                </c:pt>
                <c:pt idx="774">
                  <c:v>-2388.5171299513313</c:v>
                </c:pt>
                <c:pt idx="775">
                  <c:v>-2269.7788775798945</c:v>
                </c:pt>
                <c:pt idx="776">
                  <c:v>-1852.5261754972926</c:v>
                </c:pt>
                <c:pt idx="777">
                  <c:v>-1976.7957535316818</c:v>
                </c:pt>
                <c:pt idx="778">
                  <c:v>-2486.6323643568176</c:v>
                </c:pt>
                <c:pt idx="779">
                  <c:v>-1656.7365146374759</c:v>
                </c:pt>
                <c:pt idx="780">
                  <c:v>-1823.8868375634593</c:v>
                </c:pt>
                <c:pt idx="781">
                  <c:v>-2202.0114454439827</c:v>
                </c:pt>
                <c:pt idx="782">
                  <c:v>-2188.779954974947</c:v>
                </c:pt>
                <c:pt idx="783">
                  <c:v>-2351.6110463643454</c:v>
                </c:pt>
                <c:pt idx="784">
                  <c:v>-1968.8213129168143</c:v>
                </c:pt>
                <c:pt idx="785">
                  <c:v>-1938.1314507582647</c:v>
                </c:pt>
                <c:pt idx="786">
                  <c:v>-1577.0861871242523</c:v>
                </c:pt>
                <c:pt idx="787">
                  <c:v>-2218.0640537128311</c:v>
                </c:pt>
                <c:pt idx="788">
                  <c:v>-2155.334089242664</c:v>
                </c:pt>
                <c:pt idx="789">
                  <c:v>-2061.136909529876</c:v>
                </c:pt>
                <c:pt idx="790">
                  <c:v>-1950.5428341849693</c:v>
                </c:pt>
                <c:pt idx="791">
                  <c:v>-1904.5090203865911</c:v>
                </c:pt>
                <c:pt idx="792">
                  <c:v>-2446.2350109467043</c:v>
                </c:pt>
                <c:pt idx="793">
                  <c:v>-1979.2471408826386</c:v>
                </c:pt>
                <c:pt idx="794">
                  <c:v>-1573.6972216520553</c:v>
                </c:pt>
                <c:pt idx="795">
                  <c:v>-2353.2932471636886</c:v>
                </c:pt>
                <c:pt idx="796">
                  <c:v>-1745.5019726250357</c:v>
                </c:pt>
                <c:pt idx="797">
                  <c:v>-1767.4454361684802</c:v>
                </c:pt>
                <c:pt idx="798">
                  <c:v>-2225.3717560028454</c:v>
                </c:pt>
                <c:pt idx="799">
                  <c:v>-1915.0385211997891</c:v>
                </c:pt>
                <c:pt idx="800">
                  <c:v>-2341.9370530649685</c:v>
                </c:pt>
                <c:pt idx="801">
                  <c:v>-2047.2426778206682</c:v>
                </c:pt>
                <c:pt idx="802">
                  <c:v>-2215.7249602137963</c:v>
                </c:pt>
                <c:pt idx="803">
                  <c:v>-2232.6944239322147</c:v>
                </c:pt>
                <c:pt idx="804">
                  <c:v>-2267.4749957021413</c:v>
                </c:pt>
                <c:pt idx="805">
                  <c:v>-1731.0835555443773</c:v>
                </c:pt>
                <c:pt idx="806">
                  <c:v>-2602.8208926461521</c:v>
                </c:pt>
                <c:pt idx="807">
                  <c:v>-2123.7263210848178</c:v>
                </c:pt>
                <c:pt idx="808">
                  <c:v>-2124.8728408884745</c:v>
                </c:pt>
                <c:pt idx="809">
                  <c:v>-2333.5826912475932</c:v>
                </c:pt>
                <c:pt idx="810">
                  <c:v>-2063.4172307266053</c:v>
                </c:pt>
                <c:pt idx="811">
                  <c:v>-1945.9052330556042</c:v>
                </c:pt>
                <c:pt idx="812">
                  <c:v>-1944.8987435632735</c:v>
                </c:pt>
                <c:pt idx="813">
                  <c:v>-1806.9334734703007</c:v>
                </c:pt>
                <c:pt idx="814">
                  <c:v>-1822.9005283081751</c:v>
                </c:pt>
                <c:pt idx="815">
                  <c:v>-2390.5681005629958</c:v>
                </c:pt>
                <c:pt idx="816">
                  <c:v>-2190.018942314724</c:v>
                </c:pt>
                <c:pt idx="817">
                  <c:v>-1861.2773412375536</c:v>
                </c:pt>
                <c:pt idx="818">
                  <c:v>-2322.3315120551561</c:v>
                </c:pt>
                <c:pt idx="819">
                  <c:v>-2180.6370208670269</c:v>
                </c:pt>
                <c:pt idx="820">
                  <c:v>-2117.0269330521551</c:v>
                </c:pt>
                <c:pt idx="821">
                  <c:v>-1922.6275947087779</c:v>
                </c:pt>
                <c:pt idx="822">
                  <c:v>-1921.107930056809</c:v>
                </c:pt>
                <c:pt idx="823">
                  <c:v>-1963.704233121327</c:v>
                </c:pt>
                <c:pt idx="824">
                  <c:v>-2443.2917785775935</c:v>
                </c:pt>
                <c:pt idx="825">
                  <c:v>-1805.838630473314</c:v>
                </c:pt>
                <c:pt idx="826">
                  <c:v>-1905.7112592632693</c:v>
                </c:pt>
                <c:pt idx="827">
                  <c:v>-2285.4820773261417</c:v>
                </c:pt>
                <c:pt idx="828">
                  <c:v>-1910.4359534475661</c:v>
                </c:pt>
                <c:pt idx="829">
                  <c:v>-2512.1724763778584</c:v>
                </c:pt>
                <c:pt idx="830">
                  <c:v>-2585.967145172508</c:v>
                </c:pt>
                <c:pt idx="831">
                  <c:v>-1772.7500998349278</c:v>
                </c:pt>
                <c:pt idx="832">
                  <c:v>-1941.0287203046173</c:v>
                </c:pt>
                <c:pt idx="833">
                  <c:v>-2202.8456762731512</c:v>
                </c:pt>
                <c:pt idx="834">
                  <c:v>-2406.4369235379927</c:v>
                </c:pt>
                <c:pt idx="835">
                  <c:v>-1910.1153528420618</c:v>
                </c:pt>
                <c:pt idx="836">
                  <c:v>-2490.2984022968885</c:v>
                </c:pt>
                <c:pt idx="837">
                  <c:v>-2217.2640421337892</c:v>
                </c:pt>
                <c:pt idx="838">
                  <c:v>-1890.766457493206</c:v>
                </c:pt>
                <c:pt idx="839">
                  <c:v>-2603.6621184377218</c:v>
                </c:pt>
                <c:pt idx="840">
                  <c:v>-2240.4703837450725</c:v>
                </c:pt>
                <c:pt idx="841">
                  <c:v>-2275.974613231283</c:v>
                </c:pt>
                <c:pt idx="842">
                  <c:v>-1971.6958355741954</c:v>
                </c:pt>
                <c:pt idx="843">
                  <c:v>-1857.2033292984961</c:v>
                </c:pt>
                <c:pt idx="844">
                  <c:v>-1866.0010195651739</c:v>
                </c:pt>
                <c:pt idx="845">
                  <c:v>-2361.8340861296638</c:v>
                </c:pt>
                <c:pt idx="846">
                  <c:v>-2103.5728271259213</c:v>
                </c:pt>
                <c:pt idx="847">
                  <c:v>-2415.1712728473176</c:v>
                </c:pt>
                <c:pt idx="848">
                  <c:v>-1935.849407277361</c:v>
                </c:pt>
                <c:pt idx="849">
                  <c:v>-2041.2989766511382</c:v>
                </c:pt>
                <c:pt idx="850">
                  <c:v>-2134.2542659126775</c:v>
                </c:pt>
                <c:pt idx="851">
                  <c:v>-2258.9259048141466</c:v>
                </c:pt>
                <c:pt idx="852">
                  <c:v>-1682.5128968625468</c:v>
                </c:pt>
                <c:pt idx="853">
                  <c:v>-2432.1175498547236</c:v>
                </c:pt>
                <c:pt idx="854">
                  <c:v>-2511.9646313599515</c:v>
                </c:pt>
                <c:pt idx="855">
                  <c:v>-1596.6154410680974</c:v>
                </c:pt>
                <c:pt idx="856">
                  <c:v>-2521.3148895970953</c:v>
                </c:pt>
                <c:pt idx="857">
                  <c:v>-2037.6686348336589</c:v>
                </c:pt>
                <c:pt idx="858">
                  <c:v>-2111.9052533223148</c:v>
                </c:pt>
                <c:pt idx="859">
                  <c:v>-2007.0559792029089</c:v>
                </c:pt>
                <c:pt idx="860">
                  <c:v>-1819.8476958589672</c:v>
                </c:pt>
                <c:pt idx="861">
                  <c:v>-2230.1844952667525</c:v>
                </c:pt>
                <c:pt idx="862">
                  <c:v>-2156.3532665140046</c:v>
                </c:pt>
                <c:pt idx="863">
                  <c:v>-1599.3109112280108</c:v>
                </c:pt>
                <c:pt idx="864">
                  <c:v>-2237.5158236439893</c:v>
                </c:pt>
                <c:pt idx="865">
                  <c:v>-2246.4438409447503</c:v>
                </c:pt>
                <c:pt idx="866">
                  <c:v>-2339.9599619236178</c:v>
                </c:pt>
                <c:pt idx="867">
                  <c:v>-2163.1169326034651</c:v>
                </c:pt>
                <c:pt idx="868">
                  <c:v>-1793.9452726520358</c:v>
                </c:pt>
                <c:pt idx="869">
                  <c:v>-2176.2810919764088</c:v>
                </c:pt>
                <c:pt idx="870">
                  <c:v>-2104.140647467786</c:v>
                </c:pt>
                <c:pt idx="871">
                  <c:v>-2106.4547480300389</c:v>
                </c:pt>
                <c:pt idx="872">
                  <c:v>-1913.232412454694</c:v>
                </c:pt>
                <c:pt idx="873">
                  <c:v>-2482.7096446106225</c:v>
                </c:pt>
                <c:pt idx="874">
                  <c:v>-2375.5469170351207</c:v>
                </c:pt>
                <c:pt idx="875">
                  <c:v>-1818.8261845670386</c:v>
                </c:pt>
                <c:pt idx="876">
                  <c:v>-1619.5024900254139</c:v>
                </c:pt>
                <c:pt idx="877">
                  <c:v>-1900.5923176238648</c:v>
                </c:pt>
                <c:pt idx="878">
                  <c:v>-2384.7793401157032</c:v>
                </c:pt>
                <c:pt idx="879">
                  <c:v>-1983.1007839993654</c:v>
                </c:pt>
                <c:pt idx="880">
                  <c:v>-1881.4345754842507</c:v>
                </c:pt>
                <c:pt idx="881">
                  <c:v>-1980.3471165562078</c:v>
                </c:pt>
                <c:pt idx="882">
                  <c:v>-1859.1935397900816</c:v>
                </c:pt>
                <c:pt idx="883">
                  <c:v>-2001.8287060781331</c:v>
                </c:pt>
                <c:pt idx="884">
                  <c:v>-2944.809151778496</c:v>
                </c:pt>
                <c:pt idx="885">
                  <c:v>-2410.9003624043726</c:v>
                </c:pt>
                <c:pt idx="886">
                  <c:v>-2144.8119398775743</c:v>
                </c:pt>
                <c:pt idx="887">
                  <c:v>-2109.2437098278751</c:v>
                </c:pt>
                <c:pt idx="888">
                  <c:v>-2204.5771924429355</c:v>
                </c:pt>
                <c:pt idx="889">
                  <c:v>-2780.0641558324241</c:v>
                </c:pt>
                <c:pt idx="890">
                  <c:v>-2126.0503794888828</c:v>
                </c:pt>
                <c:pt idx="891">
                  <c:v>-2326.6649344022117</c:v>
                </c:pt>
                <c:pt idx="892">
                  <c:v>-2601.3214481373434</c:v>
                </c:pt>
                <c:pt idx="893">
                  <c:v>-2144.2915787855381</c:v>
                </c:pt>
                <c:pt idx="894">
                  <c:v>-1624.1196188645408</c:v>
                </c:pt>
                <c:pt idx="895">
                  <c:v>-2046.0484206874971</c:v>
                </c:pt>
                <c:pt idx="896">
                  <c:v>-1759.731117721698</c:v>
                </c:pt>
                <c:pt idx="897">
                  <c:v>-1845.0663786810874</c:v>
                </c:pt>
                <c:pt idx="898">
                  <c:v>-2612.4205806306709</c:v>
                </c:pt>
                <c:pt idx="899">
                  <c:v>-2417.6680585219947</c:v>
                </c:pt>
                <c:pt idx="900">
                  <c:v>-1898.3551993335714</c:v>
                </c:pt>
                <c:pt idx="901">
                  <c:v>-2313.4166493459343</c:v>
                </c:pt>
                <c:pt idx="902">
                  <c:v>-2177.7742820495441</c:v>
                </c:pt>
                <c:pt idx="903">
                  <c:v>-2193.8087548395124</c:v>
                </c:pt>
                <c:pt idx="904">
                  <c:v>-2628.5021326493443</c:v>
                </c:pt>
                <c:pt idx="905">
                  <c:v>-1916.8488234846664</c:v>
                </c:pt>
                <c:pt idx="906">
                  <c:v>-2043.3909291345299</c:v>
                </c:pt>
                <c:pt idx="907">
                  <c:v>-1664.9121724824872</c:v>
                </c:pt>
                <c:pt idx="908">
                  <c:v>-2482.6213249729699</c:v>
                </c:pt>
                <c:pt idx="909">
                  <c:v>-1991.1985361245206</c:v>
                </c:pt>
                <c:pt idx="910">
                  <c:v>-2013.9582136718091</c:v>
                </c:pt>
                <c:pt idx="911">
                  <c:v>-1593.3466828565142</c:v>
                </c:pt>
                <c:pt idx="912">
                  <c:v>-2081.3270954487343</c:v>
                </c:pt>
                <c:pt idx="913">
                  <c:v>-2203.552373734201</c:v>
                </c:pt>
                <c:pt idx="914">
                  <c:v>-1832.9370207797438</c:v>
                </c:pt>
                <c:pt idx="915">
                  <c:v>-1862.1277656599887</c:v>
                </c:pt>
                <c:pt idx="916">
                  <c:v>-1438.3065821164892</c:v>
                </c:pt>
                <c:pt idx="917">
                  <c:v>-2313.7513144242112</c:v>
                </c:pt>
                <c:pt idx="918">
                  <c:v>-2342.9358228445926</c:v>
                </c:pt>
                <c:pt idx="919">
                  <c:v>-1886.0819829516186</c:v>
                </c:pt>
                <c:pt idx="920">
                  <c:v>-2023.7649840686063</c:v>
                </c:pt>
                <c:pt idx="921">
                  <c:v>-1983.5477309714261</c:v>
                </c:pt>
                <c:pt idx="922">
                  <c:v>-1850.6212966578205</c:v>
                </c:pt>
                <c:pt idx="923">
                  <c:v>-2093.9847606622607</c:v>
                </c:pt>
                <c:pt idx="924">
                  <c:v>-2632.8292698919686</c:v>
                </c:pt>
                <c:pt idx="925">
                  <c:v>-2362.7401594617186</c:v>
                </c:pt>
                <c:pt idx="926">
                  <c:v>-2232.7493851487015</c:v>
                </c:pt>
                <c:pt idx="927">
                  <c:v>-2558.5573318002789</c:v>
                </c:pt>
                <c:pt idx="928">
                  <c:v>-2027.083320130434</c:v>
                </c:pt>
                <c:pt idx="929">
                  <c:v>-1682.5529292303618</c:v>
                </c:pt>
                <c:pt idx="930">
                  <c:v>-2542.0395198941624</c:v>
                </c:pt>
                <c:pt idx="931">
                  <c:v>-2450.8286294366117</c:v>
                </c:pt>
                <c:pt idx="932">
                  <c:v>-2369.5224963531327</c:v>
                </c:pt>
                <c:pt idx="933">
                  <c:v>-1763.3233680370031</c:v>
                </c:pt>
                <c:pt idx="934">
                  <c:v>-2279.0707349522636</c:v>
                </c:pt>
                <c:pt idx="935">
                  <c:v>-1972.477076147894</c:v>
                </c:pt>
                <c:pt idx="936">
                  <c:v>-2122.64924692348</c:v>
                </c:pt>
                <c:pt idx="937">
                  <c:v>-2111.3105154470286</c:v>
                </c:pt>
                <c:pt idx="938">
                  <c:v>-1912.4341355438628</c:v>
                </c:pt>
                <c:pt idx="939">
                  <c:v>-1702.5671884820622</c:v>
                </c:pt>
                <c:pt idx="940">
                  <c:v>-2214.0778859056445</c:v>
                </c:pt>
                <c:pt idx="941">
                  <c:v>-2224.8905281795378</c:v>
                </c:pt>
                <c:pt idx="942">
                  <c:v>-2314.5332111612515</c:v>
                </c:pt>
                <c:pt idx="943">
                  <c:v>-2052.2587868611627</c:v>
                </c:pt>
                <c:pt idx="944">
                  <c:v>-2415.4800664623544</c:v>
                </c:pt>
                <c:pt idx="945">
                  <c:v>-1882.6300402587367</c:v>
                </c:pt>
                <c:pt idx="946">
                  <c:v>-2313.2533930817117</c:v>
                </c:pt>
                <c:pt idx="947">
                  <c:v>-1704.9690677546896</c:v>
                </c:pt>
                <c:pt idx="948">
                  <c:v>-2090.1450166778704</c:v>
                </c:pt>
                <c:pt idx="949">
                  <c:v>-1925.0117152459934</c:v>
                </c:pt>
                <c:pt idx="950">
                  <c:v>-2268.6150429600057</c:v>
                </c:pt>
                <c:pt idx="951">
                  <c:v>-1959.1257736557855</c:v>
                </c:pt>
                <c:pt idx="952">
                  <c:v>-2000.3815192556904</c:v>
                </c:pt>
                <c:pt idx="953">
                  <c:v>-2008.7270995255822</c:v>
                </c:pt>
                <c:pt idx="954">
                  <c:v>-2365.1476438764366</c:v>
                </c:pt>
                <c:pt idx="955">
                  <c:v>-2074.5504646174813</c:v>
                </c:pt>
                <c:pt idx="956">
                  <c:v>-2136.1886860412851</c:v>
                </c:pt>
                <c:pt idx="957">
                  <c:v>-2168.2722380064333</c:v>
                </c:pt>
                <c:pt idx="958">
                  <c:v>-1883.1258833919564</c:v>
                </c:pt>
                <c:pt idx="959">
                  <c:v>-2115.3965140593646</c:v>
                </c:pt>
                <c:pt idx="960">
                  <c:v>-2084.2997135097976</c:v>
                </c:pt>
                <c:pt idx="961">
                  <c:v>-2323.5150381921667</c:v>
                </c:pt>
                <c:pt idx="962">
                  <c:v>-2452.8110757545146</c:v>
                </c:pt>
                <c:pt idx="963">
                  <c:v>-1737.8329174351493</c:v>
                </c:pt>
                <c:pt idx="964">
                  <c:v>-1923.1117436168679</c:v>
                </c:pt>
                <c:pt idx="965">
                  <c:v>-1826.5012603018404</c:v>
                </c:pt>
                <c:pt idx="966">
                  <c:v>-1581.4626622354044</c:v>
                </c:pt>
                <c:pt idx="967">
                  <c:v>-2526.9144166358419</c:v>
                </c:pt>
                <c:pt idx="968">
                  <c:v>-1721.5420829276773</c:v>
                </c:pt>
                <c:pt idx="969">
                  <c:v>-2627.8682305941475</c:v>
                </c:pt>
                <c:pt idx="970">
                  <c:v>-1905.7201553279483</c:v>
                </c:pt>
                <c:pt idx="971">
                  <c:v>-2737.6846797566832</c:v>
                </c:pt>
                <c:pt idx="972">
                  <c:v>-1445.2190365069764</c:v>
                </c:pt>
                <c:pt idx="973">
                  <c:v>-1834.0153657481569</c:v>
                </c:pt>
                <c:pt idx="974">
                  <c:v>-1789.9408543959253</c:v>
                </c:pt>
                <c:pt idx="975">
                  <c:v>-1734.639658871376</c:v>
                </c:pt>
                <c:pt idx="976">
                  <c:v>-1949.259846675548</c:v>
                </c:pt>
                <c:pt idx="977">
                  <c:v>-2041.6129349273688</c:v>
                </c:pt>
                <c:pt idx="978">
                  <c:v>-1690.0848852090567</c:v>
                </c:pt>
                <c:pt idx="979">
                  <c:v>-1857.8607155429199</c:v>
                </c:pt>
                <c:pt idx="980">
                  <c:v>-2178.5310232578886</c:v>
                </c:pt>
                <c:pt idx="981">
                  <c:v>-1782.7241664245666</c:v>
                </c:pt>
                <c:pt idx="982">
                  <c:v>-1842.0350166691023</c:v>
                </c:pt>
                <c:pt idx="983">
                  <c:v>-1802.2270204313099</c:v>
                </c:pt>
                <c:pt idx="984">
                  <c:v>-1613.6386959403535</c:v>
                </c:pt>
                <c:pt idx="985">
                  <c:v>-2328.2725273235992</c:v>
                </c:pt>
                <c:pt idx="986">
                  <c:v>-2115.6667803028467</c:v>
                </c:pt>
                <c:pt idx="987">
                  <c:v>-1758.6718853134007</c:v>
                </c:pt>
                <c:pt idx="988">
                  <c:v>-1687.2634102235425</c:v>
                </c:pt>
                <c:pt idx="989">
                  <c:v>-1847.8365104270488</c:v>
                </c:pt>
                <c:pt idx="990">
                  <c:v>-2087.4143463986657</c:v>
                </c:pt>
                <c:pt idx="991">
                  <c:v>-2500.7447169710867</c:v>
                </c:pt>
                <c:pt idx="992">
                  <c:v>-1808.1336999918822</c:v>
                </c:pt>
                <c:pt idx="993">
                  <c:v>-2255.0806182626184</c:v>
                </c:pt>
                <c:pt idx="994">
                  <c:v>-2032.6566162226154</c:v>
                </c:pt>
                <c:pt idx="995">
                  <c:v>-1944.4973952989421</c:v>
                </c:pt>
                <c:pt idx="996">
                  <c:v>-2074.5071680913388</c:v>
                </c:pt>
                <c:pt idx="997">
                  <c:v>-2477.7948179355517</c:v>
                </c:pt>
                <c:pt idx="998">
                  <c:v>-1820.6238722344133</c:v>
                </c:pt>
                <c:pt idx="999">
                  <c:v>-2104.7642295346304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5-4057-A058-E2203F10C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4707807"/>
        <c:axId val="1858946399"/>
      </c:scatterChart>
      <c:valAx>
        <c:axId val="2034707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58946399"/>
        <c:crosses val="autoZero"/>
        <c:crossBetween val="midCat"/>
      </c:valAx>
      <c:valAx>
        <c:axId val="1858946399"/>
        <c:scaling>
          <c:orientation val="minMax"/>
          <c:max val="3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34707807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14</xdr:col>
      <xdr:colOff>0</xdr:colOff>
      <xdr:row>13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0</xdr:colOff>
      <xdr:row>17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9525</xdr:rowOff>
        </xdr:from>
        <xdr:to>
          <xdr:col>1</xdr:col>
          <xdr:colOff>657225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190499</xdr:rowOff>
    </xdr:from>
    <xdr:to>
      <xdr:col>2</xdr:col>
      <xdr:colOff>0</xdr:colOff>
      <xdr:row>94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1000125</xdr:colOff>
      <xdr:row>49</xdr:row>
      <xdr:rowOff>180974</xdr:rowOff>
    </xdr:from>
    <xdr:to>
      <xdr:col>1</xdr:col>
      <xdr:colOff>2993232</xdr:colOff>
      <xdr:row>50</xdr:row>
      <xdr:rowOff>171449</xdr:rowOff>
    </xdr:to>
    <xdr:sp macro="" textlink="$N$9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200150" y="9705974"/>
          <a:ext cx="1990725" cy="1809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fld id="{A75A8E8C-57BF-4D91-97B8-068284A1D7E5}" type="TxLink">
            <a:rPr lang="en-US" sz="1100" b="1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/>
            <a:t>MEAN: $21</a:t>
          </a:fld>
          <a:endParaRPr lang="en-US" sz="11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Sheet05.Owsa_Scrol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02406" y="1333500"/>
          <a:ext cx="3964782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Sheet05.Parameter_Scrol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2406" y="571500"/>
          <a:ext cx="3964782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Sheet05.Tree_Scroll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2406" y="762000"/>
          <a:ext cx="3964782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Sheet05.Test_Scroll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2406" y="952500"/>
          <a:ext cx="3964782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Sheet05.No_Scroll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02406" y="1143000"/>
          <a:ext cx="3964782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14</xdr:col>
      <xdr:colOff>1</xdr:colOff>
      <xdr:row>31</xdr:row>
      <xdr:rowOff>173062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406" y="1714500"/>
          <a:ext cx="14799470" cy="4554562"/>
        </a:xfrm>
        <a:prstGeom prst="rect">
          <a:avLst/>
        </a:prstGeom>
      </xdr:spPr>
    </xdr:pic>
    <xdr:clientData/>
  </xdr:twoCellAnchor>
  <xdr:twoCellAnchor>
    <xdr:from>
      <xdr:col>72</xdr:col>
      <xdr:colOff>0</xdr:colOff>
      <xdr:row>22</xdr:row>
      <xdr:rowOff>0</xdr:rowOff>
    </xdr:from>
    <xdr:to>
      <xdr:col>73</xdr:col>
      <xdr:colOff>0</xdr:colOff>
      <xdr:row>89</xdr:row>
      <xdr:rowOff>0</xdr:rowOff>
    </xdr:to>
    <xdr:graphicFrame macro="">
      <xdr:nvGraphicFramePr>
        <xdr:cNvPr id="7" name="boc_owsa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1690687</xdr:colOff>
      <xdr:row>4</xdr:row>
      <xdr:rowOff>0</xdr:rowOff>
    </xdr:from>
    <xdr:to>
      <xdr:col>78</xdr:col>
      <xdr:colOff>964405</xdr:colOff>
      <xdr:row>19</xdr:row>
      <xdr:rowOff>0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864071D4-AEEE-4102-B086-4946E67AD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202405</xdr:colOff>
      <xdr:row>4</xdr:row>
      <xdr:rowOff>0</xdr:rowOff>
    </xdr:from>
    <xdr:to>
      <xdr:col>73</xdr:col>
      <xdr:colOff>1690687</xdr:colOff>
      <xdr:row>19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8BBC4FD-5777-4A3C-AA67-43DA92E05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regu\OneDrive\RISE_Model_B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ISE_Model_BC"/>
      <sheetName val="Outcomes"/>
      <sheetName val="Parameter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89EB6-E7FF-40E0-AD8E-91C4712293F2}">
  <sheetPr codeName="Sheet01"/>
  <dimension ref="A1:Y65"/>
  <sheetViews>
    <sheetView showGridLines="0" zoomScale="80" zoomScaleNormal="80" zoomScalePageLayoutView="125" workbookViewId="0">
      <selection activeCell="E45" sqref="E45"/>
    </sheetView>
  </sheetViews>
  <sheetFormatPr defaultColWidth="9" defaultRowHeight="14.25" x14ac:dyDescent="0.2"/>
  <cols>
    <col min="1" max="1" width="2.625" style="36" customWidth="1"/>
    <col min="2" max="2" width="47.5" style="36" bestFit="1" customWidth="1"/>
    <col min="3" max="4" width="12.625" style="36" customWidth="1"/>
    <col min="5" max="7" width="12.625" style="41" customWidth="1"/>
    <col min="8" max="10" width="12.625" style="36" customWidth="1"/>
    <col min="11" max="11" width="12.625" style="41" customWidth="1"/>
    <col min="12" max="16" width="12.625" style="36" customWidth="1"/>
    <col min="17" max="17" width="12.625" style="41" customWidth="1"/>
    <col min="18" max="20" width="12.625" style="36" customWidth="1"/>
    <col min="21" max="21" width="15.625" style="36" customWidth="1"/>
    <col min="22" max="22" width="10.625" style="36" bestFit="1" customWidth="1"/>
    <col min="23" max="16384" width="9" style="36"/>
  </cols>
  <sheetData>
    <row r="1" spans="1:25" s="5" customFormat="1" ht="30" customHeight="1" thickBot="1" x14ac:dyDescent="0.25">
      <c r="A1" s="4" t="s">
        <v>0</v>
      </c>
    </row>
    <row r="2" spans="1:25" ht="15" customHeight="1" x14ac:dyDescent="0.2">
      <c r="F2" s="64"/>
      <c r="G2" s="64"/>
      <c r="H2" s="49"/>
      <c r="I2" s="49"/>
      <c r="J2" s="63"/>
      <c r="L2" s="49"/>
      <c r="M2" s="49"/>
      <c r="N2" s="49"/>
      <c r="O2" s="49"/>
      <c r="P2" s="63"/>
      <c r="R2" s="63"/>
      <c r="S2" s="63"/>
      <c r="T2" s="63"/>
      <c r="U2" s="63"/>
      <c r="V2" s="63"/>
      <c r="W2" s="63"/>
      <c r="X2" s="63"/>
    </row>
    <row r="3" spans="1:25" ht="15" customHeight="1" x14ac:dyDescent="0.2">
      <c r="B3" s="108" t="s">
        <v>88</v>
      </c>
      <c r="C3" s="109"/>
      <c r="D3" s="109"/>
      <c r="E3" s="109"/>
      <c r="H3" s="3" t="s">
        <v>195</v>
      </c>
      <c r="I3" s="3"/>
      <c r="J3" s="3"/>
      <c r="K3" s="2"/>
      <c r="L3" s="280"/>
      <c r="M3" s="280"/>
      <c r="N3" s="280"/>
      <c r="P3" s="348" t="s">
        <v>288</v>
      </c>
      <c r="Q3" s="347"/>
      <c r="R3" s="350" t="s">
        <v>290</v>
      </c>
      <c r="S3" s="354" t="s">
        <v>291</v>
      </c>
      <c r="T3" s="347"/>
      <c r="U3" s="63"/>
    </row>
    <row r="4" spans="1:25" ht="15" customHeight="1" x14ac:dyDescent="0.2">
      <c r="B4" s="150"/>
      <c r="C4" s="271" t="s">
        <v>32</v>
      </c>
      <c r="D4" s="271" t="s">
        <v>33</v>
      </c>
      <c r="E4" s="271" t="s">
        <v>34</v>
      </c>
      <c r="H4" s="258"/>
      <c r="I4" s="271" t="s">
        <v>20</v>
      </c>
      <c r="J4" s="271" t="s">
        <v>21</v>
      </c>
      <c r="K4" s="8"/>
      <c r="L4" s="258"/>
      <c r="M4" s="258"/>
      <c r="N4" s="258"/>
      <c r="P4" s="349"/>
      <c r="Q4" s="271" t="s">
        <v>20</v>
      </c>
      <c r="R4" s="271" t="s">
        <v>21</v>
      </c>
      <c r="S4" s="351" t="s">
        <v>20</v>
      </c>
      <c r="T4" s="271" t="s">
        <v>21</v>
      </c>
      <c r="U4" s="63"/>
    </row>
    <row r="5" spans="1:25" ht="15" customHeight="1" x14ac:dyDescent="0.2">
      <c r="B5" s="41"/>
      <c r="C5" s="41"/>
      <c r="D5" s="41"/>
      <c r="H5" s="41"/>
      <c r="K5" s="8"/>
      <c r="L5" s="258"/>
      <c r="M5" s="258"/>
      <c r="N5" s="258"/>
      <c r="P5" s="36" t="s">
        <v>289</v>
      </c>
      <c r="Q5" s="71">
        <f ca="1">boc_test_cost</f>
        <v>31466.313458897886</v>
      </c>
      <c r="R5" s="69">
        <f ca="1">boc_test_qalys</f>
        <v>20.954782743204778</v>
      </c>
      <c r="S5" s="353">
        <f ca="1">boc_notest_cost</f>
        <v>33546.919968463008</v>
      </c>
      <c r="T5" s="352">
        <f ca="1">boc_notest_qalys</f>
        <v>20.932605415074452</v>
      </c>
      <c r="U5" s="63"/>
    </row>
    <row r="6" spans="1:25" ht="15" customHeight="1" x14ac:dyDescent="0.2">
      <c r="B6" s="275" t="s">
        <v>54</v>
      </c>
      <c r="C6" s="245">
        <f>IF(ISBLANK(D6),E6,D6)</f>
        <v>1</v>
      </c>
      <c r="D6" s="18"/>
      <c r="E6" s="245">
        <v>1</v>
      </c>
      <c r="H6" s="314" t="s">
        <v>43</v>
      </c>
      <c r="I6" s="71">
        <f ca="1">SUM(Q5:Q13)</f>
        <v>31466.313458897886</v>
      </c>
      <c r="J6" s="355">
        <f ca="1">SUM(R5:R13)</f>
        <v>20.954782743204778</v>
      </c>
      <c r="K6" s="258"/>
      <c r="L6" s="258"/>
      <c r="M6" s="258"/>
      <c r="N6" s="258"/>
      <c r="P6" s="369" t="s">
        <v>1</v>
      </c>
      <c r="Q6" s="44"/>
      <c r="R6" s="352"/>
      <c r="S6" s="353"/>
      <c r="T6" s="69"/>
      <c r="U6" s="63"/>
    </row>
    <row r="7" spans="1:25" ht="15" customHeight="1" x14ac:dyDescent="0.2">
      <c r="B7" s="276" t="s">
        <v>89</v>
      </c>
      <c r="C7" s="272">
        <f t="shared" ref="C7:C13" si="0">IF(ISBLANK(D7),E7,D7)</f>
        <v>45</v>
      </c>
      <c r="D7" s="18"/>
      <c r="E7" s="272">
        <v>45</v>
      </c>
      <c r="H7" s="314"/>
      <c r="I7" s="356"/>
      <c r="J7" s="357"/>
      <c r="K7" s="258"/>
      <c r="L7" s="258"/>
      <c r="M7" s="258"/>
      <c r="N7" s="258"/>
      <c r="P7" s="369" t="s">
        <v>2</v>
      </c>
      <c r="Q7" s="44"/>
      <c r="R7" s="352"/>
      <c r="S7" s="353"/>
      <c r="T7" s="69"/>
      <c r="U7" s="63"/>
    </row>
    <row r="8" spans="1:25" ht="15" customHeight="1" x14ac:dyDescent="0.2">
      <c r="B8" s="275" t="s">
        <v>90</v>
      </c>
      <c r="C8" s="273">
        <f t="shared" si="0"/>
        <v>0.03</v>
      </c>
      <c r="D8" s="18"/>
      <c r="E8" s="273">
        <v>0.03</v>
      </c>
      <c r="H8" s="314" t="s">
        <v>44</v>
      </c>
      <c r="I8" s="71">
        <f ca="1">SUM(S5:S13)</f>
        <v>33546.919968463008</v>
      </c>
      <c r="J8" s="355">
        <f ca="1">SUM(T5:T13)</f>
        <v>20.932605415074452</v>
      </c>
      <c r="K8" s="258"/>
      <c r="L8" s="258"/>
      <c r="M8" s="258"/>
      <c r="N8" s="258"/>
      <c r="P8" s="369" t="s">
        <v>292</v>
      </c>
      <c r="Q8" s="44"/>
      <c r="R8" s="352"/>
      <c r="S8" s="353"/>
      <c r="T8" s="69"/>
      <c r="U8" s="63"/>
    </row>
    <row r="9" spans="1:25" ht="15" customHeight="1" x14ac:dyDescent="0.2">
      <c r="B9" s="275" t="s">
        <v>192</v>
      </c>
      <c r="C9" s="274">
        <f t="shared" si="0"/>
        <v>0.2</v>
      </c>
      <c r="D9" s="18"/>
      <c r="E9" s="274">
        <v>0.2</v>
      </c>
      <c r="H9" s="314"/>
      <c r="I9" s="356"/>
      <c r="J9" s="357"/>
      <c r="K9" s="258"/>
      <c r="L9" s="258"/>
      <c r="M9" s="258"/>
      <c r="N9" s="258"/>
      <c r="P9" s="369" t="s">
        <v>293</v>
      </c>
      <c r="Q9" s="44"/>
      <c r="R9" s="352"/>
      <c r="S9" s="353"/>
      <c r="T9" s="69"/>
      <c r="U9" s="63"/>
    </row>
    <row r="10" spans="1:25" ht="15" customHeight="1" x14ac:dyDescent="0.2">
      <c r="B10" s="275" t="s">
        <v>35</v>
      </c>
      <c r="C10" s="279" t="b">
        <v>0</v>
      </c>
      <c r="D10" s="277"/>
      <c r="E10" s="279" t="b">
        <v>0</v>
      </c>
      <c r="F10" s="68"/>
      <c r="H10" s="313" t="s">
        <v>45</v>
      </c>
      <c r="I10" s="358">
        <f ca="1">I6-I8</f>
        <v>-2080.6065095651211</v>
      </c>
      <c r="J10" s="359">
        <f ca="1">J6-J8</f>
        <v>2.2177328130325691E-2</v>
      </c>
      <c r="K10" s="258"/>
      <c r="L10" s="258"/>
      <c r="M10" s="258"/>
      <c r="N10" s="258"/>
      <c r="P10" s="369" t="s">
        <v>294</v>
      </c>
      <c r="Q10" s="44"/>
      <c r="R10" s="352"/>
      <c r="S10" s="353"/>
      <c r="T10" s="69"/>
      <c r="U10" s="63"/>
    </row>
    <row r="11" spans="1:25" ht="15" customHeight="1" x14ac:dyDescent="0.2">
      <c r="B11" s="275" t="s">
        <v>194</v>
      </c>
      <c r="C11" s="68">
        <f t="shared" si="0"/>
        <v>1000</v>
      </c>
      <c r="D11" s="277"/>
      <c r="E11" s="68">
        <v>1000</v>
      </c>
      <c r="F11" s="68"/>
      <c r="H11" s="313"/>
      <c r="I11" s="287"/>
      <c r="J11" s="286"/>
      <c r="K11" s="258"/>
      <c r="L11" s="258"/>
      <c r="M11" s="258"/>
      <c r="N11" s="258"/>
      <c r="P11" s="369" t="s">
        <v>295</v>
      </c>
      <c r="Q11" s="44"/>
      <c r="R11" s="352"/>
      <c r="S11" s="353"/>
      <c r="T11" s="69"/>
      <c r="U11" s="63"/>
    </row>
    <row r="12" spans="1:25" ht="15" customHeight="1" x14ac:dyDescent="0.2">
      <c r="B12" s="276" t="s">
        <v>193</v>
      </c>
      <c r="C12" s="278">
        <f t="shared" si="0"/>
        <v>1000</v>
      </c>
      <c r="D12" s="277"/>
      <c r="E12" s="278">
        <v>1000</v>
      </c>
      <c r="F12" s="68"/>
      <c r="H12" s="312" t="s">
        <v>152</v>
      </c>
      <c r="I12" s="360">
        <f ca="1">I10/J10</f>
        <v>-93816.824882527711</v>
      </c>
      <c r="J12" s="360"/>
      <c r="K12" s="258"/>
      <c r="L12" s="258"/>
      <c r="M12" s="258"/>
      <c r="N12" s="258"/>
      <c r="P12" s="369" t="s">
        <v>296</v>
      </c>
      <c r="Q12" s="44"/>
      <c r="R12" s="352"/>
      <c r="S12" s="353"/>
      <c r="T12" s="69"/>
      <c r="U12" s="63"/>
    </row>
    <row r="13" spans="1:25" ht="15" customHeight="1" x14ac:dyDescent="0.2">
      <c r="B13" s="275" t="s">
        <v>56</v>
      </c>
      <c r="C13" s="68">
        <f t="shared" si="0"/>
        <v>0</v>
      </c>
      <c r="D13" s="277"/>
      <c r="E13" s="68">
        <v>0</v>
      </c>
      <c r="F13" s="68"/>
      <c r="H13" s="312"/>
      <c r="I13" s="323"/>
      <c r="J13" s="323"/>
      <c r="K13" s="258"/>
      <c r="L13" s="258"/>
      <c r="M13" s="258"/>
      <c r="N13" s="258"/>
      <c r="P13" s="369" t="s">
        <v>297</v>
      </c>
      <c r="Q13" s="44"/>
      <c r="R13" s="352"/>
      <c r="S13" s="353"/>
      <c r="T13" s="69"/>
      <c r="U13" s="63"/>
    </row>
    <row r="14" spans="1:25" ht="15" customHeight="1" x14ac:dyDescent="0.2">
      <c r="B14" s="43"/>
      <c r="C14" s="49"/>
      <c r="D14" s="49"/>
      <c r="E14" s="65"/>
      <c r="F14" s="68"/>
      <c r="G14" s="42"/>
      <c r="H14"/>
      <c r="I14"/>
      <c r="J14" s="63"/>
      <c r="K14" s="245"/>
      <c r="N14" s="42"/>
      <c r="Q14" s="65"/>
      <c r="R14" s="63"/>
      <c r="S14" s="63"/>
      <c r="T14" s="63"/>
      <c r="U14" s="63"/>
      <c r="V14" s="63"/>
      <c r="W14" s="63"/>
      <c r="X14" s="63"/>
    </row>
    <row r="15" spans="1:25" ht="15" customHeight="1" x14ac:dyDescent="0.2">
      <c r="B15" s="3" t="s">
        <v>86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63"/>
      <c r="V15" s="63"/>
      <c r="W15" s="63"/>
      <c r="X15" s="63"/>
    </row>
    <row r="16" spans="1:25" ht="15" customHeight="1" x14ac:dyDescent="0.2">
      <c r="B16" s="8" t="s">
        <v>27</v>
      </c>
      <c r="C16" s="13" t="s">
        <v>32</v>
      </c>
      <c r="D16" s="13" t="s">
        <v>33</v>
      </c>
      <c r="E16" s="13" t="s">
        <v>34</v>
      </c>
      <c r="F16" s="17" t="s">
        <v>36</v>
      </c>
      <c r="G16" s="17"/>
      <c r="H16" s="13" t="s">
        <v>41</v>
      </c>
      <c r="I16" s="13" t="s">
        <v>37</v>
      </c>
      <c r="J16" s="13" t="s">
        <v>38</v>
      </c>
      <c r="K16" s="13" t="s">
        <v>35</v>
      </c>
      <c r="L16" s="87" t="s">
        <v>58</v>
      </c>
      <c r="M16" s="86" t="s">
        <v>59</v>
      </c>
      <c r="N16" s="86" t="s">
        <v>60</v>
      </c>
      <c r="O16" s="86" t="s">
        <v>85</v>
      </c>
      <c r="P16" s="86" t="s">
        <v>62</v>
      </c>
      <c r="Q16" s="87" t="s">
        <v>61</v>
      </c>
      <c r="R16" s="13" t="s">
        <v>39</v>
      </c>
      <c r="S16" s="13" t="s">
        <v>63</v>
      </c>
      <c r="T16" s="13" t="s">
        <v>40</v>
      </c>
      <c r="U16" s="49"/>
      <c r="V16" s="63"/>
      <c r="W16" s="63"/>
      <c r="X16" s="63"/>
      <c r="Y16" s="63"/>
    </row>
    <row r="17" spans="2:24" ht="15" customHeight="1" x14ac:dyDescent="0.2">
      <c r="B17" s="42"/>
      <c r="C17" s="69"/>
      <c r="D17" s="69"/>
      <c r="E17" s="64"/>
      <c r="F17" s="64"/>
      <c r="G17" s="64"/>
      <c r="H17" s="49"/>
      <c r="I17" s="49"/>
      <c r="J17" s="70"/>
      <c r="K17" s="64"/>
      <c r="L17" s="97"/>
      <c r="M17" s="97"/>
      <c r="N17" s="98"/>
      <c r="O17" s="98"/>
      <c r="P17" s="98"/>
      <c r="Q17" s="97"/>
      <c r="R17" s="70"/>
      <c r="S17" s="49"/>
      <c r="T17" s="49"/>
      <c r="U17" s="54"/>
      <c r="V17" s="66"/>
      <c r="W17" s="63"/>
      <c r="X17" s="63"/>
    </row>
    <row r="18" spans="2:24" ht="15" customHeight="1" x14ac:dyDescent="0.25">
      <c r="B18" s="91" t="s">
        <v>84</v>
      </c>
      <c r="C18" s="49"/>
      <c r="D18" s="49"/>
      <c r="E18" s="64"/>
      <c r="F18" s="56"/>
      <c r="G18" s="56"/>
      <c r="H18" s="49"/>
      <c r="I18" s="49"/>
      <c r="J18" s="49"/>
      <c r="K18" s="49"/>
      <c r="L18" s="99"/>
      <c r="M18" s="99"/>
      <c r="N18" s="99"/>
      <c r="O18" s="99"/>
      <c r="P18" s="99"/>
      <c r="Q18" s="97"/>
      <c r="R18" s="49"/>
      <c r="S18" s="49"/>
      <c r="T18" s="49"/>
      <c r="U18" s="63"/>
      <c r="V18" s="63"/>
    </row>
    <row r="19" spans="2:24" ht="15" customHeight="1" x14ac:dyDescent="0.2">
      <c r="B19" s="50" t="s">
        <v>64</v>
      </c>
      <c r="C19" s="71">
        <f>IF(OR(evsi_n&gt;0,psa),K19,IF(owsa_low=S19,F19,IF(owsa_high=S19,G19,IF(ISNUMBER(D19),D19,E19))))</f>
        <v>250</v>
      </c>
      <c r="D19" s="294"/>
      <c r="E19" s="53">
        <v>250</v>
      </c>
      <c r="F19" s="71">
        <v>100</v>
      </c>
      <c r="G19" s="71">
        <v>500</v>
      </c>
      <c r="H19" s="71">
        <f t="shared" ref="H19" si="1">(G19-F19)/(2*z)</f>
        <v>102.04269138493082</v>
      </c>
      <c r="I19" s="71"/>
      <c r="J19" s="48">
        <v>100</v>
      </c>
      <c r="K19" s="71">
        <f ca="1">IFERROR(_xlfn.NORM.INV(RAND(),E19,H19),0)</f>
        <v>146.77255027991441</v>
      </c>
      <c r="L19" s="99">
        <v>80.771880219659664</v>
      </c>
      <c r="M19" s="99" t="e">
        <f>SQRT(((H19^2)*J19)/evsi_n)</f>
        <v>#DIV/0!</v>
      </c>
      <c r="N19" s="99" t="e">
        <f ca="1">_xlfn.NORM.INV(RAND(),L19,M19)</f>
        <v>#DIV/0!</v>
      </c>
      <c r="O19" s="99" t="e">
        <f ca="1">((N19*evsi_n)+(E19*J19))/(evsi_n+J19)</f>
        <v>#DIV/0!</v>
      </c>
      <c r="P19" s="99">
        <f>SQRT(((H19^2)*J19)/(evsi_n+J19))</f>
        <v>102.04269138493082</v>
      </c>
      <c r="Q19" s="104" t="e">
        <f ca="1">_xlfn.NORM.INV(RAND(),O19,P19)</f>
        <v>#DIV/0!</v>
      </c>
      <c r="R19" s="49" t="s">
        <v>65</v>
      </c>
      <c r="S19" s="66">
        <v>1</v>
      </c>
      <c r="T19" s="95" t="s">
        <v>48</v>
      </c>
      <c r="U19" s="63"/>
      <c r="V19" s="63"/>
    </row>
    <row r="20" spans="2:24" ht="15" customHeight="1" x14ac:dyDescent="0.2">
      <c r="B20" s="50" t="s">
        <v>66</v>
      </c>
      <c r="C20" s="71">
        <f>IF(OR(evsi_n&gt;0,psa),K20,IF(owsa_low=S20,F20,IF(owsa_high=S20,G20,IF(ISNUMBER(D20),D20,E20))))</f>
        <v>62.5</v>
      </c>
      <c r="D20" s="294"/>
      <c r="E20" s="53">
        <v>62.5</v>
      </c>
      <c r="F20" s="71">
        <f>E20*(1-owsa)</f>
        <v>50</v>
      </c>
      <c r="G20" s="71">
        <f>E20*(1+owsa)</f>
        <v>75</v>
      </c>
      <c r="H20" s="71">
        <f t="shared" ref="H20:H22" si="2">(G20-F20)/(2*z)</f>
        <v>6.3776682115581762</v>
      </c>
      <c r="I20" s="71"/>
      <c r="J20" s="48">
        <v>100</v>
      </c>
      <c r="K20" s="71">
        <f ca="1">IFERROR(_xlfn.NORM.INV(RAND(),E20,H20),0)</f>
        <v>67.16211886670574</v>
      </c>
      <c r="L20" s="99">
        <v>55.651972181292571</v>
      </c>
      <c r="M20" s="99" t="e">
        <f>SQRT(((H20^2)*J20)/evsi_n)</f>
        <v>#DIV/0!</v>
      </c>
      <c r="N20" s="99" t="e">
        <f t="shared" ref="N20:N22" ca="1" si="3">_xlfn.NORM.INV(RAND(),L20,M20)</f>
        <v>#DIV/0!</v>
      </c>
      <c r="O20" s="99" t="e">
        <f ca="1">((N20*evsi_n)+(E20*J20))/(evsi_n+J20)</f>
        <v>#DIV/0!</v>
      </c>
      <c r="P20" s="99">
        <f>SQRT(((H20^2)*J20)/(evsi_n+J20))</f>
        <v>6.3776682115581762</v>
      </c>
      <c r="Q20" s="104" t="e">
        <f ca="1">_xlfn.NORM.INV(RAND(),O20,P20)</f>
        <v>#DIV/0!</v>
      </c>
      <c r="R20" s="49" t="s">
        <v>65</v>
      </c>
      <c r="S20" s="66">
        <v>2</v>
      </c>
      <c r="T20" s="95" t="s">
        <v>48</v>
      </c>
      <c r="U20" s="63"/>
      <c r="V20" s="63"/>
    </row>
    <row r="21" spans="2:24" ht="15" customHeight="1" x14ac:dyDescent="0.2">
      <c r="B21" s="50" t="s">
        <v>67</v>
      </c>
      <c r="C21" s="71">
        <f>IF(OR(evsi_n&gt;0,psa),K21,IF(owsa_low=S21,F21,IF(owsa_high=S21,G21,IF(ISNUMBER(D21),D21,E21))))</f>
        <v>250</v>
      </c>
      <c r="D21" s="294"/>
      <c r="E21" s="53">
        <v>250</v>
      </c>
      <c r="F21" s="71">
        <f>E21*(1-owsa)</f>
        <v>200</v>
      </c>
      <c r="G21" s="71">
        <f>E21*(1+owsa)</f>
        <v>300</v>
      </c>
      <c r="H21" s="71">
        <f t="shared" si="2"/>
        <v>25.510672846232705</v>
      </c>
      <c r="I21" s="71"/>
      <c r="J21" s="48">
        <v>100</v>
      </c>
      <c r="K21" s="71">
        <f ca="1">IFERROR(_xlfn.NORM.INV(RAND(),E21,H21),0)</f>
        <v>297.31987025353851</v>
      </c>
      <c r="L21" s="99">
        <v>289.21468528532353</v>
      </c>
      <c r="M21" s="99" t="e">
        <f>SQRT(((H21^2)*J21)/evsi_n)</f>
        <v>#DIV/0!</v>
      </c>
      <c r="N21" s="99" t="e">
        <f t="shared" ca="1" si="3"/>
        <v>#DIV/0!</v>
      </c>
      <c r="O21" s="99" t="e">
        <f ca="1">((N21*evsi_n)+(E21*J21))/(evsi_n+J21)</f>
        <v>#DIV/0!</v>
      </c>
      <c r="P21" s="99">
        <f>SQRT(((H21^2)*J21)/(evsi_n+J21))</f>
        <v>25.510672846232705</v>
      </c>
      <c r="Q21" s="104" t="e">
        <f ca="1">_xlfn.NORM.INV(RAND(),O21,P21)</f>
        <v>#DIV/0!</v>
      </c>
      <c r="R21" s="49" t="s">
        <v>65</v>
      </c>
      <c r="S21" s="66">
        <v>3</v>
      </c>
      <c r="T21" s="95" t="s">
        <v>48</v>
      </c>
      <c r="U21" s="63"/>
      <c r="V21" s="63"/>
    </row>
    <row r="22" spans="2:24" ht="15" customHeight="1" x14ac:dyDescent="0.2">
      <c r="B22" s="50" t="s">
        <v>68</v>
      </c>
      <c r="C22" s="71">
        <f>IF(OR(evsi_n&gt;0,psa),K22,IF(owsa_low=S22,F22,IF(owsa_high=S22,G22,IF(ISNUMBER(D22),D22,E22))))</f>
        <v>95</v>
      </c>
      <c r="D22" s="294"/>
      <c r="E22" s="53">
        <v>95</v>
      </c>
      <c r="F22" s="71">
        <f>E22*(1-owsa)</f>
        <v>76</v>
      </c>
      <c r="G22" s="71">
        <f>E22*(1+owsa)</f>
        <v>114</v>
      </c>
      <c r="H22" s="71">
        <f t="shared" si="2"/>
        <v>9.6940556815684271</v>
      </c>
      <c r="I22" s="71"/>
      <c r="J22" s="48">
        <v>100</v>
      </c>
      <c r="K22" s="71">
        <f ca="1">IFERROR(_xlfn.NORM.INV(RAND(),E22,H22),0)</f>
        <v>96.992233741148866</v>
      </c>
      <c r="L22" s="99">
        <v>93.232124102183676</v>
      </c>
      <c r="M22" s="99" t="e">
        <f>SQRT(((H22^2)*J22)/evsi_n)</f>
        <v>#DIV/0!</v>
      </c>
      <c r="N22" s="99" t="e">
        <f t="shared" ca="1" si="3"/>
        <v>#DIV/0!</v>
      </c>
      <c r="O22" s="99" t="e">
        <f ca="1">((N22*evsi_n)+(E22*J22))/(evsi_n+J22)</f>
        <v>#DIV/0!</v>
      </c>
      <c r="P22" s="99">
        <f>SQRT(((H22^2)*J22)/(evsi_n+J22))</f>
        <v>9.6940556815684271</v>
      </c>
      <c r="Q22" s="104" t="e">
        <f ca="1">_xlfn.NORM.INV(RAND(),O22,P22)</f>
        <v>#DIV/0!</v>
      </c>
      <c r="R22" s="49" t="s">
        <v>65</v>
      </c>
      <c r="S22" s="66">
        <v>4</v>
      </c>
      <c r="T22" s="95" t="s">
        <v>48</v>
      </c>
      <c r="U22" s="63"/>
      <c r="V22" s="63"/>
    </row>
    <row r="23" spans="2:24" ht="15" customHeight="1" x14ac:dyDescent="0.2">
      <c r="B23" s="63"/>
      <c r="C23" s="69"/>
      <c r="D23" s="69"/>
      <c r="E23" s="64"/>
      <c r="F23" s="49"/>
      <c r="G23" s="49"/>
      <c r="H23" s="49"/>
      <c r="I23" s="49"/>
      <c r="J23" s="49"/>
      <c r="K23" s="49"/>
      <c r="L23" s="99"/>
      <c r="M23" s="99"/>
      <c r="N23" s="99"/>
      <c r="O23" s="99"/>
      <c r="P23" s="99"/>
      <c r="Q23" s="97"/>
      <c r="R23" s="49"/>
      <c r="S23" s="66"/>
      <c r="T23" s="49"/>
      <c r="U23" s="63"/>
      <c r="V23" s="63"/>
    </row>
    <row r="24" spans="2:24" ht="15" customHeight="1" x14ac:dyDescent="0.25">
      <c r="B24" s="91" t="s">
        <v>69</v>
      </c>
      <c r="C24" s="69"/>
      <c r="D24" s="69"/>
      <c r="E24" s="64"/>
      <c r="F24" s="56"/>
      <c r="G24" s="56"/>
      <c r="H24" s="49"/>
      <c r="I24" s="72"/>
      <c r="J24" s="49"/>
      <c r="K24" s="49"/>
      <c r="L24" s="99"/>
      <c r="M24" s="100"/>
      <c r="N24" s="99"/>
      <c r="O24" s="99"/>
      <c r="P24" s="99"/>
      <c r="Q24" s="97"/>
      <c r="R24" s="49"/>
      <c r="S24" s="49"/>
      <c r="T24" s="49"/>
      <c r="U24" s="63"/>
      <c r="V24" s="63"/>
    </row>
    <row r="25" spans="2:24" ht="15" customHeight="1" x14ac:dyDescent="0.2">
      <c r="B25" s="50" t="s">
        <v>70</v>
      </c>
      <c r="C25" s="73">
        <f t="shared" ref="C25:C32" si="4">IF(OR(evsi_n&gt;0,psa),K25,IF(owsa_low=S25,F25,IF(owsa_high=S25,G25,IF(ISNUMBER(D25),D25,E25))))</f>
        <v>0.75</v>
      </c>
      <c r="D25" s="299"/>
      <c r="E25" s="45">
        <v>0.75</v>
      </c>
      <c r="F25" s="74">
        <v>0.5</v>
      </c>
      <c r="G25" s="74">
        <v>1</v>
      </c>
      <c r="H25" s="48">
        <f t="shared" ref="H25:H32" si="5">E25^2*(1-E25)/((G25-F25)/(2*z))^2-E25</f>
        <v>7.8932823465617794</v>
      </c>
      <c r="I25" s="48">
        <f t="shared" ref="I25:I32" si="6">(E25^2*(1-E25)/((G25-F25)/(2*z))^2-E25)*(1-E25)/E25</f>
        <v>2.6310941155205931</v>
      </c>
      <c r="J25" s="66">
        <f t="shared" ref="J25:J32" si="7">H25+I25</f>
        <v>10.524376462082373</v>
      </c>
      <c r="K25" s="73">
        <f t="shared" ref="K25:K32" ca="1" si="8">_xlfn.BETA.INV(RAND(),H25,I25)</f>
        <v>0.90886950690538715</v>
      </c>
      <c r="L25" s="99">
        <v>0.44251536654508711</v>
      </c>
      <c r="M25" s="101">
        <f t="shared" ref="M25:M32" si="9">E45</f>
        <v>8.8999999999999995E-4</v>
      </c>
      <c r="N25" s="99">
        <f t="shared" ref="N25:N32" ca="1" si="10">_xlfn.BINOM.INV(evsi_n*M25,L25,RAND())</f>
        <v>0</v>
      </c>
      <c r="O25" s="99"/>
      <c r="P25" s="102"/>
      <c r="Q25" s="105">
        <f t="shared" ref="Q25:Q32" ca="1" si="11">_xlfn.BETA.INV(RAND(),(H25+N25),((J25-H25)+(evsi_n*M25-N25)))</f>
        <v>0.86881347199840331</v>
      </c>
      <c r="R25" s="75" t="s">
        <v>71</v>
      </c>
      <c r="S25" s="66">
        <v>5</v>
      </c>
      <c r="T25" s="96" t="s">
        <v>48</v>
      </c>
      <c r="U25" s="63"/>
      <c r="V25" s="63"/>
    </row>
    <row r="26" spans="2:24" ht="15" customHeight="1" x14ac:dyDescent="0.2">
      <c r="B26" s="50" t="s">
        <v>72</v>
      </c>
      <c r="C26" s="73">
        <f t="shared" si="4"/>
        <v>0.75</v>
      </c>
      <c r="D26" s="299"/>
      <c r="E26" s="45">
        <v>0.75</v>
      </c>
      <c r="F26" s="74">
        <v>0.5</v>
      </c>
      <c r="G26" s="74">
        <v>1</v>
      </c>
      <c r="H26" s="48">
        <f t="shared" si="5"/>
        <v>7.8932823465617794</v>
      </c>
      <c r="I26" s="48">
        <f t="shared" si="6"/>
        <v>2.6310941155205931</v>
      </c>
      <c r="J26" s="66">
        <f t="shared" si="7"/>
        <v>10.524376462082373</v>
      </c>
      <c r="K26" s="73">
        <f t="shared" ca="1" si="8"/>
        <v>0.65670153271690868</v>
      </c>
      <c r="L26" s="99">
        <v>0.92851285418772889</v>
      </c>
      <c r="M26" s="101">
        <f t="shared" si="9"/>
        <v>4.4999999999999997E-3</v>
      </c>
      <c r="N26" s="99">
        <f t="shared" ca="1" si="10"/>
        <v>0</v>
      </c>
      <c r="O26" s="99"/>
      <c r="P26" s="102"/>
      <c r="Q26" s="105">
        <f t="shared" ca="1" si="11"/>
        <v>0.96485372808214453</v>
      </c>
      <c r="R26" s="75" t="s">
        <v>71</v>
      </c>
      <c r="S26" s="66">
        <v>6</v>
      </c>
      <c r="T26" s="96" t="s">
        <v>48</v>
      </c>
      <c r="U26" s="63"/>
      <c r="V26" s="63"/>
    </row>
    <row r="27" spans="2:24" ht="15" customHeight="1" x14ac:dyDescent="0.2">
      <c r="B27" s="50" t="s">
        <v>73</v>
      </c>
      <c r="C27" s="73">
        <f t="shared" si="4"/>
        <v>0.75</v>
      </c>
      <c r="D27" s="299"/>
      <c r="E27" s="45">
        <v>0.75</v>
      </c>
      <c r="F27" s="74">
        <v>0.5</v>
      </c>
      <c r="G27" s="74">
        <v>1</v>
      </c>
      <c r="H27" s="48">
        <f t="shared" si="5"/>
        <v>7.8932823465617794</v>
      </c>
      <c r="I27" s="48">
        <f t="shared" si="6"/>
        <v>2.6310941155205931</v>
      </c>
      <c r="J27" s="66">
        <f t="shared" si="7"/>
        <v>10.524376462082373</v>
      </c>
      <c r="K27" s="73">
        <f t="shared" ca="1" si="8"/>
        <v>0.79142772087551339</v>
      </c>
      <c r="L27" s="99">
        <v>0.80327865317282332</v>
      </c>
      <c r="M27" s="101">
        <f t="shared" si="9"/>
        <v>4.9500000000000004E-3</v>
      </c>
      <c r="N27" s="99">
        <f t="shared" ca="1" si="10"/>
        <v>0</v>
      </c>
      <c r="O27" s="99"/>
      <c r="P27" s="102"/>
      <c r="Q27" s="105">
        <f t="shared" ca="1" si="11"/>
        <v>0.86448175419379281</v>
      </c>
      <c r="R27" s="75" t="s">
        <v>71</v>
      </c>
      <c r="S27" s="66">
        <v>7</v>
      </c>
      <c r="T27" s="96" t="s">
        <v>48</v>
      </c>
      <c r="U27" s="63"/>
      <c r="V27" s="63"/>
    </row>
    <row r="28" spans="2:24" ht="15" customHeight="1" x14ac:dyDescent="0.2">
      <c r="B28" s="50" t="s">
        <v>74</v>
      </c>
      <c r="C28" s="73">
        <f t="shared" si="4"/>
        <v>0.75</v>
      </c>
      <c r="D28" s="299"/>
      <c r="E28" s="45">
        <v>0.75</v>
      </c>
      <c r="F28" s="74">
        <v>0.5</v>
      </c>
      <c r="G28" s="74">
        <v>1</v>
      </c>
      <c r="H28" s="48">
        <f t="shared" si="5"/>
        <v>7.8932823465617794</v>
      </c>
      <c r="I28" s="48">
        <f t="shared" si="6"/>
        <v>2.6310941155205931</v>
      </c>
      <c r="J28" s="66">
        <f t="shared" si="7"/>
        <v>10.524376462082373</v>
      </c>
      <c r="K28" s="73">
        <f t="shared" ca="1" si="8"/>
        <v>0.83597579821165313</v>
      </c>
      <c r="L28" s="99">
        <v>0.70916522564710338</v>
      </c>
      <c r="M28" s="101">
        <f t="shared" si="9"/>
        <v>2E-3</v>
      </c>
      <c r="N28" s="99">
        <f t="shared" ca="1" si="10"/>
        <v>0</v>
      </c>
      <c r="O28" s="99"/>
      <c r="P28" s="102"/>
      <c r="Q28" s="105">
        <f t="shared" ca="1" si="11"/>
        <v>0.62005566600749995</v>
      </c>
      <c r="R28" s="75" t="s">
        <v>71</v>
      </c>
      <c r="S28" s="66">
        <v>8</v>
      </c>
      <c r="T28" s="96" t="s">
        <v>48</v>
      </c>
      <c r="U28" s="63"/>
      <c r="V28" s="63"/>
    </row>
    <row r="29" spans="2:24" ht="15" customHeight="1" x14ac:dyDescent="0.2">
      <c r="B29" s="50" t="s">
        <v>75</v>
      </c>
      <c r="C29" s="73">
        <f t="shared" si="4"/>
        <v>0.75</v>
      </c>
      <c r="D29" s="299"/>
      <c r="E29" s="45">
        <v>0.75</v>
      </c>
      <c r="F29" s="74">
        <v>0.5</v>
      </c>
      <c r="G29" s="74">
        <v>1</v>
      </c>
      <c r="H29" s="48">
        <f t="shared" si="5"/>
        <v>7.8932823465617794</v>
      </c>
      <c r="I29" s="48">
        <f t="shared" si="6"/>
        <v>2.6310941155205931</v>
      </c>
      <c r="J29" s="66">
        <f t="shared" si="7"/>
        <v>10.524376462082373</v>
      </c>
      <c r="K29" s="73">
        <f t="shared" ca="1" si="8"/>
        <v>0.92046017784031053</v>
      </c>
      <c r="L29" s="99">
        <v>0.74243695803506915</v>
      </c>
      <c r="M29" s="101">
        <f t="shared" si="9"/>
        <v>2E-3</v>
      </c>
      <c r="N29" s="99">
        <f t="shared" ca="1" si="10"/>
        <v>0</v>
      </c>
      <c r="O29" s="99"/>
      <c r="P29" s="102"/>
      <c r="Q29" s="105">
        <f t="shared" ca="1" si="11"/>
        <v>0.62897762057977635</v>
      </c>
      <c r="R29" s="75" t="s">
        <v>71</v>
      </c>
      <c r="S29" s="66">
        <v>9</v>
      </c>
      <c r="T29" s="96" t="s">
        <v>48</v>
      </c>
      <c r="U29" s="63"/>
      <c r="V29" s="63"/>
    </row>
    <row r="30" spans="2:24" ht="15" customHeight="1" x14ac:dyDescent="0.2">
      <c r="B30" s="50" t="s">
        <v>76</v>
      </c>
      <c r="C30" s="73">
        <f t="shared" si="4"/>
        <v>0.75</v>
      </c>
      <c r="D30" s="299"/>
      <c r="E30" s="45">
        <v>0.75</v>
      </c>
      <c r="F30" s="74">
        <v>0.5</v>
      </c>
      <c r="G30" s="74">
        <v>1</v>
      </c>
      <c r="H30" s="48">
        <f t="shared" si="5"/>
        <v>7.8932823465617794</v>
      </c>
      <c r="I30" s="48">
        <f t="shared" si="6"/>
        <v>2.6310941155205931</v>
      </c>
      <c r="J30" s="66">
        <f t="shared" si="7"/>
        <v>10.524376462082373</v>
      </c>
      <c r="K30" s="73">
        <f t="shared" ca="1" si="8"/>
        <v>0.76250210339672919</v>
      </c>
      <c r="L30" s="99">
        <v>0.63649398566504967</v>
      </c>
      <c r="M30" s="101">
        <f t="shared" si="9"/>
        <v>3.4099999999999998E-3</v>
      </c>
      <c r="N30" s="99">
        <f t="shared" ca="1" si="10"/>
        <v>0</v>
      </c>
      <c r="O30" s="99"/>
      <c r="P30" s="102"/>
      <c r="Q30" s="105">
        <f t="shared" ca="1" si="11"/>
        <v>0.76666201224397756</v>
      </c>
      <c r="R30" s="75" t="s">
        <v>71</v>
      </c>
      <c r="S30" s="66">
        <v>10</v>
      </c>
      <c r="T30" s="96" t="s">
        <v>48</v>
      </c>
      <c r="U30" s="63"/>
      <c r="V30" s="63"/>
    </row>
    <row r="31" spans="2:24" ht="15" customHeight="1" x14ac:dyDescent="0.2">
      <c r="B31" s="50" t="s">
        <v>77</v>
      </c>
      <c r="C31" s="73">
        <f t="shared" si="4"/>
        <v>0.75</v>
      </c>
      <c r="D31" s="299"/>
      <c r="E31" s="45">
        <v>0.75</v>
      </c>
      <c r="F31" s="74">
        <v>0.5</v>
      </c>
      <c r="G31" s="74">
        <v>1</v>
      </c>
      <c r="H31" s="48">
        <f t="shared" si="5"/>
        <v>7.8932823465617794</v>
      </c>
      <c r="I31" s="48">
        <f t="shared" si="6"/>
        <v>2.6310941155205931</v>
      </c>
      <c r="J31" s="66">
        <f t="shared" si="7"/>
        <v>10.524376462082373</v>
      </c>
      <c r="K31" s="73">
        <f t="shared" ca="1" si="8"/>
        <v>0.70818907408188214</v>
      </c>
      <c r="L31" s="99">
        <v>0.8559106034068612</v>
      </c>
      <c r="M31" s="101">
        <f t="shared" si="9"/>
        <v>4.0000000000000002E-4</v>
      </c>
      <c r="N31" s="99">
        <f t="shared" ca="1" si="10"/>
        <v>0</v>
      </c>
      <c r="O31" s="99"/>
      <c r="P31" s="102"/>
      <c r="Q31" s="105">
        <f t="shared" ca="1" si="11"/>
        <v>0.77550575010560163</v>
      </c>
      <c r="R31" s="75" t="s">
        <v>71</v>
      </c>
      <c r="S31" s="66">
        <v>11</v>
      </c>
      <c r="T31" s="96" t="s">
        <v>48</v>
      </c>
      <c r="U31" s="63"/>
      <c r="V31" s="63"/>
    </row>
    <row r="32" spans="2:24" ht="15" customHeight="1" x14ac:dyDescent="0.2">
      <c r="B32" s="50" t="s">
        <v>78</v>
      </c>
      <c r="C32" s="73">
        <f t="shared" si="4"/>
        <v>0.75</v>
      </c>
      <c r="D32" s="299"/>
      <c r="E32" s="45">
        <v>0.75</v>
      </c>
      <c r="F32" s="74">
        <v>0.5</v>
      </c>
      <c r="G32" s="74">
        <v>1</v>
      </c>
      <c r="H32" s="48">
        <f t="shared" si="5"/>
        <v>7.8932823465617794</v>
      </c>
      <c r="I32" s="48">
        <f t="shared" si="6"/>
        <v>2.6310941155205931</v>
      </c>
      <c r="J32" s="66">
        <f t="shared" si="7"/>
        <v>10.524376462082373</v>
      </c>
      <c r="K32" s="73">
        <f t="shared" ca="1" si="8"/>
        <v>0.67440070181890865</v>
      </c>
      <c r="L32" s="99">
        <v>0.61517319781240543</v>
      </c>
      <c r="M32" s="101">
        <f t="shared" si="9"/>
        <v>4.4999999999999999E-4</v>
      </c>
      <c r="N32" s="99">
        <f t="shared" ca="1" si="10"/>
        <v>0</v>
      </c>
      <c r="O32" s="99"/>
      <c r="P32" s="102"/>
      <c r="Q32" s="105">
        <f t="shared" ca="1" si="11"/>
        <v>0.88100963792020404</v>
      </c>
      <c r="R32" s="75" t="s">
        <v>71</v>
      </c>
      <c r="S32" s="66">
        <v>12</v>
      </c>
      <c r="T32" s="96" t="s">
        <v>48</v>
      </c>
      <c r="U32" s="63"/>
      <c r="V32" s="63"/>
    </row>
    <row r="33" spans="2:22" ht="15" customHeight="1" x14ac:dyDescent="0.2">
      <c r="B33" s="50"/>
      <c r="C33" s="76">
        <f>Q33</f>
        <v>0</v>
      </c>
      <c r="D33" s="76"/>
      <c r="E33" s="45"/>
      <c r="F33" s="74"/>
      <c r="G33" s="74"/>
      <c r="H33" s="77"/>
      <c r="I33" s="48"/>
      <c r="J33" s="66"/>
      <c r="K33" s="73"/>
      <c r="L33" s="99"/>
      <c r="M33" s="99"/>
      <c r="N33" s="99"/>
      <c r="O33" s="99"/>
      <c r="P33" s="99"/>
      <c r="Q33" s="105"/>
      <c r="R33" s="75"/>
      <c r="S33" s="66"/>
      <c r="T33" s="88"/>
      <c r="U33" s="63"/>
      <c r="V33" s="63"/>
    </row>
    <row r="34" spans="2:22" ht="15" customHeight="1" x14ac:dyDescent="0.25">
      <c r="B34" s="91" t="s">
        <v>80</v>
      </c>
      <c r="C34" s="69"/>
      <c r="D34" s="69"/>
      <c r="E34" s="64"/>
      <c r="F34" s="56"/>
      <c r="G34" s="56"/>
      <c r="H34" s="49"/>
      <c r="I34" s="49"/>
      <c r="J34" s="49"/>
      <c r="K34" s="49"/>
      <c r="L34" s="99"/>
      <c r="M34" s="100"/>
      <c r="N34" s="99"/>
      <c r="O34" s="99"/>
      <c r="P34" s="58"/>
      <c r="Q34" s="97"/>
      <c r="R34" s="49"/>
      <c r="S34" s="49"/>
      <c r="T34" s="49"/>
      <c r="U34" s="63"/>
      <c r="V34" s="63"/>
    </row>
    <row r="35" spans="2:22" ht="15" customHeight="1" x14ac:dyDescent="0.2">
      <c r="B35" s="50" t="s">
        <v>70</v>
      </c>
      <c r="C35" s="73">
        <f t="shared" ref="C35:C42" si="12">IF(OR(evsi_n&gt;0,psa),K35,IF(owsa_low=S35,F35,IF(owsa_high=S35,G35,IF(ISNUMBER(D35),D35,E35))))</f>
        <v>0.875</v>
      </c>
      <c r="D35" s="299"/>
      <c r="E35" s="45">
        <v>0.875</v>
      </c>
      <c r="F35" s="74">
        <v>0.67519381083910135</v>
      </c>
      <c r="G35" s="74">
        <v>1</v>
      </c>
      <c r="H35" s="48">
        <f t="shared" ref="H35:H42" si="13">E35^2*(1-E35)/((G35-F35)/(2*z))^2-E35</f>
        <v>13.064066827584329</v>
      </c>
      <c r="I35" s="48">
        <f t="shared" ref="I35:I42" si="14">(E35^2*(1-E35)/((G35-F35)/(2*z))^2-E35)*(1-E35)/E35</f>
        <v>1.8662952610834755</v>
      </c>
      <c r="J35" s="66">
        <f t="shared" ref="J35:J42" si="15">H35+I35</f>
        <v>14.930362088667804</v>
      </c>
      <c r="K35" s="73">
        <f t="shared" ref="K35:K42" ca="1" si="16">1-_xlfn.BETA.INV(RAND(),H35,I35)</f>
        <v>0.2605509596919503</v>
      </c>
      <c r="L35" s="99">
        <v>0.9249218726696129</v>
      </c>
      <c r="M35" s="101">
        <f t="shared" ref="M35:M42" si="17">E45</f>
        <v>8.8999999999999995E-4</v>
      </c>
      <c r="N35" s="99">
        <f t="shared" ref="N35:N42" ca="1" si="18">_xlfn.BINOM.INV(evsi_n*M35,L35,RAND())</f>
        <v>0</v>
      </c>
      <c r="O35" s="102"/>
      <c r="P35" s="58"/>
      <c r="Q35" s="105">
        <f t="shared" ref="Q35:Q42" ca="1" si="19">_xlfn.BETA.INV(RAND(),(H35+N35),((J35-H35)+(evsi_n*M35-N35)))</f>
        <v>0.75232590635095753</v>
      </c>
      <c r="R35" s="75" t="s">
        <v>71</v>
      </c>
      <c r="S35" s="66">
        <v>13</v>
      </c>
      <c r="T35" s="96" t="s">
        <v>48</v>
      </c>
      <c r="U35" s="63"/>
      <c r="V35" s="63"/>
    </row>
    <row r="36" spans="2:22" ht="15" customHeight="1" x14ac:dyDescent="0.2">
      <c r="B36" s="50" t="s">
        <v>72</v>
      </c>
      <c r="C36" s="73">
        <f t="shared" si="12"/>
        <v>0.875</v>
      </c>
      <c r="D36" s="299"/>
      <c r="E36" s="45">
        <v>0.875</v>
      </c>
      <c r="F36" s="74">
        <v>0.67519381083910135</v>
      </c>
      <c r="G36" s="74">
        <v>1</v>
      </c>
      <c r="H36" s="48">
        <f t="shared" si="13"/>
        <v>13.064066827584329</v>
      </c>
      <c r="I36" s="48">
        <f t="shared" si="14"/>
        <v>1.8662952610834755</v>
      </c>
      <c r="J36" s="66">
        <f t="shared" si="15"/>
        <v>14.930362088667804</v>
      </c>
      <c r="K36" s="73">
        <f t="shared" ca="1" si="16"/>
        <v>0.10819868062690052</v>
      </c>
      <c r="L36" s="99">
        <v>0.72871427548606005</v>
      </c>
      <c r="M36" s="101">
        <f t="shared" si="17"/>
        <v>4.4999999999999997E-3</v>
      </c>
      <c r="N36" s="99">
        <f t="shared" ca="1" si="18"/>
        <v>0</v>
      </c>
      <c r="O36" s="102"/>
      <c r="P36" s="58"/>
      <c r="Q36" s="105">
        <f t="shared" ca="1" si="19"/>
        <v>0.82643062102208786</v>
      </c>
      <c r="R36" s="75" t="s">
        <v>71</v>
      </c>
      <c r="S36" s="66">
        <v>14</v>
      </c>
      <c r="T36" s="96" t="s">
        <v>48</v>
      </c>
      <c r="U36" s="63"/>
      <c r="V36" s="63"/>
    </row>
    <row r="37" spans="2:22" ht="15" customHeight="1" x14ac:dyDescent="0.2">
      <c r="B37" s="50" t="s">
        <v>73</v>
      </c>
      <c r="C37" s="73">
        <f t="shared" si="12"/>
        <v>0.875</v>
      </c>
      <c r="D37" s="299"/>
      <c r="E37" s="45">
        <v>0.875</v>
      </c>
      <c r="F37" s="74">
        <v>0.67519381083910135</v>
      </c>
      <c r="G37" s="74">
        <v>1</v>
      </c>
      <c r="H37" s="48">
        <f t="shared" si="13"/>
        <v>13.064066827584329</v>
      </c>
      <c r="I37" s="48">
        <f t="shared" si="14"/>
        <v>1.8662952610834755</v>
      </c>
      <c r="J37" s="66">
        <f t="shared" si="15"/>
        <v>14.930362088667804</v>
      </c>
      <c r="K37" s="73">
        <f t="shared" ca="1" si="16"/>
        <v>0.22101087906206396</v>
      </c>
      <c r="L37" s="99">
        <v>0.81809362704395117</v>
      </c>
      <c r="M37" s="101">
        <f t="shared" si="17"/>
        <v>4.9500000000000004E-3</v>
      </c>
      <c r="N37" s="99">
        <f t="shared" ca="1" si="18"/>
        <v>0</v>
      </c>
      <c r="O37" s="102"/>
      <c r="P37" s="58"/>
      <c r="Q37" s="105">
        <f t="shared" ca="1" si="19"/>
        <v>0.85654717238557998</v>
      </c>
      <c r="R37" s="75" t="s">
        <v>71</v>
      </c>
      <c r="S37" s="66">
        <v>15</v>
      </c>
      <c r="T37" s="96" t="s">
        <v>48</v>
      </c>
      <c r="U37" s="63"/>
      <c r="V37" s="63"/>
    </row>
    <row r="38" spans="2:22" ht="15" customHeight="1" x14ac:dyDescent="0.2">
      <c r="B38" s="50" t="s">
        <v>74</v>
      </c>
      <c r="C38" s="73">
        <f t="shared" si="12"/>
        <v>0.875</v>
      </c>
      <c r="D38" s="299"/>
      <c r="E38" s="45">
        <v>0.875</v>
      </c>
      <c r="F38" s="74">
        <v>0.67519381083910135</v>
      </c>
      <c r="G38" s="74">
        <v>1</v>
      </c>
      <c r="H38" s="48">
        <f t="shared" si="13"/>
        <v>13.064066827584329</v>
      </c>
      <c r="I38" s="48">
        <f t="shared" si="14"/>
        <v>1.8662952610834755</v>
      </c>
      <c r="J38" s="66">
        <f t="shared" si="15"/>
        <v>14.930362088667804</v>
      </c>
      <c r="K38" s="73">
        <f t="shared" ca="1" si="16"/>
        <v>8.9737791246108811E-2</v>
      </c>
      <c r="L38" s="99">
        <v>0.68995966680980336</v>
      </c>
      <c r="M38" s="101">
        <f t="shared" si="17"/>
        <v>2E-3</v>
      </c>
      <c r="N38" s="99">
        <f t="shared" ca="1" si="18"/>
        <v>0</v>
      </c>
      <c r="O38" s="102"/>
      <c r="P38" s="58"/>
      <c r="Q38" s="105">
        <f t="shared" ca="1" si="19"/>
        <v>0.83170575731837026</v>
      </c>
      <c r="R38" s="75" t="s">
        <v>71</v>
      </c>
      <c r="S38" s="66">
        <v>16</v>
      </c>
      <c r="T38" s="96" t="s">
        <v>48</v>
      </c>
      <c r="U38" s="63"/>
      <c r="V38" s="63"/>
    </row>
    <row r="39" spans="2:22" ht="15" customHeight="1" x14ac:dyDescent="0.2">
      <c r="B39" s="50" t="s">
        <v>75</v>
      </c>
      <c r="C39" s="73">
        <f t="shared" si="12"/>
        <v>0.875</v>
      </c>
      <c r="D39" s="299"/>
      <c r="E39" s="45">
        <v>0.875</v>
      </c>
      <c r="F39" s="74">
        <v>0.67519381083910135</v>
      </c>
      <c r="G39" s="74">
        <v>1</v>
      </c>
      <c r="H39" s="48">
        <f t="shared" si="13"/>
        <v>13.064066827584329</v>
      </c>
      <c r="I39" s="48">
        <f t="shared" si="14"/>
        <v>1.8662952610834755</v>
      </c>
      <c r="J39" s="66">
        <f t="shared" si="15"/>
        <v>14.930362088667804</v>
      </c>
      <c r="K39" s="73">
        <f t="shared" ca="1" si="16"/>
        <v>0.21370351227609974</v>
      </c>
      <c r="L39" s="99">
        <v>0.83329030861425812</v>
      </c>
      <c r="M39" s="101">
        <f t="shared" si="17"/>
        <v>2E-3</v>
      </c>
      <c r="N39" s="99">
        <f t="shared" ca="1" si="18"/>
        <v>0</v>
      </c>
      <c r="O39" s="102"/>
      <c r="P39" s="58"/>
      <c r="Q39" s="105">
        <f t="shared" ca="1" si="19"/>
        <v>0.6987999117342899</v>
      </c>
      <c r="R39" s="75" t="s">
        <v>71</v>
      </c>
      <c r="S39" s="66">
        <v>17</v>
      </c>
      <c r="T39" s="96" t="s">
        <v>48</v>
      </c>
      <c r="U39" s="63"/>
      <c r="V39" s="63"/>
    </row>
    <row r="40" spans="2:22" ht="15" customHeight="1" x14ac:dyDescent="0.2">
      <c r="B40" s="50" t="s">
        <v>76</v>
      </c>
      <c r="C40" s="73">
        <f t="shared" si="12"/>
        <v>0.875</v>
      </c>
      <c r="D40" s="299"/>
      <c r="E40" s="45">
        <v>0.875</v>
      </c>
      <c r="F40" s="74">
        <v>0.67519381083910135</v>
      </c>
      <c r="G40" s="74">
        <v>1</v>
      </c>
      <c r="H40" s="48">
        <f t="shared" si="13"/>
        <v>13.064066827584329</v>
      </c>
      <c r="I40" s="48">
        <f t="shared" si="14"/>
        <v>1.8662952610834755</v>
      </c>
      <c r="J40" s="66">
        <f t="shared" si="15"/>
        <v>14.930362088667804</v>
      </c>
      <c r="K40" s="73">
        <f t="shared" ca="1" si="16"/>
        <v>7.5008240072687471E-2</v>
      </c>
      <c r="L40" s="99">
        <v>0.74369836217132901</v>
      </c>
      <c r="M40" s="101">
        <f t="shared" si="17"/>
        <v>3.4099999999999998E-3</v>
      </c>
      <c r="N40" s="99">
        <f t="shared" ca="1" si="18"/>
        <v>0</v>
      </c>
      <c r="O40" s="102"/>
      <c r="P40" s="58"/>
      <c r="Q40" s="105">
        <f t="shared" ca="1" si="19"/>
        <v>0.73308678170446062</v>
      </c>
      <c r="R40" s="75" t="s">
        <v>71</v>
      </c>
      <c r="S40" s="66">
        <v>18</v>
      </c>
      <c r="T40" s="96" t="s">
        <v>48</v>
      </c>
      <c r="U40" s="63"/>
      <c r="V40" s="63"/>
    </row>
    <row r="41" spans="2:22" ht="15" customHeight="1" x14ac:dyDescent="0.2">
      <c r="B41" s="50" t="s">
        <v>77</v>
      </c>
      <c r="C41" s="73">
        <f t="shared" si="12"/>
        <v>0.875</v>
      </c>
      <c r="D41" s="299"/>
      <c r="E41" s="45">
        <v>0.875</v>
      </c>
      <c r="F41" s="74">
        <v>0.67519381083910135</v>
      </c>
      <c r="G41" s="74">
        <v>1</v>
      </c>
      <c r="H41" s="48">
        <f t="shared" si="13"/>
        <v>13.064066827584329</v>
      </c>
      <c r="I41" s="48">
        <f t="shared" si="14"/>
        <v>1.8662952610834755</v>
      </c>
      <c r="J41" s="66">
        <f t="shared" si="15"/>
        <v>14.930362088667804</v>
      </c>
      <c r="K41" s="73">
        <f t="shared" ca="1" si="16"/>
        <v>9.1896340475310145E-2</v>
      </c>
      <c r="L41" s="99">
        <v>0.81555620536628992</v>
      </c>
      <c r="M41" s="101">
        <f t="shared" si="17"/>
        <v>4.0000000000000002E-4</v>
      </c>
      <c r="N41" s="99">
        <f t="shared" ca="1" si="18"/>
        <v>0</v>
      </c>
      <c r="O41" s="102"/>
      <c r="P41" s="58"/>
      <c r="Q41" s="105">
        <f t="shared" ca="1" si="19"/>
        <v>0.97163729756109485</v>
      </c>
      <c r="R41" s="75" t="s">
        <v>71</v>
      </c>
      <c r="S41" s="66">
        <v>19</v>
      </c>
      <c r="T41" s="96" t="s">
        <v>48</v>
      </c>
      <c r="U41" s="63"/>
      <c r="V41" s="63"/>
    </row>
    <row r="42" spans="2:22" ht="15" customHeight="1" x14ac:dyDescent="0.2">
      <c r="B42" s="50" t="s">
        <v>78</v>
      </c>
      <c r="C42" s="73">
        <f t="shared" si="12"/>
        <v>0.875</v>
      </c>
      <c r="D42" s="299"/>
      <c r="E42" s="45">
        <v>0.875</v>
      </c>
      <c r="F42" s="74">
        <v>0.67519381083910135</v>
      </c>
      <c r="G42" s="74">
        <v>1</v>
      </c>
      <c r="H42" s="48">
        <f t="shared" si="13"/>
        <v>13.064066827584329</v>
      </c>
      <c r="I42" s="48">
        <f t="shared" si="14"/>
        <v>1.8662952610834755</v>
      </c>
      <c r="J42" s="66">
        <f t="shared" si="15"/>
        <v>14.930362088667804</v>
      </c>
      <c r="K42" s="73">
        <f t="shared" ca="1" si="16"/>
        <v>0.15977501180341425</v>
      </c>
      <c r="L42" s="99">
        <v>0.98851448140680076</v>
      </c>
      <c r="M42" s="101">
        <f t="shared" si="17"/>
        <v>4.4999999999999999E-4</v>
      </c>
      <c r="N42" s="99">
        <f t="shared" ca="1" si="18"/>
        <v>0</v>
      </c>
      <c r="O42" s="102"/>
      <c r="P42" s="58"/>
      <c r="Q42" s="105">
        <f t="shared" ca="1" si="19"/>
        <v>0.9024600989917454</v>
      </c>
      <c r="R42" s="75" t="s">
        <v>71</v>
      </c>
      <c r="S42" s="66">
        <v>20</v>
      </c>
      <c r="T42" s="96" t="s">
        <v>48</v>
      </c>
      <c r="U42" s="63"/>
      <c r="V42" s="63"/>
    </row>
    <row r="43" spans="2:22" ht="15" customHeight="1" x14ac:dyDescent="0.2">
      <c r="B43" s="50"/>
      <c r="C43" s="73"/>
      <c r="D43" s="73"/>
      <c r="E43" s="83"/>
      <c r="F43" s="74"/>
      <c r="G43" s="74"/>
      <c r="H43" s="48"/>
      <c r="I43" s="48"/>
      <c r="J43" s="66"/>
      <c r="K43" s="73"/>
      <c r="L43" s="99"/>
      <c r="M43" s="101"/>
      <c r="N43" s="99"/>
      <c r="O43" s="102"/>
      <c r="P43" s="99"/>
      <c r="Q43" s="105"/>
      <c r="R43" s="75"/>
      <c r="S43" s="66"/>
      <c r="T43" s="88"/>
      <c r="U43" s="63"/>
      <c r="V43" s="63"/>
    </row>
    <row r="44" spans="2:22" ht="15" customHeight="1" x14ac:dyDescent="0.25">
      <c r="B44" s="91" t="s">
        <v>79</v>
      </c>
      <c r="C44" s="48"/>
      <c r="D44" s="48"/>
      <c r="E44" s="64"/>
      <c r="F44" s="56"/>
      <c r="G44" s="56"/>
      <c r="H44" s="49"/>
      <c r="I44" s="49"/>
      <c r="J44" s="49"/>
      <c r="K44" s="49"/>
      <c r="L44" s="99"/>
      <c r="M44" s="99"/>
      <c r="N44" s="99"/>
      <c r="O44" s="97"/>
      <c r="P44" s="97"/>
      <c r="Q44" s="97"/>
      <c r="R44" s="49"/>
      <c r="S44" s="49"/>
      <c r="T44" s="49"/>
      <c r="U44" s="63"/>
      <c r="V44" s="63"/>
    </row>
    <row r="45" spans="2:22" ht="15" customHeight="1" x14ac:dyDescent="0.2">
      <c r="B45" s="50" t="s">
        <v>70</v>
      </c>
      <c r="C45" s="46">
        <f t="shared" ref="C45:C52" si="20">IF(OR(evsi_n&gt;0,psa),K45,IF(owsa_low=S45,F45,IF(owsa_high=S45,G45,IF(ISNUMBER(D45),D45,E45))))</f>
        <v>8.8999999999999995E-4</v>
      </c>
      <c r="D45" s="300"/>
      <c r="E45" s="59">
        <v>8.8999999999999995E-4</v>
      </c>
      <c r="F45" s="47">
        <f>IF(IF(ISNUMBER(D45),D45,E45)-(SQRT(IF(ISNUMBER(D45),D45,E45)*(1-IF(ISNUMBER(D45),D45,E45))/J45)*z)&lt;0,0,IF(ISNUMBER(D45),D45,E45)-(SQRT(IF(ISNUMBER(D45),D45,E45)*(1-IF(ISNUMBER(D45),D45,E45))/J45)*z))</f>
        <v>7.0517966749067081E-4</v>
      </c>
      <c r="G45" s="47">
        <f>IF(IF(ISNUMBER(D45),D45,E45)+(SQRT(IF(ISNUMBER(D45),D45,E45)*(1-IF(ISNUMBER(D45),D45,E45))/J45)*z)&gt;1,1,IF(ISNUMBER(D45),D45,E45)+(SQRT(IF(ISNUMBER(D45),D45,E45)*(1-IF(ISNUMBER(D45),D45,E45))/J45)*z))</f>
        <v>1.0748203325093291E-3</v>
      </c>
      <c r="H45" s="67">
        <f t="shared" ref="H45:H52" si="21">E45*J45</f>
        <v>89</v>
      </c>
      <c r="I45" s="48">
        <f t="shared" ref="I45:I52" si="22">J45-H45</f>
        <v>99911</v>
      </c>
      <c r="J45" s="48">
        <v>100000</v>
      </c>
      <c r="K45" s="46">
        <f t="shared" ref="K45:K52" ca="1" si="23">IFERROR(_xlfn.BETA.INV(RAND(),H45,I45),0)</f>
        <v>9.2948777327661602E-4</v>
      </c>
      <c r="L45" s="99">
        <v>7.7780691817191364E-4</v>
      </c>
      <c r="M45" s="99"/>
      <c r="N45" s="99">
        <f t="shared" ref="N45:N52" ca="1" si="24">_xlfn.BINOM.INV(evsi_n,L45,RAND())</f>
        <v>0</v>
      </c>
      <c r="O45" s="99"/>
      <c r="P45" s="99"/>
      <c r="Q45" s="103">
        <f t="shared" ref="Q45:Q52" ca="1" si="25">_xlfn.BETA.INV(RAND(),(H45+N45),(J45+evsi_n))</f>
        <v>8.2806532915655066E-4</v>
      </c>
      <c r="R45" s="49" t="s">
        <v>71</v>
      </c>
      <c r="S45" s="66">
        <v>21</v>
      </c>
      <c r="T45" s="89" t="s">
        <v>87</v>
      </c>
      <c r="U45" s="63"/>
      <c r="V45" s="63"/>
    </row>
    <row r="46" spans="2:22" ht="15" customHeight="1" x14ac:dyDescent="0.2">
      <c r="B46" s="92" t="s">
        <v>72</v>
      </c>
      <c r="C46" s="46">
        <f t="shared" si="20"/>
        <v>4.4999999999999997E-3</v>
      </c>
      <c r="D46" s="300"/>
      <c r="E46" s="59">
        <v>4.4999999999999997E-3</v>
      </c>
      <c r="F46" s="47">
        <f>IF(IF(ISNUMBER(D46),D46,E46)-(SQRT(IF(ISNUMBER(D46),D46,E46)*(1-IF(ISNUMBER(D46),D46,E46))/J46)*z)&lt;0,0,IF(ISNUMBER(D46),D46,E46)-(SQRT(IF(ISNUMBER(D46),D46,E46)*(1-IF(ISNUMBER(D46),D46,E46))/J46)*z))</f>
        <v>4.0851653925718769E-3</v>
      </c>
      <c r="G46" s="47">
        <f>IF(IF(ISNUMBER(D46),D46,E46)+(SQRT(IF(ISNUMBER(D46),D46,E46)*(1-IF(ISNUMBER(D46),D46,E46))/J46)*z)&gt;1,1,IF(ISNUMBER(D46),D46,E46)+(SQRT(IF(ISNUMBER(D46),D46,E46)*(1-IF(ISNUMBER(D46),D46,E46))/J46)*z))</f>
        <v>4.9148346074281224E-3</v>
      </c>
      <c r="H46" s="67">
        <f t="shared" si="21"/>
        <v>449.99999999999994</v>
      </c>
      <c r="I46" s="48">
        <f t="shared" si="22"/>
        <v>99550</v>
      </c>
      <c r="J46" s="48">
        <v>100000</v>
      </c>
      <c r="K46" s="46">
        <f t="shared" ca="1" si="23"/>
        <v>3.948499677536051E-3</v>
      </c>
      <c r="L46" s="99">
        <v>4.1605886078531157E-3</v>
      </c>
      <c r="M46" s="99"/>
      <c r="N46" s="99">
        <f t="shared" ca="1" si="24"/>
        <v>0</v>
      </c>
      <c r="O46" s="99"/>
      <c r="P46" s="99"/>
      <c r="Q46" s="103">
        <f t="shared" ca="1" si="25"/>
        <v>4.4960546246703981E-3</v>
      </c>
      <c r="R46" s="49" t="s">
        <v>71</v>
      </c>
      <c r="S46" s="66">
        <v>22</v>
      </c>
      <c r="T46" s="89" t="s">
        <v>87</v>
      </c>
      <c r="U46" s="63"/>
      <c r="V46" s="63"/>
    </row>
    <row r="47" spans="2:22" ht="15" customHeight="1" x14ac:dyDescent="0.2">
      <c r="B47" s="50" t="s">
        <v>73</v>
      </c>
      <c r="C47" s="46">
        <f t="shared" si="20"/>
        <v>0.1</v>
      </c>
      <c r="D47" s="300">
        <v>0.1</v>
      </c>
      <c r="E47" s="59">
        <v>4.9500000000000004E-3</v>
      </c>
      <c r="F47" s="47">
        <f>IF(IF(ISNUMBER(D47),D47,E47)-(SQRT(IF(ISNUMBER(D47),D47,E47)*(1-IF(ISNUMBER(D47),D47,E47))/J47)*z)&lt;0,0,IF(ISNUMBER(D47),D47,E47)-(SQRT(IF(ISNUMBER(D47),D47,E47)*(1-IF(ISNUMBER(D47),D47,E47))/J47)*z))</f>
        <v>9.8140614903086315E-2</v>
      </c>
      <c r="G47" s="47">
        <f>IF(IF(ISNUMBER(D47),D47,E47)+(SQRT(IF(ISNUMBER(D47),D47,E47)*(1-IF(ISNUMBER(D47),D47,E47))/J47)*z)&gt;1,1,IF(ISNUMBER(D47),D47,E47)+(SQRT(IF(ISNUMBER(D47),D47,E47)*(1-IF(ISNUMBER(D47),D47,E47))/J47)*z))</f>
        <v>0.1018593850969137</v>
      </c>
      <c r="H47" s="67">
        <f>IF(ISNUMBER(D47),D47,E47)*J47</f>
        <v>10000</v>
      </c>
      <c r="I47" s="48">
        <f t="shared" si="22"/>
        <v>90000</v>
      </c>
      <c r="J47" s="48">
        <v>100000</v>
      </c>
      <c r="K47" s="46">
        <f t="shared" ca="1" si="23"/>
        <v>0.10197638380121954</v>
      </c>
      <c r="L47" s="99">
        <v>5.0812566769422585E-3</v>
      </c>
      <c r="M47" s="99"/>
      <c r="N47" s="99">
        <f t="shared" ca="1" si="24"/>
        <v>0</v>
      </c>
      <c r="O47" s="99"/>
      <c r="P47" s="99"/>
      <c r="Q47" s="103">
        <f t="shared" ca="1" si="25"/>
        <v>9.0706285911543713E-2</v>
      </c>
      <c r="R47" s="49" t="s">
        <v>71</v>
      </c>
      <c r="S47" s="66">
        <v>23</v>
      </c>
      <c r="T47" s="89" t="s">
        <v>87</v>
      </c>
      <c r="U47" s="63"/>
      <c r="V47" s="63"/>
    </row>
    <row r="48" spans="2:22" ht="15" customHeight="1" x14ac:dyDescent="0.2">
      <c r="B48" s="50" t="s">
        <v>74</v>
      </c>
      <c r="C48" s="46">
        <f t="shared" si="20"/>
        <v>2E-3</v>
      </c>
      <c r="D48" s="300"/>
      <c r="E48" s="59">
        <v>2E-3</v>
      </c>
      <c r="F48" s="47">
        <f>IF(IF(ISNUMBER(D48),D48,E48)-(SQRT(IF(ISNUMBER(D48),D48,E48)*(1-IF(ISNUMBER(D48),D48,E48))/J48)*z)&lt;0,0,IF(ISNUMBER(D48),D48,E48)-(SQRT(IF(ISNUMBER(D48),D48,E48)*(1-IF(ISNUMBER(D48),D48,E48))/J48)*z))</f>
        <v>1.7230965546240807E-3</v>
      </c>
      <c r="G48" s="47">
        <f>IF(IF(ISNUMBER(D48),D48,E48)+(SQRT(IF(ISNUMBER(D48),D48,E48)*(1-IF(ISNUMBER(D48),D48,E48))/J48)*z)&gt;1,1,IF(ISNUMBER(D48),D48,E48)+(SQRT(IF(ISNUMBER(D48),D48,E48)*(1-IF(ISNUMBER(D48),D48,E48))/J48)*z))</f>
        <v>2.2769034453759191E-3</v>
      </c>
      <c r="H48" s="67">
        <f t="shared" si="21"/>
        <v>200</v>
      </c>
      <c r="I48" s="48">
        <f t="shared" si="22"/>
        <v>99800</v>
      </c>
      <c r="J48" s="48">
        <v>100000</v>
      </c>
      <c r="K48" s="46">
        <f t="shared" ca="1" si="23"/>
        <v>1.9256070820749267E-3</v>
      </c>
      <c r="L48" s="99">
        <v>1.9267383260110082E-3</v>
      </c>
      <c r="M48" s="99"/>
      <c r="N48" s="99">
        <f t="shared" ca="1" si="24"/>
        <v>0</v>
      </c>
      <c r="O48" s="99"/>
      <c r="P48" s="99"/>
      <c r="Q48" s="103">
        <f t="shared" ca="1" si="25"/>
        <v>2.1674816711940714E-3</v>
      </c>
      <c r="R48" s="49" t="s">
        <v>71</v>
      </c>
      <c r="S48" s="66">
        <v>24</v>
      </c>
      <c r="T48" s="89" t="s">
        <v>87</v>
      </c>
      <c r="U48" s="63"/>
      <c r="V48" s="63"/>
    </row>
    <row r="49" spans="2:24" ht="15" customHeight="1" x14ac:dyDescent="0.2">
      <c r="B49" s="50" t="s">
        <v>75</v>
      </c>
      <c r="C49" s="46">
        <f t="shared" si="20"/>
        <v>2E-3</v>
      </c>
      <c r="D49" s="300"/>
      <c r="E49" s="59">
        <v>2E-3</v>
      </c>
      <c r="F49" s="47">
        <f>IF(IF(ISNUMBER(D49),D49,E49)-(SQRT(IF(ISNUMBER(D49),D49,E49)*(1-IF(ISNUMBER(D49),D49,E49))/J49)*z)&lt;0,0,IF(ISNUMBER(D49),D49,E49)-(SQRT(IF(ISNUMBER(D49),D49,E49)*(1-IF(ISNUMBER(D49),D49,E49))/J49)*z))</f>
        <v>1.7230965546240807E-3</v>
      </c>
      <c r="G49" s="47">
        <f>IF(IF(ISNUMBER(D49),D49,E49)+(SQRT(IF(ISNUMBER(D49),D49,E49)*(1-IF(ISNUMBER(D49),D49,E49))/J49)*z)&gt;1,1,IF(ISNUMBER(D49),D49,E49)+(SQRT(IF(ISNUMBER(D49),D49,E49)*(1-IF(ISNUMBER(D49),D49,E49))/J49)*z))</f>
        <v>2.2769034453759191E-3</v>
      </c>
      <c r="H49" s="67">
        <f t="shared" si="21"/>
        <v>200</v>
      </c>
      <c r="I49" s="48">
        <f t="shared" si="22"/>
        <v>99800</v>
      </c>
      <c r="J49" s="48">
        <v>100000</v>
      </c>
      <c r="K49" s="46">
        <f t="shared" ca="1" si="23"/>
        <v>1.9710921293641733E-3</v>
      </c>
      <c r="L49" s="99">
        <v>1.9819355806604596E-3</v>
      </c>
      <c r="M49" s="99"/>
      <c r="N49" s="99">
        <f t="shared" ca="1" si="24"/>
        <v>0</v>
      </c>
      <c r="O49" s="99"/>
      <c r="P49" s="99"/>
      <c r="Q49" s="103">
        <f t="shared" ca="1" si="25"/>
        <v>1.7647515643450923E-3</v>
      </c>
      <c r="R49" s="49" t="s">
        <v>71</v>
      </c>
      <c r="S49" s="66">
        <v>25</v>
      </c>
      <c r="T49" s="89" t="s">
        <v>87</v>
      </c>
      <c r="U49" s="63"/>
      <c r="V49" s="63"/>
    </row>
    <row r="50" spans="2:24" ht="15" customHeight="1" x14ac:dyDescent="0.2">
      <c r="B50" s="50" t="s">
        <v>76</v>
      </c>
      <c r="C50" s="46">
        <f t="shared" si="20"/>
        <v>3.4099999999999998E-3</v>
      </c>
      <c r="D50" s="300"/>
      <c r="E50" s="59">
        <v>3.4099999999999998E-3</v>
      </c>
      <c r="F50" s="47">
        <f>IF(IF(ISNUMBER(D50),D50,E50)-(SQRT(IF(ISNUMBER(D50),D50,E50)*(1-IF(ISNUMBER(D50),D50,E50))/J50)*z)&lt;0,0,IF(ISNUMBER(D50),D50,E50)-(SQRT(IF(ISNUMBER(D50),D50,E50)*(1-IF(ISNUMBER(D50),D50,E50))/J50)*z))</f>
        <v>3.0486870371650905E-3</v>
      </c>
      <c r="G50" s="47">
        <f>IF(IF(ISNUMBER(D50),D50,E50)+(SQRT(IF(ISNUMBER(D50),D50,E50)*(1-IF(ISNUMBER(D50),D50,E50))/J50)*z)&gt;1,1,IF(ISNUMBER(D50),D50,E50)+(SQRT(IF(ISNUMBER(D50),D50,E50)*(1-IF(ISNUMBER(D50),D50,E50))/J50)*z))</f>
        <v>3.7713129628349092E-3</v>
      </c>
      <c r="H50" s="67">
        <f t="shared" si="21"/>
        <v>341</v>
      </c>
      <c r="I50" s="48">
        <f t="shared" si="22"/>
        <v>99659</v>
      </c>
      <c r="J50" s="48">
        <v>100000</v>
      </c>
      <c r="K50" s="46">
        <f t="shared" ca="1" si="23"/>
        <v>3.409386457198238E-3</v>
      </c>
      <c r="L50" s="99">
        <v>3.5751085533763938E-3</v>
      </c>
      <c r="M50" s="99"/>
      <c r="N50" s="99">
        <f t="shared" ca="1" si="24"/>
        <v>0</v>
      </c>
      <c r="O50" s="99"/>
      <c r="P50" s="99"/>
      <c r="Q50" s="103">
        <f t="shared" ca="1" si="25"/>
        <v>3.8897294219176759E-3</v>
      </c>
      <c r="R50" s="49" t="s">
        <v>71</v>
      </c>
      <c r="S50" s="66">
        <v>26</v>
      </c>
      <c r="T50" s="89" t="s">
        <v>87</v>
      </c>
      <c r="U50" s="63"/>
      <c r="V50" s="63"/>
    </row>
    <row r="51" spans="2:24" ht="15" customHeight="1" x14ac:dyDescent="0.2">
      <c r="B51" s="50" t="s">
        <v>77</v>
      </c>
      <c r="C51" s="46">
        <f t="shared" si="20"/>
        <v>4.0000000000000002E-4</v>
      </c>
      <c r="D51" s="300"/>
      <c r="E51" s="59">
        <v>4.0000000000000002E-4</v>
      </c>
      <c r="F51" s="47">
        <f>IF(IF(ISNUMBER(D51),D51,E51)-(SQRT(IF(ISNUMBER(D51),D51,E51)*(1-IF(ISNUMBER(D51),D51,E51))/J51)*z)&lt;0,0,IF(ISNUMBER(D51),D51,E51)-(SQRT(IF(ISNUMBER(D51),D51,E51)*(1-IF(ISNUMBER(D51),D51,E51))/J51)*z))</f>
        <v>2.7606578782005597E-4</v>
      </c>
      <c r="G51" s="47">
        <f>IF(IF(ISNUMBER(D51),D51,E51)+(SQRT(IF(ISNUMBER(D51),D51,E51)*(1-IF(ISNUMBER(D51),D51,E51))/J51)*z)&gt;1,1,IF(ISNUMBER(D51),D51,E51)+(SQRT(IF(ISNUMBER(D51),D51,E51)*(1-IF(ISNUMBER(D51),D51,E51))/J51)*z))</f>
        <v>5.2393421217994407E-4</v>
      </c>
      <c r="H51" s="67">
        <f t="shared" si="21"/>
        <v>40</v>
      </c>
      <c r="I51" s="48">
        <f t="shared" si="22"/>
        <v>99960</v>
      </c>
      <c r="J51" s="48">
        <v>100000</v>
      </c>
      <c r="K51" s="46">
        <f t="shared" ca="1" si="23"/>
        <v>3.9637136747830486E-4</v>
      </c>
      <c r="L51" s="99">
        <v>3.2105522104347665E-4</v>
      </c>
      <c r="M51" s="99"/>
      <c r="N51" s="99">
        <f t="shared" ca="1" si="24"/>
        <v>0</v>
      </c>
      <c r="O51" s="99"/>
      <c r="P51" s="99"/>
      <c r="Q51" s="103">
        <f t="shared" ca="1" si="25"/>
        <v>4.0177338038172028E-4</v>
      </c>
      <c r="R51" s="49" t="s">
        <v>71</v>
      </c>
      <c r="S51" s="66">
        <v>27</v>
      </c>
      <c r="T51" s="89" t="s">
        <v>87</v>
      </c>
      <c r="U51" s="63"/>
      <c r="V51" s="63"/>
    </row>
    <row r="52" spans="2:24" ht="15" customHeight="1" x14ac:dyDescent="0.2">
      <c r="B52" s="50" t="s">
        <v>78</v>
      </c>
      <c r="C52" s="46">
        <f t="shared" si="20"/>
        <v>4.4999999999999999E-4</v>
      </c>
      <c r="D52" s="300"/>
      <c r="E52" s="59">
        <v>4.4999999999999999E-4</v>
      </c>
      <c r="F52" s="47">
        <f>IF(IF(ISNUMBER(D52),D52,E52)-(SQRT(IF(ISNUMBER(D52),D52,E52)*(1-IF(ISNUMBER(D52),D52,E52))/J52)*z)&lt;0,0,IF(ISNUMBER(D52),D52,E52)-(SQRT(IF(ISNUMBER(D52),D52,E52)*(1-IF(ISNUMBER(D52),D52,E52))/J52)*z))</f>
        <v>3.1855120487805282E-4</v>
      </c>
      <c r="G52" s="47">
        <f>IF(IF(ISNUMBER(D52),D52,E52)+(SQRT(IF(ISNUMBER(D52),D52,E52)*(1-IF(ISNUMBER(D52),D52,E52))/J52)*z)&gt;1,1,IF(ISNUMBER(D52),D52,E52)+(SQRT(IF(ISNUMBER(D52),D52,E52)*(1-IF(ISNUMBER(D52),D52,E52))/J52)*z))</f>
        <v>5.8144879512194716E-4</v>
      </c>
      <c r="H52" s="67">
        <f t="shared" si="21"/>
        <v>45</v>
      </c>
      <c r="I52" s="48">
        <f t="shared" si="22"/>
        <v>99955</v>
      </c>
      <c r="J52" s="48">
        <v>100000</v>
      </c>
      <c r="K52" s="46">
        <f t="shared" ca="1" si="23"/>
        <v>4.7934287506623541E-4</v>
      </c>
      <c r="L52" s="99">
        <v>5.0713096932353263E-4</v>
      </c>
      <c r="M52" s="99"/>
      <c r="N52" s="99">
        <f t="shared" ca="1" si="24"/>
        <v>0</v>
      </c>
      <c r="O52" s="99"/>
      <c r="P52" s="99"/>
      <c r="Q52" s="103">
        <f t="shared" ca="1" si="25"/>
        <v>3.8720000173191787E-4</v>
      </c>
      <c r="R52" s="49" t="s">
        <v>71</v>
      </c>
      <c r="S52" s="66">
        <v>28</v>
      </c>
      <c r="T52" s="89" t="s">
        <v>87</v>
      </c>
      <c r="U52" s="63"/>
      <c r="V52" s="63"/>
    </row>
    <row r="53" spans="2:24" ht="15" customHeight="1" x14ac:dyDescent="0.2">
      <c r="B53" s="63"/>
      <c r="C53" s="78">
        <f>Q53</f>
        <v>0</v>
      </c>
      <c r="D53" s="78"/>
      <c r="E53" s="64"/>
      <c r="F53" s="49"/>
      <c r="G53" s="49"/>
      <c r="H53" s="67"/>
      <c r="I53" s="48"/>
      <c r="J53" s="49"/>
      <c r="K53" s="49"/>
      <c r="L53" s="99"/>
      <c r="M53" s="99"/>
      <c r="N53" s="99"/>
      <c r="O53" s="99"/>
      <c r="P53" s="99"/>
      <c r="Q53" s="97"/>
      <c r="R53" s="49"/>
      <c r="S53" s="66"/>
      <c r="T53" s="49"/>
      <c r="U53" s="63"/>
      <c r="V53" s="63"/>
    </row>
    <row r="54" spans="2:24" ht="15" customHeight="1" x14ac:dyDescent="0.25">
      <c r="B54" s="91" t="s">
        <v>81</v>
      </c>
      <c r="C54" s="69"/>
      <c r="D54" s="69"/>
      <c r="E54" s="64"/>
      <c r="F54" s="56"/>
      <c r="G54" s="56"/>
      <c r="H54" s="49"/>
      <c r="I54" s="49"/>
      <c r="J54" s="49"/>
      <c r="K54" s="49"/>
      <c r="L54" s="99"/>
      <c r="M54" s="100"/>
      <c r="N54" s="99"/>
      <c r="O54" s="99"/>
      <c r="P54" s="99"/>
      <c r="Q54" s="97"/>
      <c r="R54" s="49"/>
      <c r="S54" s="62"/>
      <c r="T54" s="90"/>
      <c r="U54" s="63"/>
      <c r="V54" s="63"/>
    </row>
    <row r="55" spans="2:24" ht="15" customHeight="1" x14ac:dyDescent="0.2">
      <c r="B55" s="50" t="s">
        <v>82</v>
      </c>
      <c r="C55" s="74">
        <f>IF(OR(evsi_n&gt;0,psa),K55,IF(owsa_low=S55,F55,IF(owsa_high=S55,G55,IF(ISNUMBER(D55),D55,E55))))</f>
        <v>0.05</v>
      </c>
      <c r="D55" s="299"/>
      <c r="E55" s="45">
        <v>0.05</v>
      </c>
      <c r="F55" s="80">
        <f>E55*(1-owsa)</f>
        <v>4.0000000000000008E-2</v>
      </c>
      <c r="G55" s="80">
        <f>E55*(1+owsa)</f>
        <v>0.06</v>
      </c>
      <c r="H55" s="80">
        <f>E55^2*(1-E55)/((G55-F55)/(2*z))^2-E55</f>
        <v>91.184646991485536</v>
      </c>
      <c r="I55" s="80">
        <f>(E55^2*(1-E55)/((G55-F55)/(2*z))^2-E55)*(1-E55)/E55</f>
        <v>1732.5082928382249</v>
      </c>
      <c r="J55" s="48">
        <f>J56</f>
        <v>0</v>
      </c>
      <c r="K55" s="74">
        <f ca="1">_xlfn.BETA.INV(RAND(),H55,I55)</f>
        <v>4.9808724432924362E-2</v>
      </c>
      <c r="L55" s="99">
        <v>4.8564337554905752E-2</v>
      </c>
      <c r="M55" s="103">
        <f>1-SUM(E45:E52)</f>
        <v>0.98140000000000005</v>
      </c>
      <c r="N55" s="99">
        <f ca="1">_xlfn.BINOM.INV(evsi_n*M55,L55,RAND())</f>
        <v>0</v>
      </c>
      <c r="O55" s="99"/>
      <c r="P55" s="99"/>
      <c r="Q55" s="57" t="e">
        <f ca="1">_xlfn.BETA.INV(RAND(),(H55+N55),((J55-H55)+(evsi_n*M55-N55)))</f>
        <v>#NUM!</v>
      </c>
      <c r="R55" s="49" t="s">
        <v>71</v>
      </c>
      <c r="S55" s="66">
        <v>29</v>
      </c>
      <c r="T55" s="90"/>
      <c r="U55" s="63"/>
      <c r="V55" s="63"/>
    </row>
    <row r="56" spans="2:24" ht="15" customHeight="1" x14ac:dyDescent="0.2">
      <c r="B56" s="81" t="s">
        <v>83</v>
      </c>
      <c r="C56" s="85">
        <f>IF(OR(evsi_n&gt;0,psa),K56,IF(owsa_low=S56,F56,IF(owsa_high=S56,G56,IF(ISNUMBER(D56),D56,E56))))</f>
        <v>0.05</v>
      </c>
      <c r="D56" s="243"/>
      <c r="E56" s="60">
        <v>0.05</v>
      </c>
      <c r="F56" s="77">
        <v>0.01</v>
      </c>
      <c r="G56" s="77">
        <v>0.1</v>
      </c>
      <c r="H56" s="69">
        <f>E56^2*(1-E56)/((G56-F56)/(2*z))^2-E56</f>
        <v>4.4554146662461935</v>
      </c>
      <c r="I56" s="69">
        <f>(E56^2*(1-E56)/((G56-F56)/(2*z))^2-E56)*(1-E56)/E56</f>
        <v>84.652878658677665</v>
      </c>
      <c r="J56" s="48">
        <f>E56*([1]Sheet1!D12*evsi_n)</f>
        <v>0</v>
      </c>
      <c r="K56" s="84">
        <f ca="1">_xlfn.BETA.INV(RAND(),H56,I56)</f>
        <v>5.956271201365726E-2</v>
      </c>
      <c r="L56" s="99">
        <v>6.5402159884276889E-2</v>
      </c>
      <c r="M56" s="103">
        <f>1-SUM(E45:E52)</f>
        <v>0.98140000000000005</v>
      </c>
      <c r="N56" s="99">
        <f ca="1">_xlfn.BINOM.INV(evsi_n*M56,L56,RAND())</f>
        <v>0</v>
      </c>
      <c r="O56" s="99"/>
      <c r="P56" s="99"/>
      <c r="Q56" s="106" t="e">
        <f ca="1">_xlfn.BETA.INV(RAND(),(H56+N56),((J56-H56)+(evsi_n*M56-N56)))</f>
        <v>#NUM!</v>
      </c>
      <c r="R56" s="49" t="s">
        <v>71</v>
      </c>
      <c r="S56" s="66">
        <v>30</v>
      </c>
      <c r="T56" s="90"/>
      <c r="U56" s="63"/>
      <c r="V56" s="63"/>
    </row>
    <row r="57" spans="2:24" ht="15" customHeight="1" x14ac:dyDescent="0.25">
      <c r="B57" s="55"/>
      <c r="C57" s="55"/>
      <c r="D57" s="55"/>
      <c r="E57" s="55"/>
      <c r="F57" s="55"/>
      <c r="G57" s="55"/>
      <c r="H57" s="55"/>
      <c r="I57" s="56"/>
      <c r="J57" s="62"/>
      <c r="K57" s="55"/>
      <c r="L57" s="49"/>
      <c r="M57" s="49"/>
      <c r="N57" s="62"/>
      <c r="O57" s="62"/>
      <c r="P57" s="62"/>
      <c r="Q57" s="55"/>
      <c r="R57" s="62"/>
      <c r="S57" s="62"/>
      <c r="T57" s="62"/>
      <c r="U57" s="54"/>
      <c r="V57" s="49"/>
      <c r="W57" s="63"/>
      <c r="X57" s="63"/>
    </row>
    <row r="58" spans="2:24" ht="15" customHeight="1" x14ac:dyDescent="0.2">
      <c r="B58" s="63"/>
      <c r="C58" s="62"/>
      <c r="D58" s="62"/>
      <c r="E58" s="82"/>
      <c r="F58" s="82"/>
      <c r="G58" s="82"/>
      <c r="H58" s="62"/>
      <c r="I58" s="62"/>
      <c r="J58" s="62"/>
      <c r="K58" s="82"/>
      <c r="L58" s="62"/>
      <c r="M58" s="62"/>
      <c r="N58" s="62"/>
      <c r="O58" s="62"/>
      <c r="P58" s="62"/>
      <c r="Q58" s="82"/>
      <c r="R58" s="62"/>
      <c r="S58" s="62"/>
      <c r="T58" s="62"/>
      <c r="U58" s="54"/>
      <c r="V58" s="66"/>
      <c r="W58" s="63"/>
      <c r="X58" s="63"/>
    </row>
    <row r="59" spans="2:24" x14ac:dyDescent="0.2">
      <c r="B59" s="63"/>
      <c r="C59" s="62"/>
      <c r="D59" s="62"/>
      <c r="E59" s="82"/>
      <c r="F59" s="82"/>
      <c r="G59" s="82"/>
      <c r="H59" s="62"/>
      <c r="I59" s="62"/>
      <c r="J59" s="62"/>
      <c r="K59" s="82"/>
      <c r="L59" s="62"/>
      <c r="M59" s="62"/>
      <c r="N59" s="62"/>
      <c r="O59" s="62"/>
      <c r="P59" s="62"/>
      <c r="Q59" s="82"/>
      <c r="R59" s="62"/>
      <c r="S59" s="62"/>
      <c r="T59" s="62"/>
      <c r="U59" s="63"/>
      <c r="V59" s="63"/>
      <c r="W59" s="63"/>
      <c r="X59" s="63"/>
    </row>
    <row r="60" spans="2:24" x14ac:dyDescent="0.2">
      <c r="B60" s="62"/>
      <c r="C60" s="62"/>
      <c r="D60" s="62"/>
      <c r="E60" s="82"/>
      <c r="F60" s="82"/>
      <c r="G60" s="82"/>
      <c r="H60" s="62"/>
      <c r="I60" s="62"/>
      <c r="J60" s="62"/>
      <c r="K60" s="82"/>
      <c r="L60" s="62"/>
      <c r="M60" s="62"/>
      <c r="N60" s="62"/>
      <c r="O60" s="62"/>
      <c r="P60" s="62"/>
      <c r="Q60" s="82"/>
      <c r="R60" s="62"/>
      <c r="S60" s="62"/>
      <c r="T60" s="62"/>
      <c r="U60" s="63"/>
      <c r="V60" s="63"/>
      <c r="W60" s="63"/>
      <c r="X60" s="63"/>
    </row>
    <row r="61" spans="2:24" x14ac:dyDescent="0.2">
      <c r="B61" s="62"/>
      <c r="C61" s="62"/>
      <c r="D61" s="62"/>
      <c r="E61" s="82"/>
      <c r="F61" s="82"/>
      <c r="G61" s="82"/>
      <c r="H61" s="62"/>
      <c r="I61" s="62"/>
      <c r="J61" s="62"/>
      <c r="K61" s="82"/>
      <c r="L61" s="62"/>
      <c r="M61" s="62"/>
      <c r="N61" s="62"/>
      <c r="O61" s="62"/>
      <c r="P61" s="62"/>
      <c r="Q61" s="82"/>
      <c r="R61" s="62"/>
      <c r="S61" s="62"/>
      <c r="T61" s="62"/>
      <c r="U61" s="63"/>
      <c r="V61" s="63"/>
      <c r="W61" s="63"/>
      <c r="X61" s="63"/>
    </row>
    <row r="62" spans="2:24" x14ac:dyDescent="0.2"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3"/>
      <c r="V62" s="63"/>
      <c r="W62" s="63"/>
      <c r="X62" s="63"/>
    </row>
    <row r="63" spans="2:24" x14ac:dyDescent="0.2">
      <c r="B63" s="62"/>
      <c r="C63" s="62"/>
      <c r="D63" s="62"/>
      <c r="E63" s="82"/>
      <c r="F63" s="82"/>
      <c r="G63" s="82"/>
      <c r="H63" s="62"/>
      <c r="I63" s="62"/>
      <c r="J63" s="62"/>
      <c r="K63" s="82"/>
      <c r="L63" s="62"/>
      <c r="M63" s="62"/>
      <c r="N63" s="62"/>
      <c r="O63" s="62"/>
      <c r="P63" s="62"/>
      <c r="Q63" s="82"/>
      <c r="R63" s="62"/>
      <c r="S63" s="62"/>
      <c r="T63" s="62"/>
      <c r="U63" s="63"/>
      <c r="V63" s="63"/>
      <c r="W63" s="63"/>
      <c r="X63" s="63"/>
    </row>
    <row r="64" spans="2:24" x14ac:dyDescent="0.2">
      <c r="B64"/>
      <c r="C64"/>
      <c r="D64"/>
      <c r="E64"/>
      <c r="F64"/>
      <c r="G64"/>
      <c r="H64"/>
      <c r="I64"/>
      <c r="K64"/>
      <c r="L64"/>
      <c r="M64"/>
      <c r="Q64"/>
    </row>
    <row r="65" spans="2:17" x14ac:dyDescent="0.2">
      <c r="B65"/>
      <c r="C65"/>
      <c r="D65"/>
      <c r="E65"/>
      <c r="F65"/>
      <c r="G65"/>
      <c r="H65"/>
      <c r="I65"/>
      <c r="K65"/>
      <c r="L65"/>
      <c r="M65"/>
      <c r="Q65"/>
    </row>
  </sheetData>
  <mergeCells count="6">
    <mergeCell ref="I13:J13"/>
    <mergeCell ref="I12:J12"/>
    <mergeCell ref="H12:H13"/>
    <mergeCell ref="H10:H11"/>
    <mergeCell ref="H8:H9"/>
    <mergeCell ref="H6:H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C9E64-9163-47A4-9FBE-B5B6D9DB1F1E}">
  <sheetPr codeName="Sheet02"/>
  <dimension ref="A1:AV237"/>
  <sheetViews>
    <sheetView showGridLines="0" zoomScale="80" zoomScaleNormal="80" workbookViewId="0">
      <selection activeCell="D17" sqref="D17"/>
    </sheetView>
  </sheetViews>
  <sheetFormatPr defaultColWidth="8.625" defaultRowHeight="14.25" x14ac:dyDescent="0.2"/>
  <cols>
    <col min="1" max="1" width="2.625" customWidth="1"/>
    <col min="2" max="4" width="12.625" customWidth="1"/>
    <col min="5" max="5" width="5.625" customWidth="1"/>
    <col min="6" max="6" width="42.125" customWidth="1"/>
    <col min="7" max="15" width="15.625" customWidth="1"/>
    <col min="16" max="16" width="5.125" customWidth="1"/>
    <col min="17" max="28" width="10.125" customWidth="1"/>
    <col min="29" max="30" width="5.125" customWidth="1"/>
    <col min="31" max="42" width="10.125" customWidth="1"/>
    <col min="43" max="44" width="5.125" customWidth="1"/>
    <col min="45" max="48" width="10.125" customWidth="1"/>
  </cols>
  <sheetData>
    <row r="1" spans="1:48" ht="30" customHeight="1" thickBot="1" x14ac:dyDescent="0.25">
      <c r="A1" s="4" t="s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</row>
    <row r="2" spans="1:48" ht="15" customHeight="1" x14ac:dyDescent="0.2"/>
    <row r="3" spans="1:48" ht="15" customHeight="1" x14ac:dyDescent="0.25">
      <c r="B3" s="151" t="s">
        <v>134</v>
      </c>
      <c r="C3" s="61"/>
      <c r="D3" s="61"/>
      <c r="E3" s="61"/>
      <c r="F3" s="61"/>
      <c r="G3" s="61"/>
      <c r="H3" s="61"/>
      <c r="I3" s="61"/>
      <c r="J3" s="61"/>
      <c r="K3" s="61"/>
      <c r="M3" s="151" t="s">
        <v>137</v>
      </c>
      <c r="N3" s="152"/>
      <c r="O3" s="62"/>
      <c r="P3" s="55" t="s">
        <v>113</v>
      </c>
      <c r="Q3" s="62"/>
      <c r="R3" s="62"/>
      <c r="S3" s="62"/>
      <c r="T3" s="62"/>
      <c r="U3" s="62"/>
      <c r="V3" s="62"/>
      <c r="W3" s="62"/>
      <c r="X3" s="62"/>
      <c r="Y3" s="62">
        <f>IF(Y6=Q6,1,0)</f>
        <v>1</v>
      </c>
      <c r="Z3" s="62"/>
      <c r="AA3" s="62"/>
      <c r="AB3" s="62"/>
      <c r="AD3" s="55" t="s">
        <v>114</v>
      </c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55" t="s">
        <v>115</v>
      </c>
    </row>
    <row r="4" spans="1:48" ht="15" customHeight="1" x14ac:dyDescent="0.2">
      <c r="B4" s="147" t="s">
        <v>55</v>
      </c>
      <c r="C4" s="147" t="s">
        <v>135</v>
      </c>
      <c r="D4" s="147" t="s">
        <v>136</v>
      </c>
      <c r="E4" s="29"/>
      <c r="F4" s="29"/>
      <c r="G4" s="29"/>
      <c r="H4" s="29"/>
      <c r="I4" s="29"/>
      <c r="J4" s="29"/>
      <c r="K4" s="29"/>
      <c r="M4" s="29"/>
      <c r="N4" s="29"/>
      <c r="O4" s="62"/>
      <c r="P4" s="177"/>
      <c r="Q4" s="9" t="s">
        <v>43</v>
      </c>
      <c r="R4" s="177"/>
      <c r="S4" s="177"/>
      <c r="T4" s="10"/>
      <c r="U4" s="9" t="s">
        <v>44</v>
      </c>
      <c r="V4" s="177"/>
      <c r="W4" s="177"/>
      <c r="X4" s="10"/>
      <c r="Y4" s="177" t="s">
        <v>104</v>
      </c>
      <c r="Z4" s="177"/>
      <c r="AA4" s="177"/>
      <c r="AB4" s="177"/>
      <c r="AC4" s="62"/>
      <c r="AD4" s="177"/>
      <c r="AE4" s="9" t="s">
        <v>43</v>
      </c>
      <c r="AF4" s="177"/>
      <c r="AG4" s="177"/>
      <c r="AH4" s="10"/>
      <c r="AI4" s="9" t="s">
        <v>44</v>
      </c>
      <c r="AJ4" s="177"/>
      <c r="AK4" s="177"/>
      <c r="AL4" s="10"/>
      <c r="AM4" s="177" t="s">
        <v>104</v>
      </c>
      <c r="AN4" s="177"/>
      <c r="AO4" s="177"/>
      <c r="AP4" s="177"/>
      <c r="AQ4" s="62"/>
      <c r="AR4" s="188" t="s">
        <v>116</v>
      </c>
      <c r="AS4" s="189" t="e">
        <f>AVERAGE(AS7:AS10005)</f>
        <v>#DIV/0!</v>
      </c>
      <c r="AT4" s="189" t="e">
        <f t="shared" ref="AT4:AV4" si="0">AVERAGE(AT7:AT10005)</f>
        <v>#DIV/0!</v>
      </c>
      <c r="AU4" s="189" t="e">
        <f t="shared" si="0"/>
        <v>#DIV/0!</v>
      </c>
      <c r="AV4" s="189" t="e">
        <f t="shared" si="0"/>
        <v>#DIV/0!</v>
      </c>
    </row>
    <row r="5" spans="1:48" ht="15" customHeight="1" x14ac:dyDescent="0.2">
      <c r="B5" s="147" t="s">
        <v>117</v>
      </c>
      <c r="C5" s="155" t="e">
        <f>(PSA!$P$15-MAX(PSA!$N$15:$O$15))/cohort</f>
        <v>#DIV/0!</v>
      </c>
      <c r="D5" s="155" t="e">
        <f>C5*eff_pop</f>
        <v>#DIV/0!</v>
      </c>
      <c r="E5" s="29"/>
      <c r="F5" s="29"/>
      <c r="G5" s="29"/>
      <c r="H5" s="29"/>
      <c r="I5" s="29"/>
      <c r="J5" s="29"/>
      <c r="K5" s="29"/>
      <c r="M5" s="147" t="s">
        <v>118</v>
      </c>
      <c r="N5" s="147" t="s">
        <v>119</v>
      </c>
      <c r="O5" s="62"/>
      <c r="P5" s="175" t="s">
        <v>55</v>
      </c>
      <c r="Q5" s="181">
        <v>50000</v>
      </c>
      <c r="R5" s="176">
        <v>100000</v>
      </c>
      <c r="S5" s="176">
        <v>150000</v>
      </c>
      <c r="T5" s="184">
        <v>200000</v>
      </c>
      <c r="U5" s="181">
        <v>50000</v>
      </c>
      <c r="V5" s="176">
        <v>100000</v>
      </c>
      <c r="W5" s="176">
        <v>150000</v>
      </c>
      <c r="X5" s="184">
        <v>200000</v>
      </c>
      <c r="Y5" s="176">
        <v>50000</v>
      </c>
      <c r="Z5" s="176">
        <v>100000</v>
      </c>
      <c r="AA5" s="176">
        <v>150000</v>
      </c>
      <c r="AB5" s="176">
        <v>200000</v>
      </c>
      <c r="AC5" s="62"/>
      <c r="AD5" s="175" t="s">
        <v>55</v>
      </c>
      <c r="AE5" s="181">
        <v>50000</v>
      </c>
      <c r="AF5" s="176">
        <v>100000</v>
      </c>
      <c r="AG5" s="176">
        <v>150000</v>
      </c>
      <c r="AH5" s="184">
        <v>200000</v>
      </c>
      <c r="AI5" s="181">
        <v>50000</v>
      </c>
      <c r="AJ5" s="176">
        <v>100000</v>
      </c>
      <c r="AK5" s="176">
        <v>150000</v>
      </c>
      <c r="AL5" s="184">
        <v>200000</v>
      </c>
      <c r="AM5" s="176">
        <v>50000</v>
      </c>
      <c r="AN5" s="176">
        <v>100000</v>
      </c>
      <c r="AO5" s="176">
        <v>150000</v>
      </c>
      <c r="AP5" s="176">
        <v>200000</v>
      </c>
      <c r="AQ5" s="141"/>
      <c r="AR5" s="187" t="s">
        <v>55</v>
      </c>
      <c r="AS5" s="176">
        <v>50000</v>
      </c>
      <c r="AT5" s="176">
        <v>100000</v>
      </c>
      <c r="AU5" s="176">
        <v>150000</v>
      </c>
      <c r="AV5" s="176">
        <v>200000</v>
      </c>
    </row>
    <row r="6" spans="1:48" ht="15" customHeight="1" x14ac:dyDescent="0.2">
      <c r="B6" s="148">
        <v>0</v>
      </c>
      <c r="C6" s="149">
        <v>0</v>
      </c>
      <c r="D6" s="149">
        <v>0</v>
      </c>
      <c r="E6" s="29"/>
      <c r="F6" s="29"/>
      <c r="G6" s="29"/>
      <c r="H6" s="29"/>
      <c r="I6" s="29"/>
      <c r="J6" s="29"/>
      <c r="K6" s="29"/>
      <c r="M6" s="29">
        <v>1</v>
      </c>
      <c r="N6" s="153">
        <v>85000000</v>
      </c>
      <c r="O6" s="62"/>
      <c r="P6" s="178" t="s">
        <v>32</v>
      </c>
      <c r="Q6" s="182">
        <f>(Q5*[1]Sheet1!$M$30-[1]Sheet1!$M$14)/cohort</f>
        <v>0</v>
      </c>
      <c r="R6" s="179">
        <f>(R5*[1]Sheet1!$M$30-[1]Sheet1!$M$14)/cohort</f>
        <v>0</v>
      </c>
      <c r="S6" s="179">
        <f>(S5*[1]Sheet1!$M$30-[1]Sheet1!$M$14)/cohort</f>
        <v>0</v>
      </c>
      <c r="T6" s="185">
        <f>(T5*[1]Sheet1!$M$30-[1]Sheet1!$M$14)/cohort</f>
        <v>0</v>
      </c>
      <c r="U6" s="183">
        <f>(U5*[1]Sheet1!$N$30-[1]Sheet1!$N$14)/cohort</f>
        <v>0</v>
      </c>
      <c r="V6" s="180">
        <f>(V5*[1]Sheet1!$N$30-[1]Sheet1!$N$14)/cohort</f>
        <v>0</v>
      </c>
      <c r="W6" s="180">
        <f>(W5*[1]Sheet1!$N$30-[1]Sheet1!$N$14)/cohort</f>
        <v>0</v>
      </c>
      <c r="X6" s="186">
        <f>(X5*[1]Sheet1!$N$30-[1]Sheet1!$N$14)/cohort</f>
        <v>0</v>
      </c>
      <c r="Y6" s="179">
        <f>MAX(Q6,U6)</f>
        <v>0</v>
      </c>
      <c r="Z6" s="180">
        <f t="shared" ref="Z6:AB6" si="1">MAX(R6,V6)</f>
        <v>0</v>
      </c>
      <c r="AA6" s="180">
        <f t="shared" si="1"/>
        <v>0</v>
      </c>
      <c r="AB6" s="180">
        <f t="shared" si="1"/>
        <v>0</v>
      </c>
      <c r="AC6" s="62"/>
      <c r="AD6" s="178" t="s">
        <v>32</v>
      </c>
      <c r="AE6" s="182" t="e">
        <f t="shared" ref="AE6:AP6" si="2">AVERAGE(Q7:Q10005)</f>
        <v>#DIV/0!</v>
      </c>
      <c r="AF6" s="179" t="e">
        <f t="shared" si="2"/>
        <v>#DIV/0!</v>
      </c>
      <c r="AG6" s="179" t="e">
        <f t="shared" si="2"/>
        <v>#DIV/0!</v>
      </c>
      <c r="AH6" s="185" t="e">
        <f t="shared" si="2"/>
        <v>#DIV/0!</v>
      </c>
      <c r="AI6" s="183" t="e">
        <f t="shared" si="2"/>
        <v>#DIV/0!</v>
      </c>
      <c r="AJ6" s="180" t="e">
        <f t="shared" si="2"/>
        <v>#DIV/0!</v>
      </c>
      <c r="AK6" s="180" t="e">
        <f t="shared" si="2"/>
        <v>#DIV/0!</v>
      </c>
      <c r="AL6" s="186" t="e">
        <f t="shared" si="2"/>
        <v>#DIV/0!</v>
      </c>
      <c r="AM6" s="179" t="e">
        <f t="shared" si="2"/>
        <v>#DIV/0!</v>
      </c>
      <c r="AN6" s="180" t="e">
        <f t="shared" si="2"/>
        <v>#DIV/0!</v>
      </c>
      <c r="AO6" s="180" t="e">
        <f t="shared" si="2"/>
        <v>#DIV/0!</v>
      </c>
      <c r="AP6" s="180" t="e">
        <f t="shared" si="2"/>
        <v>#DIV/0!</v>
      </c>
      <c r="AQ6" s="142"/>
      <c r="AR6" s="190"/>
      <c r="AS6" s="143" t="e">
        <f>MAX(AE6,AI6)-IF(VLOOKUP(AS5,PSA!$J$16:$L$156,3,FALSE)&gt;0.5,AE6,AI6)</f>
        <v>#DIV/0!</v>
      </c>
      <c r="AT6" s="143" t="e">
        <f>MAX(AF6,AJ6)-IF(VLOOKUP(AT5,PSA!$J$16:$L$156,3,FALSE)&gt;0.5,AF6,AJ6)</f>
        <v>#DIV/0!</v>
      </c>
      <c r="AU6" s="143" t="e">
        <f>MAX(AG6,AK6)-IF(VLOOKUP(AU5,PSA!$J$16:$L$156,3,FALSE)&gt;0.5,AG6,AK6)</f>
        <v>#DIV/0!</v>
      </c>
      <c r="AV6" s="143" t="e">
        <f>MAX(AH6,AL6)-IF(VLOOKUP(AV5,PSA!$J$16:$L$156,3,FALSE)&gt;0.5,AH6,AL6)</f>
        <v>#DIV/0!</v>
      </c>
    </row>
    <row r="7" spans="1:48" ht="15" customHeight="1" x14ac:dyDescent="0.2">
      <c r="B7" s="148">
        <v>100</v>
      </c>
      <c r="C7" s="149">
        <v>0</v>
      </c>
      <c r="D7" s="149">
        <v>0</v>
      </c>
      <c r="E7" s="29"/>
      <c r="F7" s="29"/>
      <c r="G7" s="29"/>
      <c r="H7" s="29"/>
      <c r="I7" s="29"/>
      <c r="J7" s="29"/>
      <c r="K7" s="29"/>
      <c r="M7" s="29">
        <v>2</v>
      </c>
      <c r="N7" s="154"/>
      <c r="O7" s="62"/>
    </row>
    <row r="8" spans="1:48" ht="15" customHeight="1" x14ac:dyDescent="0.2">
      <c r="B8" s="148">
        <v>200</v>
      </c>
      <c r="C8" s="149">
        <v>0</v>
      </c>
      <c r="D8" s="149">
        <v>0</v>
      </c>
      <c r="E8" s="29"/>
      <c r="F8" s="29"/>
      <c r="G8" s="29"/>
      <c r="H8" s="29"/>
      <c r="I8" s="29"/>
      <c r="J8" s="29"/>
      <c r="K8" s="29"/>
      <c r="M8" s="29">
        <v>3</v>
      </c>
      <c r="N8" s="315" t="s">
        <v>138</v>
      </c>
      <c r="O8" s="62"/>
    </row>
    <row r="9" spans="1:48" ht="15" customHeight="1" x14ac:dyDescent="0.2">
      <c r="B9" s="148">
        <v>300</v>
      </c>
      <c r="C9" s="149">
        <v>0</v>
      </c>
      <c r="D9" s="149">
        <v>0</v>
      </c>
      <c r="E9" s="29"/>
      <c r="F9" s="29"/>
      <c r="G9" s="29"/>
      <c r="H9" s="29"/>
      <c r="I9" s="29"/>
      <c r="J9" s="29"/>
      <c r="K9" s="29"/>
      <c r="M9" s="29">
        <v>4</v>
      </c>
      <c r="N9" s="315"/>
      <c r="O9" s="62"/>
    </row>
    <row r="10" spans="1:48" ht="15" customHeight="1" x14ac:dyDescent="0.2">
      <c r="B10" s="148">
        <v>400</v>
      </c>
      <c r="C10" s="149">
        <v>0</v>
      </c>
      <c r="D10" s="149">
        <v>0</v>
      </c>
      <c r="E10" s="29"/>
      <c r="F10" s="29"/>
      <c r="G10" s="29"/>
      <c r="H10" s="29"/>
      <c r="I10" s="29"/>
      <c r="J10" s="29"/>
      <c r="K10" s="29"/>
      <c r="M10" s="29">
        <v>5</v>
      </c>
      <c r="N10" s="315"/>
      <c r="O10" s="62"/>
    </row>
    <row r="11" spans="1:48" ht="15" customHeight="1" x14ac:dyDescent="0.2">
      <c r="B11" s="148">
        <v>500</v>
      </c>
      <c r="C11" s="149">
        <v>0</v>
      </c>
      <c r="D11" s="149">
        <v>0</v>
      </c>
      <c r="E11" s="29"/>
      <c r="F11" s="29"/>
      <c r="G11" s="29"/>
      <c r="H11" s="29"/>
      <c r="I11" s="29"/>
      <c r="J11" s="29"/>
      <c r="K11" s="29"/>
      <c r="M11" s="29">
        <v>6</v>
      </c>
      <c r="N11" s="315"/>
      <c r="O11" s="62"/>
    </row>
    <row r="12" spans="1:48" ht="15" customHeight="1" x14ac:dyDescent="0.2">
      <c r="B12" s="148">
        <v>600</v>
      </c>
      <c r="C12" s="149">
        <v>0</v>
      </c>
      <c r="D12" s="149">
        <v>0</v>
      </c>
      <c r="E12" s="29"/>
      <c r="F12" s="29"/>
      <c r="G12" s="29"/>
      <c r="H12" s="29"/>
      <c r="I12" s="29"/>
      <c r="J12" s="29"/>
      <c r="K12" s="29"/>
      <c r="M12" s="29">
        <v>7</v>
      </c>
      <c r="N12" s="315"/>
      <c r="O12" s="62"/>
    </row>
    <row r="13" spans="1:48" ht="15" customHeight="1" x14ac:dyDescent="0.2">
      <c r="B13" s="148">
        <v>700</v>
      </c>
      <c r="C13" s="149">
        <v>0</v>
      </c>
      <c r="D13" s="149">
        <v>0</v>
      </c>
      <c r="E13" s="29"/>
      <c r="F13" s="29"/>
      <c r="G13" s="29"/>
      <c r="H13" s="29"/>
      <c r="I13" s="29"/>
      <c r="J13" s="29"/>
      <c r="K13" s="29"/>
      <c r="M13" s="29">
        <v>8</v>
      </c>
      <c r="N13" s="315"/>
      <c r="O13" s="62"/>
    </row>
    <row r="14" spans="1:48" ht="15" customHeight="1" x14ac:dyDescent="0.2">
      <c r="B14" s="148">
        <v>800</v>
      </c>
      <c r="C14" s="149">
        <v>0</v>
      </c>
      <c r="D14" s="149">
        <v>0</v>
      </c>
      <c r="E14" s="29"/>
      <c r="F14" s="29"/>
      <c r="G14" s="29"/>
      <c r="H14" s="29"/>
      <c r="I14" s="29"/>
      <c r="J14" s="29"/>
      <c r="K14" s="29"/>
      <c r="M14" s="29">
        <v>9</v>
      </c>
      <c r="N14" s="315"/>
      <c r="O14" s="62"/>
    </row>
    <row r="15" spans="1:48" ht="15" customHeight="1" x14ac:dyDescent="0.2">
      <c r="B15" s="148">
        <v>900</v>
      </c>
      <c r="C15" s="149">
        <v>0</v>
      </c>
      <c r="D15" s="149">
        <v>0</v>
      </c>
      <c r="E15" s="29"/>
      <c r="F15" s="29"/>
      <c r="G15" s="29"/>
      <c r="H15" s="29"/>
      <c r="I15" s="29"/>
      <c r="J15" s="29"/>
      <c r="K15" s="29"/>
      <c r="M15" s="29">
        <v>10</v>
      </c>
      <c r="N15" s="315"/>
      <c r="O15" s="62"/>
    </row>
    <row r="16" spans="1:48" ht="15" customHeight="1" x14ac:dyDescent="0.2">
      <c r="B16" s="148">
        <v>1000</v>
      </c>
      <c r="C16" s="149">
        <v>0</v>
      </c>
      <c r="D16" s="149">
        <v>0</v>
      </c>
      <c r="E16" s="29"/>
      <c r="F16" s="29"/>
      <c r="G16" s="29"/>
      <c r="H16" s="29"/>
      <c r="I16" s="29"/>
      <c r="J16" s="29"/>
      <c r="K16" s="29"/>
      <c r="M16" s="29"/>
      <c r="N16" s="29"/>
      <c r="O16" s="62"/>
    </row>
    <row r="17" spans="2:15" ht="15" customHeight="1" x14ac:dyDescent="0.2">
      <c r="B17" s="148">
        <v>1100</v>
      </c>
      <c r="C17" s="149">
        <v>0</v>
      </c>
      <c r="D17" s="149">
        <v>0</v>
      </c>
      <c r="E17" s="29"/>
      <c r="F17" s="29"/>
      <c r="G17" s="29"/>
      <c r="H17" s="29"/>
      <c r="I17" s="29"/>
      <c r="J17" s="29"/>
      <c r="K17" s="29"/>
      <c r="M17" s="155" t="s">
        <v>120</v>
      </c>
      <c r="N17" s="156">
        <f>SUM(N6:N15)</f>
        <v>85000000</v>
      </c>
      <c r="O17" s="62"/>
    </row>
    <row r="18" spans="2:15" ht="15" customHeight="1" x14ac:dyDescent="0.2">
      <c r="B18" s="148">
        <v>1200</v>
      </c>
      <c r="C18" s="149">
        <v>0</v>
      </c>
      <c r="D18" s="149">
        <v>0</v>
      </c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</row>
    <row r="19" spans="2:15" ht="15" customHeight="1" x14ac:dyDescent="0.2">
      <c r="B19" s="148">
        <v>1300</v>
      </c>
      <c r="C19" s="149">
        <v>0</v>
      </c>
      <c r="D19" s="149">
        <v>0</v>
      </c>
      <c r="E19" s="62"/>
      <c r="F19" s="151" t="s">
        <v>141</v>
      </c>
      <c r="G19" s="61"/>
      <c r="H19" s="61"/>
      <c r="I19" s="61"/>
      <c r="J19" s="29"/>
      <c r="K19" s="61"/>
      <c r="L19" s="61"/>
      <c r="M19" s="61"/>
      <c r="N19" s="61"/>
      <c r="O19" s="62"/>
    </row>
    <row r="20" spans="2:15" ht="15" customHeight="1" x14ac:dyDescent="0.2">
      <c r="B20" s="148">
        <v>1400</v>
      </c>
      <c r="C20" s="149">
        <v>0</v>
      </c>
      <c r="D20" s="149">
        <v>0</v>
      </c>
      <c r="E20" s="62"/>
      <c r="F20" s="150"/>
      <c r="G20" s="29"/>
      <c r="H20" s="29"/>
      <c r="I20" s="29"/>
      <c r="J20" s="29"/>
      <c r="K20" s="29"/>
      <c r="L20" s="29"/>
      <c r="M20" s="29"/>
      <c r="N20" s="29"/>
      <c r="O20" s="62"/>
    </row>
    <row r="21" spans="2:15" ht="15" customHeight="1" x14ac:dyDescent="0.2">
      <c r="B21" s="148">
        <v>1500</v>
      </c>
      <c r="C21" s="149">
        <v>0</v>
      </c>
      <c r="D21" s="149">
        <v>0</v>
      </c>
      <c r="E21" s="62"/>
      <c r="F21" s="150"/>
      <c r="G21" s="29"/>
      <c r="H21" s="29"/>
      <c r="I21" s="29"/>
      <c r="J21" s="29"/>
      <c r="K21" s="29"/>
      <c r="L21" s="29"/>
      <c r="M21" s="29"/>
      <c r="N21" s="29"/>
      <c r="O21" s="62"/>
    </row>
    <row r="22" spans="2:15" ht="15" customHeight="1" x14ac:dyDescent="0.2">
      <c r="B22" s="148">
        <v>1600</v>
      </c>
      <c r="C22" s="149">
        <v>0</v>
      </c>
      <c r="D22" s="149">
        <v>0</v>
      </c>
      <c r="E22" s="62"/>
      <c r="F22" s="150"/>
      <c r="G22" s="29"/>
      <c r="H22" s="29"/>
      <c r="I22" s="29"/>
      <c r="J22" s="29"/>
      <c r="K22" s="29"/>
      <c r="L22" s="29"/>
      <c r="M22" s="29"/>
      <c r="N22" s="29"/>
      <c r="O22" s="62"/>
    </row>
    <row r="23" spans="2:15" ht="15" customHeight="1" x14ac:dyDescent="0.2">
      <c r="B23" s="148">
        <v>1700</v>
      </c>
      <c r="C23" s="149">
        <v>0</v>
      </c>
      <c r="D23" s="149">
        <v>0</v>
      </c>
      <c r="E23" s="62"/>
      <c r="F23" s="150"/>
      <c r="G23" s="29"/>
      <c r="H23" s="29"/>
      <c r="I23" s="29"/>
      <c r="J23" s="29"/>
      <c r="K23" s="29"/>
      <c r="L23" s="29"/>
      <c r="M23" s="29"/>
      <c r="N23" s="29"/>
      <c r="O23" s="62"/>
    </row>
    <row r="24" spans="2:15" ht="15" customHeight="1" x14ac:dyDescent="0.2">
      <c r="B24" s="148">
        <v>1800</v>
      </c>
      <c r="C24" s="149">
        <v>0</v>
      </c>
      <c r="D24" s="149">
        <v>0</v>
      </c>
      <c r="E24" s="62"/>
      <c r="F24" s="150"/>
      <c r="G24" s="29"/>
      <c r="H24" s="29"/>
      <c r="I24" s="29"/>
      <c r="J24" s="29"/>
      <c r="K24" s="29"/>
      <c r="L24" s="29"/>
      <c r="M24" s="29"/>
      <c r="N24" s="29"/>
      <c r="O24" s="62"/>
    </row>
    <row r="25" spans="2:15" ht="15" customHeight="1" x14ac:dyDescent="0.2">
      <c r="B25" s="148">
        <v>1900</v>
      </c>
      <c r="C25" s="149">
        <v>0</v>
      </c>
      <c r="D25" s="149">
        <v>0</v>
      </c>
      <c r="E25" s="62"/>
      <c r="F25" s="150"/>
      <c r="G25" s="29"/>
      <c r="H25" s="29"/>
      <c r="I25" s="29"/>
      <c r="J25" s="29"/>
      <c r="K25" s="29"/>
      <c r="L25" s="29"/>
      <c r="M25" s="29"/>
      <c r="N25" s="29"/>
      <c r="O25" s="62"/>
    </row>
    <row r="26" spans="2:15" ht="15" customHeight="1" x14ac:dyDescent="0.2">
      <c r="B26" s="148">
        <v>2000</v>
      </c>
      <c r="C26" s="149">
        <v>0</v>
      </c>
      <c r="D26" s="149">
        <v>0</v>
      </c>
      <c r="E26" s="62"/>
      <c r="F26" s="150"/>
      <c r="G26" s="29"/>
      <c r="H26" s="29"/>
      <c r="I26" s="29"/>
      <c r="J26" s="29"/>
      <c r="K26" s="29"/>
      <c r="L26" s="29"/>
      <c r="M26" s="29"/>
      <c r="N26" s="29"/>
      <c r="O26" s="62"/>
    </row>
    <row r="27" spans="2:15" ht="15" customHeight="1" x14ac:dyDescent="0.2">
      <c r="B27" s="148">
        <v>2100</v>
      </c>
      <c r="C27" s="149">
        <v>0</v>
      </c>
      <c r="D27" s="149">
        <v>0</v>
      </c>
      <c r="E27" s="62"/>
      <c r="F27" s="150"/>
      <c r="G27" s="29"/>
      <c r="H27" s="29" t="s">
        <v>145</v>
      </c>
      <c r="I27" s="29"/>
      <c r="J27" s="29"/>
      <c r="K27" s="29"/>
      <c r="L27" s="29"/>
      <c r="M27" s="29"/>
      <c r="N27" s="29"/>
      <c r="O27" s="62"/>
    </row>
    <row r="28" spans="2:15" ht="15" customHeight="1" x14ac:dyDescent="0.2">
      <c r="B28" s="148">
        <v>2200</v>
      </c>
      <c r="C28" s="149">
        <v>0</v>
      </c>
      <c r="D28" s="149">
        <v>0</v>
      </c>
      <c r="E28" s="62"/>
      <c r="F28" s="150"/>
      <c r="G28" s="29"/>
      <c r="H28" s="29"/>
      <c r="I28" s="29"/>
      <c r="J28" s="29"/>
      <c r="K28" s="29"/>
      <c r="L28" s="29"/>
      <c r="M28" s="29"/>
      <c r="N28" s="29"/>
      <c r="O28" s="62"/>
    </row>
    <row r="29" spans="2:15" ht="15" customHeight="1" x14ac:dyDescent="0.2">
      <c r="B29" s="148">
        <v>2300</v>
      </c>
      <c r="C29" s="149">
        <v>0</v>
      </c>
      <c r="D29" s="149">
        <v>0</v>
      </c>
      <c r="E29" s="62"/>
      <c r="F29" s="150"/>
      <c r="G29" s="29"/>
      <c r="H29" s="29"/>
      <c r="I29" s="29"/>
      <c r="J29" s="29"/>
      <c r="K29" s="29"/>
      <c r="L29" s="29"/>
      <c r="M29" s="29"/>
      <c r="N29" s="29"/>
      <c r="O29" s="62"/>
    </row>
    <row r="30" spans="2:15" ht="15" customHeight="1" x14ac:dyDescent="0.2">
      <c r="B30" s="148">
        <v>2400</v>
      </c>
      <c r="C30" s="149">
        <v>0</v>
      </c>
      <c r="D30" s="149">
        <v>0</v>
      </c>
      <c r="E30" s="62"/>
      <c r="F30" s="150"/>
      <c r="G30" s="29"/>
      <c r="H30" s="29"/>
      <c r="I30" s="29"/>
      <c r="J30" s="29"/>
      <c r="K30" s="29"/>
      <c r="L30" s="29"/>
      <c r="M30" s="29"/>
      <c r="N30" s="29"/>
      <c r="O30" s="62"/>
    </row>
    <row r="31" spans="2:15" ht="15" customHeight="1" x14ac:dyDescent="0.2">
      <c r="B31" s="148">
        <v>2500</v>
      </c>
      <c r="C31" s="149">
        <v>0</v>
      </c>
      <c r="D31" s="149">
        <v>0</v>
      </c>
      <c r="E31" s="62"/>
      <c r="F31" s="150"/>
      <c r="G31" s="29"/>
      <c r="H31" s="29"/>
      <c r="I31" s="29"/>
      <c r="J31" s="29"/>
      <c r="K31" s="29"/>
      <c r="L31" s="29"/>
      <c r="M31" s="29"/>
      <c r="N31" s="29"/>
      <c r="O31" s="62"/>
    </row>
    <row r="32" spans="2:15" ht="15" customHeight="1" x14ac:dyDescent="0.2">
      <c r="B32" s="148">
        <v>2600</v>
      </c>
      <c r="C32" s="149">
        <v>0</v>
      </c>
      <c r="D32" s="149">
        <v>0</v>
      </c>
      <c r="E32" s="62"/>
      <c r="F32" s="150"/>
      <c r="G32" s="29"/>
      <c r="H32" s="29"/>
      <c r="I32" s="29"/>
      <c r="J32" s="29"/>
      <c r="K32" s="29"/>
      <c r="L32" s="29"/>
      <c r="M32" s="29"/>
      <c r="N32" s="29"/>
      <c r="O32" s="62"/>
    </row>
    <row r="33" spans="2:15" ht="15" customHeight="1" x14ac:dyDescent="0.2">
      <c r="B33" s="148">
        <v>2700</v>
      </c>
      <c r="C33" s="149">
        <v>0</v>
      </c>
      <c r="D33" s="149">
        <v>0</v>
      </c>
      <c r="E33" s="62"/>
      <c r="F33" s="150"/>
      <c r="G33" s="29"/>
      <c r="H33" s="29"/>
      <c r="I33" s="29"/>
      <c r="J33" s="29"/>
      <c r="K33" s="29"/>
      <c r="L33" s="29"/>
      <c r="M33" s="29"/>
      <c r="N33" s="29"/>
      <c r="O33" s="62"/>
    </row>
    <row r="34" spans="2:15" ht="15" customHeight="1" x14ac:dyDescent="0.2">
      <c r="B34" s="148">
        <v>2800</v>
      </c>
      <c r="C34" s="149">
        <v>0</v>
      </c>
      <c r="D34" s="149">
        <v>0</v>
      </c>
      <c r="E34" s="62"/>
      <c r="F34" s="150"/>
      <c r="G34" s="29"/>
      <c r="H34" s="29"/>
      <c r="I34" s="29"/>
      <c r="J34" s="29"/>
      <c r="K34" s="29"/>
      <c r="L34" s="29"/>
      <c r="M34" s="29"/>
      <c r="N34" s="29"/>
      <c r="O34" s="62"/>
    </row>
    <row r="35" spans="2:15" ht="15" customHeight="1" x14ac:dyDescent="0.2">
      <c r="B35" s="148">
        <v>2900</v>
      </c>
      <c r="C35" s="149">
        <v>0</v>
      </c>
      <c r="D35" s="149">
        <v>0</v>
      </c>
      <c r="E35" s="62"/>
      <c r="F35" s="27"/>
      <c r="G35" s="27"/>
      <c r="H35" s="27"/>
      <c r="I35" s="27"/>
      <c r="J35" s="27"/>
      <c r="K35" s="27"/>
      <c r="L35" s="29"/>
      <c r="M35" s="29"/>
      <c r="N35" s="29"/>
      <c r="O35" s="62"/>
    </row>
    <row r="36" spans="2:15" ht="15" customHeight="1" x14ac:dyDescent="0.2">
      <c r="B36" s="148">
        <v>3000</v>
      </c>
      <c r="C36" s="149">
        <v>0</v>
      </c>
      <c r="D36" s="149">
        <v>0</v>
      </c>
      <c r="F36" s="172" t="s">
        <v>142</v>
      </c>
      <c r="G36" s="170" t="s">
        <v>121</v>
      </c>
      <c r="H36" s="170" t="s">
        <v>122</v>
      </c>
      <c r="I36" s="170" t="s">
        <v>123</v>
      </c>
      <c r="J36" s="170" t="s">
        <v>124</v>
      </c>
      <c r="K36" s="171" t="s">
        <v>127</v>
      </c>
      <c r="L36" s="170" t="s">
        <v>128</v>
      </c>
      <c r="M36" s="171" t="s">
        <v>129</v>
      </c>
      <c r="N36" s="170" t="s">
        <v>130</v>
      </c>
      <c r="O36" s="62"/>
    </row>
    <row r="37" spans="2:15" ht="15" customHeight="1" x14ac:dyDescent="0.2">
      <c r="B37" s="148">
        <v>3100</v>
      </c>
      <c r="C37" s="149">
        <v>0</v>
      </c>
      <c r="D37" s="149">
        <v>0</v>
      </c>
      <c r="E37" s="62"/>
      <c r="F37" s="173">
        <v>0</v>
      </c>
      <c r="G37" s="8"/>
      <c r="H37" s="169"/>
      <c r="I37" s="169"/>
      <c r="J37" s="169"/>
      <c r="K37" s="29"/>
      <c r="L37" s="29"/>
      <c r="M37" s="29"/>
      <c r="N37" s="29"/>
      <c r="O37" s="62"/>
    </row>
    <row r="38" spans="2:15" ht="15" customHeight="1" x14ac:dyDescent="0.2">
      <c r="B38" s="148">
        <v>3200</v>
      </c>
      <c r="C38" s="149">
        <v>0</v>
      </c>
      <c r="D38" s="149">
        <v>0</v>
      </c>
      <c r="E38" s="160">
        <v>1</v>
      </c>
      <c r="F38" s="174">
        <v>1000</v>
      </c>
      <c r="G38" s="8"/>
      <c r="H38" s="169"/>
      <c r="I38" s="169"/>
      <c r="J38" s="169"/>
      <c r="K38" s="29"/>
      <c r="L38" s="29"/>
      <c r="M38" s="29"/>
      <c r="N38" s="29"/>
      <c r="O38" s="62"/>
    </row>
    <row r="39" spans="2:15" ht="15" customHeight="1" x14ac:dyDescent="0.2">
      <c r="B39" s="148">
        <v>3300</v>
      </c>
      <c r="C39" s="149">
        <v>0</v>
      </c>
      <c r="D39" s="149">
        <v>0</v>
      </c>
      <c r="E39" s="160">
        <v>2</v>
      </c>
      <c r="F39" s="174">
        <f t="shared" ref="F39" si="3">F38*2</f>
        <v>2000</v>
      </c>
      <c r="G39" s="8"/>
      <c r="H39" s="169"/>
      <c r="I39" s="169"/>
      <c r="J39" s="169"/>
      <c r="K39" s="29"/>
      <c r="L39" s="29"/>
      <c r="M39" s="29"/>
      <c r="N39" s="29"/>
      <c r="O39" s="62"/>
    </row>
    <row r="40" spans="2:15" ht="15" customHeight="1" x14ac:dyDescent="0.2">
      <c r="B40" s="148">
        <v>3400</v>
      </c>
      <c r="C40" s="149">
        <v>0</v>
      </c>
      <c r="D40" s="149">
        <v>0</v>
      </c>
      <c r="E40" s="160">
        <v>3</v>
      </c>
      <c r="F40" s="174">
        <v>3000</v>
      </c>
      <c r="G40" s="8"/>
      <c r="H40" s="169"/>
      <c r="I40" s="169"/>
      <c r="J40" s="169"/>
      <c r="K40" s="29"/>
      <c r="L40" s="29"/>
      <c r="M40" s="29"/>
      <c r="N40" s="29"/>
      <c r="O40" s="62"/>
    </row>
    <row r="41" spans="2:15" ht="15" customHeight="1" x14ac:dyDescent="0.2">
      <c r="B41" s="148">
        <v>3500</v>
      </c>
      <c r="C41" s="149">
        <v>0</v>
      </c>
      <c r="D41" s="149">
        <v>0</v>
      </c>
      <c r="E41" s="160">
        <v>4</v>
      </c>
      <c r="F41" s="174">
        <v>4000</v>
      </c>
      <c r="G41" s="8"/>
      <c r="H41" s="169"/>
      <c r="I41" s="169"/>
      <c r="J41" s="169"/>
      <c r="K41" s="29"/>
      <c r="L41" s="29"/>
      <c r="M41" s="29"/>
      <c r="N41" s="29"/>
      <c r="O41" s="62"/>
    </row>
    <row r="42" spans="2:15" ht="15" customHeight="1" x14ac:dyDescent="0.2">
      <c r="B42" s="148">
        <v>3600</v>
      </c>
      <c r="C42" s="149">
        <v>0</v>
      </c>
      <c r="D42" s="149">
        <v>0</v>
      </c>
      <c r="E42" s="160">
        <v>5</v>
      </c>
      <c r="F42" s="174">
        <v>5000</v>
      </c>
      <c r="G42" s="8"/>
      <c r="H42" s="169"/>
      <c r="I42" s="169"/>
      <c r="J42" s="169"/>
      <c r="K42" s="29"/>
      <c r="L42" s="148"/>
      <c r="M42" s="29"/>
      <c r="N42" s="29"/>
      <c r="O42" s="62"/>
    </row>
    <row r="43" spans="2:15" ht="15" customHeight="1" x14ac:dyDescent="0.2">
      <c r="B43" s="148">
        <v>3700</v>
      </c>
      <c r="C43" s="149">
        <v>0</v>
      </c>
      <c r="D43" s="149">
        <v>0</v>
      </c>
      <c r="E43" s="160">
        <v>6</v>
      </c>
      <c r="F43" s="174">
        <v>7500</v>
      </c>
      <c r="G43" s="8"/>
      <c r="H43" s="169"/>
      <c r="I43" s="169"/>
      <c r="J43" s="169"/>
      <c r="K43" s="29"/>
      <c r="L43" s="29"/>
      <c r="M43" s="29"/>
      <c r="N43" s="29"/>
      <c r="O43" s="62"/>
    </row>
    <row r="44" spans="2:15" ht="15" customHeight="1" x14ac:dyDescent="0.2">
      <c r="B44" s="148">
        <v>3800</v>
      </c>
      <c r="C44" s="149">
        <v>0</v>
      </c>
      <c r="D44" s="149">
        <v>0</v>
      </c>
      <c r="E44" s="160">
        <v>7</v>
      </c>
      <c r="F44" s="174">
        <v>10000</v>
      </c>
      <c r="G44" s="8"/>
      <c r="H44" s="169"/>
      <c r="I44" s="169"/>
      <c r="J44" s="169"/>
      <c r="K44" s="29"/>
      <c r="L44" s="29"/>
      <c r="M44" s="29"/>
      <c r="N44" s="29"/>
      <c r="O44" s="62"/>
    </row>
    <row r="45" spans="2:15" ht="15" customHeight="1" x14ac:dyDescent="0.2">
      <c r="B45" s="148">
        <v>3900</v>
      </c>
      <c r="C45" s="149">
        <v>0</v>
      </c>
      <c r="D45" s="149">
        <v>0</v>
      </c>
      <c r="E45" s="160">
        <v>8</v>
      </c>
      <c r="F45" s="174">
        <v>12500</v>
      </c>
      <c r="G45" s="8"/>
      <c r="H45" s="169"/>
      <c r="I45" s="169"/>
      <c r="J45" s="169"/>
      <c r="K45" s="29"/>
      <c r="L45" s="29"/>
      <c r="M45" s="29"/>
      <c r="N45" s="29"/>
      <c r="O45" s="62"/>
    </row>
    <row r="46" spans="2:15" ht="15" customHeight="1" x14ac:dyDescent="0.2">
      <c r="B46" s="148">
        <v>4000</v>
      </c>
      <c r="C46" s="149">
        <v>0</v>
      </c>
      <c r="D46" s="149">
        <v>0</v>
      </c>
      <c r="E46" s="160">
        <v>9</v>
      </c>
      <c r="F46" s="174">
        <v>15000</v>
      </c>
      <c r="G46" s="8"/>
      <c r="H46" s="169"/>
      <c r="I46" s="169"/>
      <c r="J46" s="169"/>
      <c r="K46" s="29"/>
      <c r="L46" s="29"/>
      <c r="M46" s="29"/>
      <c r="N46" s="29"/>
      <c r="O46" s="62"/>
    </row>
    <row r="47" spans="2:15" ht="15" customHeight="1" x14ac:dyDescent="0.2">
      <c r="B47" s="148">
        <v>4100</v>
      </c>
      <c r="C47" s="149">
        <v>0</v>
      </c>
      <c r="D47" s="149">
        <v>0</v>
      </c>
      <c r="E47" s="160">
        <v>10</v>
      </c>
      <c r="F47" s="174">
        <v>20000</v>
      </c>
      <c r="G47" s="8"/>
      <c r="H47" s="169"/>
      <c r="I47" s="169"/>
      <c r="J47" s="169"/>
      <c r="K47" s="29"/>
      <c r="L47" s="29"/>
      <c r="M47" s="29"/>
      <c r="N47" s="29"/>
      <c r="O47" s="62"/>
    </row>
    <row r="48" spans="2:15" ht="15" customHeight="1" x14ac:dyDescent="0.2">
      <c r="B48" s="148">
        <v>4200</v>
      </c>
      <c r="C48" s="149">
        <v>0</v>
      </c>
      <c r="D48" s="149">
        <v>0</v>
      </c>
      <c r="E48" s="160">
        <v>11</v>
      </c>
      <c r="F48" s="174">
        <v>25000</v>
      </c>
      <c r="G48" s="8"/>
      <c r="H48" s="169"/>
      <c r="I48" s="169"/>
      <c r="J48" s="169"/>
      <c r="K48" s="29"/>
      <c r="L48" s="29"/>
      <c r="M48" s="29"/>
      <c r="N48" s="29"/>
      <c r="O48" s="62"/>
    </row>
    <row r="49" spans="2:15" ht="15" customHeight="1" x14ac:dyDescent="0.2">
      <c r="B49" s="148">
        <v>4300</v>
      </c>
      <c r="C49" s="149">
        <v>0</v>
      </c>
      <c r="D49" s="149">
        <v>0</v>
      </c>
      <c r="E49" s="160">
        <v>12</v>
      </c>
      <c r="F49" s="174">
        <v>30000</v>
      </c>
      <c r="G49" s="8"/>
      <c r="H49" s="169"/>
      <c r="I49" s="169"/>
      <c r="J49" s="169"/>
      <c r="K49" s="29"/>
      <c r="L49" s="29"/>
      <c r="M49" s="29"/>
      <c r="N49" s="29"/>
      <c r="O49" s="62"/>
    </row>
    <row r="50" spans="2:15" ht="15" customHeight="1" x14ac:dyDescent="0.2">
      <c r="B50" s="148">
        <v>4400</v>
      </c>
      <c r="C50" s="149">
        <v>0</v>
      </c>
      <c r="D50" s="149">
        <v>0</v>
      </c>
      <c r="E50" s="160">
        <v>13</v>
      </c>
      <c r="F50" s="174">
        <v>40000</v>
      </c>
      <c r="G50" s="8"/>
      <c r="H50" s="169"/>
      <c r="I50" s="169"/>
      <c r="J50" s="169"/>
      <c r="K50" s="29"/>
      <c r="L50" s="29"/>
      <c r="M50" s="29"/>
      <c r="N50" s="29"/>
      <c r="O50" s="62"/>
    </row>
    <row r="51" spans="2:15" ht="15" customHeight="1" x14ac:dyDescent="0.2">
      <c r="B51" s="148">
        <v>4500</v>
      </c>
      <c r="C51" s="149">
        <v>0</v>
      </c>
      <c r="D51" s="149">
        <v>0</v>
      </c>
      <c r="E51" s="160">
        <v>14</v>
      </c>
      <c r="F51" s="174">
        <v>50000</v>
      </c>
      <c r="G51" s="8"/>
      <c r="H51" s="169"/>
      <c r="I51" s="169"/>
      <c r="J51" s="169"/>
      <c r="K51" s="29"/>
      <c r="L51" s="29"/>
      <c r="M51" s="29"/>
      <c r="N51" s="29"/>
      <c r="O51" s="62"/>
    </row>
    <row r="52" spans="2:15" ht="15" customHeight="1" x14ac:dyDescent="0.2">
      <c r="B52" s="148">
        <v>4600</v>
      </c>
      <c r="C52" s="149">
        <v>0</v>
      </c>
      <c r="D52" s="149">
        <v>0</v>
      </c>
      <c r="E52" s="160">
        <v>15</v>
      </c>
      <c r="F52" s="174">
        <v>100000</v>
      </c>
      <c r="G52" s="29"/>
      <c r="H52" s="29"/>
      <c r="I52" s="29"/>
      <c r="J52" s="29"/>
      <c r="K52" s="29"/>
      <c r="L52" s="29"/>
      <c r="M52" s="29"/>
      <c r="N52" s="162"/>
      <c r="O52" s="62"/>
    </row>
    <row r="53" spans="2:15" ht="15" customHeight="1" x14ac:dyDescent="0.2">
      <c r="B53" s="148">
        <v>4700</v>
      </c>
      <c r="C53" s="149">
        <v>0</v>
      </c>
      <c r="D53" s="149">
        <v>0</v>
      </c>
      <c r="E53" s="160"/>
      <c r="F53" s="62"/>
      <c r="G53" s="62"/>
      <c r="H53" s="62"/>
      <c r="I53" s="62"/>
      <c r="J53" s="62"/>
      <c r="K53" s="62"/>
      <c r="L53" s="62"/>
      <c r="M53" s="62"/>
      <c r="N53" s="62"/>
      <c r="O53" s="62"/>
    </row>
    <row r="54" spans="2:15" ht="15" customHeight="1" x14ac:dyDescent="0.2">
      <c r="B54" s="148">
        <v>4800</v>
      </c>
      <c r="C54" s="149">
        <v>0</v>
      </c>
      <c r="D54" s="149">
        <v>0</v>
      </c>
      <c r="E54" s="62"/>
      <c r="F54" s="157" t="s">
        <v>143</v>
      </c>
      <c r="G54" s="151"/>
      <c r="H54" s="151"/>
      <c r="I54" s="61"/>
      <c r="J54" s="29"/>
      <c r="K54" s="152" t="s">
        <v>125</v>
      </c>
      <c r="L54" s="158">
        <v>1</v>
      </c>
      <c r="M54" s="152" t="s">
        <v>126</v>
      </c>
      <c r="N54" s="159">
        <v>28</v>
      </c>
      <c r="O54" s="62"/>
    </row>
    <row r="55" spans="2:15" ht="15" customHeight="1" x14ac:dyDescent="0.2">
      <c r="B55" s="148">
        <v>4900</v>
      </c>
      <c r="C55" s="149">
        <v>0</v>
      </c>
      <c r="D55" s="149">
        <v>0</v>
      </c>
      <c r="E55" s="62"/>
      <c r="F55" s="29"/>
      <c r="G55" s="162"/>
      <c r="H55" s="162"/>
      <c r="I55" s="162"/>
      <c r="J55" s="29"/>
      <c r="K55" s="162"/>
      <c r="L55" s="162"/>
      <c r="M55" s="162"/>
      <c r="N55" s="162"/>
      <c r="O55" s="62"/>
    </row>
    <row r="56" spans="2:15" ht="15" customHeight="1" x14ac:dyDescent="0.25">
      <c r="B56" s="148">
        <v>5000</v>
      </c>
      <c r="C56" s="149">
        <v>0</v>
      </c>
      <c r="D56" s="149">
        <v>0</v>
      </c>
      <c r="E56" s="62"/>
      <c r="F56" s="163" t="s">
        <v>132</v>
      </c>
      <c r="G56" s="170" t="s">
        <v>121</v>
      </c>
      <c r="H56" s="170" t="s">
        <v>122</v>
      </c>
      <c r="I56" s="170" t="s">
        <v>123</v>
      </c>
      <c r="J56" s="170" t="s">
        <v>124</v>
      </c>
      <c r="K56" s="171" t="s">
        <v>127</v>
      </c>
      <c r="L56" s="170" t="s">
        <v>128</v>
      </c>
      <c r="M56" s="171" t="s">
        <v>129</v>
      </c>
      <c r="N56" s="170" t="s">
        <v>130</v>
      </c>
      <c r="O56" s="62"/>
    </row>
    <row r="57" spans="2:15" ht="15" customHeight="1" x14ac:dyDescent="0.2">
      <c r="B57" s="148">
        <v>6000</v>
      </c>
      <c r="C57" s="149">
        <v>0</v>
      </c>
      <c r="D57" s="149">
        <v>0</v>
      </c>
      <c r="E57" s="160">
        <v>1</v>
      </c>
      <c r="F57" s="165" t="s">
        <v>70</v>
      </c>
      <c r="G57" s="148"/>
      <c r="H57" s="148"/>
      <c r="I57" s="166"/>
      <c r="J57" s="166"/>
      <c r="K57" s="166"/>
      <c r="L57" s="166"/>
      <c r="M57" s="166"/>
      <c r="N57" s="166"/>
      <c r="O57" s="62"/>
    </row>
    <row r="58" spans="2:15" ht="15" customHeight="1" x14ac:dyDescent="0.2">
      <c r="B58" s="148">
        <v>7000</v>
      </c>
      <c r="C58" s="149">
        <v>0</v>
      </c>
      <c r="D58" s="149">
        <v>0</v>
      </c>
      <c r="E58" s="160">
        <v>2</v>
      </c>
      <c r="F58" s="165" t="s">
        <v>72</v>
      </c>
      <c r="G58" s="148"/>
      <c r="H58" s="148"/>
      <c r="I58" s="166"/>
      <c r="J58" s="166"/>
      <c r="K58" s="166"/>
      <c r="L58" s="166"/>
      <c r="M58" s="166"/>
      <c r="N58" s="166"/>
      <c r="O58" s="62"/>
    </row>
    <row r="59" spans="2:15" ht="15" customHeight="1" x14ac:dyDescent="0.2">
      <c r="B59" s="148">
        <v>8000</v>
      </c>
      <c r="C59" s="149">
        <v>0</v>
      </c>
      <c r="D59" s="149">
        <v>0</v>
      </c>
      <c r="E59" s="160">
        <v>3</v>
      </c>
      <c r="F59" s="165" t="s">
        <v>73</v>
      </c>
      <c r="G59" s="148"/>
      <c r="H59" s="148"/>
      <c r="I59" s="166"/>
      <c r="J59" s="166"/>
      <c r="K59" s="166"/>
      <c r="L59" s="166"/>
      <c r="M59" s="166"/>
      <c r="N59" s="166"/>
      <c r="O59" s="62"/>
    </row>
    <row r="60" spans="2:15" ht="15" customHeight="1" x14ac:dyDescent="0.2">
      <c r="B60" s="148">
        <v>9000</v>
      </c>
      <c r="C60" s="149">
        <v>0</v>
      </c>
      <c r="D60" s="149">
        <v>0</v>
      </c>
      <c r="E60" s="160">
        <v>4</v>
      </c>
      <c r="F60" s="165" t="s">
        <v>74</v>
      </c>
      <c r="G60" s="148"/>
      <c r="H60" s="148"/>
      <c r="I60" s="166"/>
      <c r="J60" s="166"/>
      <c r="K60" s="166"/>
      <c r="L60" s="166"/>
      <c r="M60" s="166"/>
      <c r="N60" s="166"/>
      <c r="O60" s="62"/>
    </row>
    <row r="61" spans="2:15" ht="15" customHeight="1" x14ac:dyDescent="0.2">
      <c r="B61" s="148">
        <v>10000</v>
      </c>
      <c r="C61" s="149">
        <v>0</v>
      </c>
      <c r="D61" s="149">
        <v>0</v>
      </c>
      <c r="E61" s="160">
        <v>5</v>
      </c>
      <c r="F61" s="165" t="s">
        <v>75</v>
      </c>
      <c r="G61" s="148"/>
      <c r="H61" s="148"/>
      <c r="I61" s="166"/>
      <c r="J61" s="166"/>
      <c r="K61" s="166"/>
      <c r="L61" s="166"/>
      <c r="M61" s="166"/>
      <c r="N61" s="166"/>
      <c r="O61" s="62"/>
    </row>
    <row r="62" spans="2:15" ht="15" customHeight="1" x14ac:dyDescent="0.2">
      <c r="B62" s="148">
        <v>11000</v>
      </c>
      <c r="C62" s="149">
        <v>0</v>
      </c>
      <c r="D62" s="149">
        <v>0</v>
      </c>
      <c r="E62" s="160">
        <v>6</v>
      </c>
      <c r="F62" s="165" t="s">
        <v>76</v>
      </c>
      <c r="G62" s="148"/>
      <c r="H62" s="148"/>
      <c r="I62" s="166"/>
      <c r="J62" s="166"/>
      <c r="K62" s="166"/>
      <c r="L62" s="166"/>
      <c r="M62" s="166"/>
      <c r="N62" s="166"/>
      <c r="O62" s="62"/>
    </row>
    <row r="63" spans="2:15" ht="15" customHeight="1" x14ac:dyDescent="0.2">
      <c r="B63" s="148">
        <v>12000</v>
      </c>
      <c r="C63" s="149">
        <v>0</v>
      </c>
      <c r="D63" s="149">
        <v>0</v>
      </c>
      <c r="E63" s="160">
        <v>7</v>
      </c>
      <c r="F63" s="165" t="s">
        <v>77</v>
      </c>
      <c r="G63" s="148"/>
      <c r="H63" s="148"/>
      <c r="I63" s="166"/>
      <c r="J63" s="166"/>
      <c r="K63" s="166"/>
      <c r="L63" s="166"/>
      <c r="M63" s="166"/>
      <c r="N63" s="166"/>
      <c r="O63" s="62"/>
    </row>
    <row r="64" spans="2:15" ht="15" customHeight="1" x14ac:dyDescent="0.2">
      <c r="B64" s="148">
        <v>13000</v>
      </c>
      <c r="C64" s="149">
        <v>0</v>
      </c>
      <c r="D64" s="149">
        <v>0</v>
      </c>
      <c r="E64" s="160">
        <v>8</v>
      </c>
      <c r="F64" s="165" t="s">
        <v>78</v>
      </c>
      <c r="G64" s="148"/>
      <c r="H64" s="148"/>
      <c r="I64" s="166"/>
      <c r="J64" s="166"/>
      <c r="K64" s="166"/>
      <c r="L64" s="166"/>
      <c r="M64" s="166"/>
      <c r="N64" s="166"/>
      <c r="O64" s="62"/>
    </row>
    <row r="65" spans="2:18" ht="15" customHeight="1" x14ac:dyDescent="0.2">
      <c r="B65" s="148">
        <v>14000</v>
      </c>
      <c r="C65" s="149">
        <v>0</v>
      </c>
      <c r="D65" s="149">
        <v>0</v>
      </c>
      <c r="E65" s="160">
        <v>9</v>
      </c>
      <c r="F65" s="29"/>
      <c r="G65" s="166"/>
      <c r="H65" s="166"/>
      <c r="I65" s="166"/>
      <c r="J65" s="166"/>
      <c r="K65" s="166"/>
      <c r="L65" s="166"/>
      <c r="M65" s="166"/>
      <c r="N65" s="166"/>
      <c r="O65" s="62"/>
    </row>
    <row r="66" spans="2:18" ht="15" customHeight="1" x14ac:dyDescent="0.25">
      <c r="B66" s="148">
        <v>15000</v>
      </c>
      <c r="C66" s="149">
        <v>0</v>
      </c>
      <c r="D66" s="149">
        <v>0</v>
      </c>
      <c r="E66" s="160">
        <v>10</v>
      </c>
      <c r="F66" s="163" t="s">
        <v>80</v>
      </c>
      <c r="G66" s="170" t="s">
        <v>121</v>
      </c>
      <c r="H66" s="170" t="s">
        <v>122</v>
      </c>
      <c r="I66" s="170" t="s">
        <v>123</v>
      </c>
      <c r="J66" s="170" t="s">
        <v>124</v>
      </c>
      <c r="K66" s="171" t="s">
        <v>127</v>
      </c>
      <c r="L66" s="170" t="s">
        <v>128</v>
      </c>
      <c r="M66" s="171" t="s">
        <v>129</v>
      </c>
      <c r="N66" s="170" t="s">
        <v>130</v>
      </c>
      <c r="O66" s="62"/>
    </row>
    <row r="67" spans="2:18" ht="15" customHeight="1" x14ac:dyDescent="0.2">
      <c r="B67" s="148">
        <v>16000</v>
      </c>
      <c r="C67" s="149">
        <v>0</v>
      </c>
      <c r="D67" s="149">
        <v>0</v>
      </c>
      <c r="E67" s="160">
        <v>11</v>
      </c>
      <c r="F67" s="165" t="s">
        <v>70</v>
      </c>
      <c r="G67" s="148"/>
      <c r="H67" s="148"/>
      <c r="I67" s="166"/>
      <c r="J67" s="166"/>
      <c r="K67" s="166"/>
      <c r="L67" s="166"/>
      <c r="M67" s="166"/>
      <c r="N67" s="166"/>
      <c r="O67" s="62"/>
    </row>
    <row r="68" spans="2:18" ht="15" customHeight="1" x14ac:dyDescent="0.2">
      <c r="B68" s="148">
        <v>17000</v>
      </c>
      <c r="C68" s="149">
        <v>0</v>
      </c>
      <c r="D68" s="149">
        <v>0</v>
      </c>
      <c r="E68" s="160">
        <v>12</v>
      </c>
      <c r="F68" s="165" t="s">
        <v>72</v>
      </c>
      <c r="G68" s="148"/>
      <c r="H68" s="148"/>
      <c r="I68" s="166"/>
      <c r="J68" s="166"/>
      <c r="K68" s="166"/>
      <c r="L68" s="166"/>
      <c r="M68" s="166"/>
      <c r="N68" s="166"/>
      <c r="O68" s="62"/>
    </row>
    <row r="69" spans="2:18" ht="15" customHeight="1" x14ac:dyDescent="0.2">
      <c r="B69" s="148">
        <v>18000</v>
      </c>
      <c r="C69" s="149">
        <v>0</v>
      </c>
      <c r="D69" s="149">
        <v>0</v>
      </c>
      <c r="E69" s="160">
        <v>13</v>
      </c>
      <c r="F69" s="165" t="s">
        <v>73</v>
      </c>
      <c r="G69" s="148"/>
      <c r="H69" s="148"/>
      <c r="I69" s="166"/>
      <c r="J69" s="166"/>
      <c r="K69" s="166"/>
      <c r="L69" s="166"/>
      <c r="M69" s="166"/>
      <c r="N69" s="166"/>
      <c r="O69" s="62"/>
    </row>
    <row r="70" spans="2:18" ht="15" customHeight="1" x14ac:dyDescent="0.2">
      <c r="B70" s="148">
        <v>19000</v>
      </c>
      <c r="C70" s="149">
        <v>0</v>
      </c>
      <c r="D70" s="149">
        <v>0</v>
      </c>
      <c r="E70" s="160">
        <v>14</v>
      </c>
      <c r="F70" s="165" t="s">
        <v>74</v>
      </c>
      <c r="G70" s="148"/>
      <c r="H70" s="148"/>
      <c r="I70" s="166"/>
      <c r="J70" s="166"/>
      <c r="K70" s="166"/>
      <c r="L70" s="166"/>
      <c r="M70" s="166"/>
      <c r="N70" s="166"/>
      <c r="O70" s="62"/>
      <c r="P70" s="145"/>
    </row>
    <row r="71" spans="2:18" ht="15" customHeight="1" x14ac:dyDescent="0.2">
      <c r="B71" s="148">
        <v>20000</v>
      </c>
      <c r="C71" s="149">
        <v>0</v>
      </c>
      <c r="D71" s="149">
        <v>0</v>
      </c>
      <c r="E71" s="160">
        <v>15</v>
      </c>
      <c r="F71" s="165" t="s">
        <v>75</v>
      </c>
      <c r="G71" s="148"/>
      <c r="H71" s="148"/>
      <c r="I71" s="166"/>
      <c r="J71" s="166"/>
      <c r="K71" s="166"/>
      <c r="L71" s="166"/>
      <c r="M71" s="166"/>
      <c r="N71" s="166"/>
      <c r="O71" s="62"/>
      <c r="P71" s="145"/>
    </row>
    <row r="72" spans="2:18" ht="15" customHeight="1" x14ac:dyDescent="0.2">
      <c r="B72" s="148">
        <v>21000</v>
      </c>
      <c r="C72" s="149">
        <v>0</v>
      </c>
      <c r="D72" s="149">
        <v>0</v>
      </c>
      <c r="E72" s="160">
        <v>16</v>
      </c>
      <c r="F72" s="165" t="s">
        <v>76</v>
      </c>
      <c r="G72" s="148"/>
      <c r="H72" s="148"/>
      <c r="I72" s="166"/>
      <c r="J72" s="166"/>
      <c r="K72" s="166"/>
      <c r="L72" s="166"/>
      <c r="M72" s="166"/>
      <c r="N72" s="166"/>
      <c r="O72" s="62"/>
      <c r="P72" s="145"/>
    </row>
    <row r="73" spans="2:18" ht="15" customHeight="1" x14ac:dyDescent="0.2">
      <c r="B73" s="148">
        <v>22000</v>
      </c>
      <c r="C73" s="149">
        <v>0</v>
      </c>
      <c r="D73" s="149">
        <v>0</v>
      </c>
      <c r="E73" s="160">
        <v>17</v>
      </c>
      <c r="F73" s="165" t="s">
        <v>77</v>
      </c>
      <c r="G73" s="148"/>
      <c r="H73" s="148"/>
      <c r="I73" s="166"/>
      <c r="J73" s="166"/>
      <c r="K73" s="166"/>
      <c r="L73" s="166"/>
      <c r="M73" s="166"/>
      <c r="N73" s="166"/>
      <c r="O73" s="62"/>
      <c r="P73" s="145"/>
    </row>
    <row r="74" spans="2:18" ht="15" customHeight="1" x14ac:dyDescent="0.2">
      <c r="B74" s="148">
        <v>23000</v>
      </c>
      <c r="C74" s="149">
        <v>0</v>
      </c>
      <c r="D74" s="149">
        <v>0</v>
      </c>
      <c r="E74" s="160">
        <v>18</v>
      </c>
      <c r="F74" s="165" t="s">
        <v>78</v>
      </c>
      <c r="G74" s="148"/>
      <c r="H74" s="148"/>
      <c r="I74" s="166"/>
      <c r="J74" s="166"/>
      <c r="K74" s="166"/>
      <c r="L74" s="166"/>
      <c r="M74" s="166"/>
      <c r="N74" s="166"/>
      <c r="O74" s="62"/>
      <c r="P74" s="145"/>
      <c r="Q74" s="146"/>
      <c r="R74" s="146"/>
    </row>
    <row r="75" spans="2:18" ht="15" customHeight="1" x14ac:dyDescent="0.2">
      <c r="B75" s="148">
        <v>24000</v>
      </c>
      <c r="C75" s="149">
        <v>0</v>
      </c>
      <c r="D75" s="149">
        <v>0</v>
      </c>
      <c r="E75" s="160">
        <v>19</v>
      </c>
      <c r="F75" s="29"/>
      <c r="G75" s="148"/>
      <c r="H75" s="166"/>
      <c r="I75" s="166"/>
      <c r="J75" s="166"/>
      <c r="K75" s="166"/>
      <c r="L75" s="29"/>
      <c r="M75" s="29"/>
      <c r="N75" s="167"/>
      <c r="O75" s="62"/>
      <c r="P75" s="145"/>
    </row>
    <row r="76" spans="2:18" ht="15" customHeight="1" x14ac:dyDescent="0.25">
      <c r="B76" s="148">
        <v>25000</v>
      </c>
      <c r="C76" s="149">
        <v>0</v>
      </c>
      <c r="D76" s="149">
        <v>0</v>
      </c>
      <c r="E76" s="160">
        <v>20</v>
      </c>
      <c r="F76" s="163" t="s">
        <v>79</v>
      </c>
      <c r="G76" s="170" t="s">
        <v>121</v>
      </c>
      <c r="H76" s="170" t="s">
        <v>122</v>
      </c>
      <c r="I76" s="170" t="s">
        <v>123</v>
      </c>
      <c r="J76" s="170" t="s">
        <v>124</v>
      </c>
      <c r="K76" s="171" t="s">
        <v>127</v>
      </c>
      <c r="L76" s="170" t="s">
        <v>128</v>
      </c>
      <c r="M76" s="171" t="s">
        <v>129</v>
      </c>
      <c r="N76" s="170" t="s">
        <v>130</v>
      </c>
      <c r="O76" s="62"/>
      <c r="P76" s="145"/>
    </row>
    <row r="77" spans="2:18" ht="15" customHeight="1" x14ac:dyDescent="0.2">
      <c r="B77" s="148">
        <v>27500</v>
      </c>
      <c r="C77" s="149">
        <v>0</v>
      </c>
      <c r="D77" s="149">
        <v>0</v>
      </c>
      <c r="E77" s="160">
        <v>21</v>
      </c>
      <c r="F77" s="165" t="s">
        <v>70</v>
      </c>
      <c r="G77" s="148"/>
      <c r="H77" s="148"/>
      <c r="I77" s="166"/>
      <c r="J77" s="166"/>
      <c r="K77" s="166"/>
      <c r="L77" s="166"/>
      <c r="M77" s="166"/>
      <c r="N77" s="166"/>
      <c r="O77" s="62"/>
      <c r="P77" s="145"/>
    </row>
    <row r="78" spans="2:18" ht="15" customHeight="1" x14ac:dyDescent="0.2">
      <c r="B78" s="148">
        <v>30000</v>
      </c>
      <c r="C78" s="149">
        <v>0</v>
      </c>
      <c r="D78" s="149">
        <v>0</v>
      </c>
      <c r="E78" s="160">
        <v>22</v>
      </c>
      <c r="F78" s="165" t="s">
        <v>72</v>
      </c>
      <c r="G78" s="148"/>
      <c r="H78" s="148"/>
      <c r="I78" s="166"/>
      <c r="J78" s="166"/>
      <c r="K78" s="166"/>
      <c r="L78" s="166"/>
      <c r="M78" s="166"/>
      <c r="N78" s="166"/>
      <c r="O78" s="62"/>
      <c r="P78" s="145"/>
    </row>
    <row r="79" spans="2:18" ht="15" customHeight="1" x14ac:dyDescent="0.2">
      <c r="B79" s="148">
        <v>32500</v>
      </c>
      <c r="C79" s="149">
        <v>2.1163776866160333E-2</v>
      </c>
      <c r="D79" s="149">
        <v>1798921.0336236283</v>
      </c>
      <c r="E79" s="160">
        <v>23</v>
      </c>
      <c r="F79" s="165" t="s">
        <v>73</v>
      </c>
      <c r="G79" s="148"/>
      <c r="H79" s="148"/>
      <c r="I79" s="166"/>
      <c r="J79" s="166"/>
      <c r="K79" s="166"/>
      <c r="L79" s="166"/>
      <c r="M79" s="166"/>
      <c r="N79" s="166"/>
      <c r="O79" s="62"/>
      <c r="P79" s="145"/>
    </row>
    <row r="80" spans="2:18" ht="15" customHeight="1" x14ac:dyDescent="0.2">
      <c r="B80" s="148">
        <v>35000</v>
      </c>
      <c r="C80" s="149">
        <v>0.2768064186675474</v>
      </c>
      <c r="D80" s="149">
        <v>23528545.586741529</v>
      </c>
      <c r="E80" s="160">
        <v>24</v>
      </c>
      <c r="F80" s="165" t="s">
        <v>74</v>
      </c>
      <c r="G80" s="148"/>
      <c r="H80" s="148"/>
      <c r="I80" s="166"/>
      <c r="J80" s="166"/>
      <c r="K80" s="166"/>
      <c r="L80" s="166"/>
      <c r="M80" s="166"/>
      <c r="N80" s="166"/>
      <c r="O80" s="62"/>
      <c r="P80" s="145"/>
    </row>
    <row r="81" spans="2:16" ht="15" customHeight="1" x14ac:dyDescent="0.2">
      <c r="B81" s="148">
        <v>37500</v>
      </c>
      <c r="C81" s="149">
        <v>0.56560598185751587</v>
      </c>
      <c r="D81" s="149">
        <v>48076508.457888849</v>
      </c>
      <c r="E81" s="160">
        <v>25</v>
      </c>
      <c r="F81" s="165" t="s">
        <v>75</v>
      </c>
      <c r="G81" s="148"/>
      <c r="H81" s="148"/>
      <c r="I81" s="166"/>
      <c r="J81" s="166"/>
      <c r="K81" s="166"/>
      <c r="L81" s="166"/>
      <c r="M81" s="166"/>
      <c r="N81" s="166"/>
      <c r="O81" s="62"/>
      <c r="P81" s="145"/>
    </row>
    <row r="82" spans="2:16" ht="15" customHeight="1" x14ac:dyDescent="0.2">
      <c r="B82" s="148">
        <v>40000</v>
      </c>
      <c r="C82" s="149">
        <v>0.85466347564943135</v>
      </c>
      <c r="D82" s="149">
        <v>72646395.430201665</v>
      </c>
      <c r="E82" s="160">
        <v>26</v>
      </c>
      <c r="F82" s="165" t="s">
        <v>76</v>
      </c>
      <c r="G82" s="148"/>
      <c r="H82" s="148"/>
      <c r="I82" s="166"/>
      <c r="J82" s="166"/>
      <c r="K82" s="166"/>
      <c r="L82" s="166"/>
      <c r="M82" s="166"/>
      <c r="N82" s="166"/>
      <c r="O82" s="62"/>
      <c r="P82" s="145"/>
    </row>
    <row r="83" spans="2:16" ht="15" customHeight="1" x14ac:dyDescent="0.2">
      <c r="B83" s="148">
        <v>42500</v>
      </c>
      <c r="C83" s="149">
        <v>1.2490576537093148</v>
      </c>
      <c r="D83" s="149">
        <v>106169900.56529176</v>
      </c>
      <c r="E83" s="160">
        <v>27</v>
      </c>
      <c r="F83" s="165" t="s">
        <v>77</v>
      </c>
      <c r="G83" s="148"/>
      <c r="H83" s="148"/>
      <c r="I83" s="166"/>
      <c r="J83" s="166"/>
      <c r="K83" s="166"/>
      <c r="L83" s="166"/>
      <c r="M83" s="166"/>
      <c r="N83" s="166"/>
      <c r="P83" s="145"/>
    </row>
    <row r="84" spans="2:16" ht="15" customHeight="1" x14ac:dyDescent="0.2">
      <c r="B84" s="148">
        <v>45000</v>
      </c>
      <c r="C84" s="149">
        <v>1.7312381343217567</v>
      </c>
      <c r="D84" s="149">
        <v>147155241.41734931</v>
      </c>
      <c r="E84" s="160">
        <v>28</v>
      </c>
      <c r="F84" s="165" t="s">
        <v>78</v>
      </c>
      <c r="G84" s="148"/>
      <c r="H84" s="148"/>
      <c r="I84" s="166"/>
      <c r="J84" s="166"/>
      <c r="K84" s="166"/>
      <c r="L84" s="166"/>
      <c r="M84" s="166"/>
      <c r="N84" s="166"/>
      <c r="P84" s="145"/>
    </row>
    <row r="85" spans="2:16" ht="15" customHeight="1" x14ac:dyDescent="0.2">
      <c r="B85" s="148">
        <v>47500</v>
      </c>
      <c r="C85" s="149">
        <v>2.3318856069818139</v>
      </c>
      <c r="D85" s="149">
        <v>198210276.59345418</v>
      </c>
      <c r="E85" s="161">
        <v>29</v>
      </c>
      <c r="F85" s="29"/>
      <c r="G85" s="29"/>
      <c r="H85" s="29"/>
      <c r="I85" s="29"/>
      <c r="J85" s="29"/>
      <c r="K85" s="29"/>
      <c r="L85" s="29"/>
      <c r="M85" s="29"/>
      <c r="N85" s="29"/>
      <c r="P85" s="145"/>
    </row>
    <row r="86" spans="2:16" ht="15" customHeight="1" x14ac:dyDescent="0.25">
      <c r="B86" s="148">
        <v>50000</v>
      </c>
      <c r="C86" s="149">
        <v>2.9955507222330198</v>
      </c>
      <c r="D86" s="149">
        <v>254621811.38980669</v>
      </c>
      <c r="E86" s="161">
        <v>30</v>
      </c>
      <c r="F86" s="163" t="s">
        <v>81</v>
      </c>
      <c r="G86" s="170" t="s">
        <v>121</v>
      </c>
      <c r="H86" s="170" t="s">
        <v>122</v>
      </c>
      <c r="I86" s="170" t="s">
        <v>123</v>
      </c>
      <c r="J86" s="170" t="s">
        <v>124</v>
      </c>
      <c r="K86" s="171" t="s">
        <v>127</v>
      </c>
      <c r="L86" s="170" t="s">
        <v>128</v>
      </c>
      <c r="M86" s="171" t="s">
        <v>129</v>
      </c>
      <c r="N86" s="170" t="s">
        <v>130</v>
      </c>
      <c r="P86" s="145"/>
    </row>
    <row r="87" spans="2:16" ht="15" customHeight="1" x14ac:dyDescent="0.2">
      <c r="B87" s="148">
        <v>52500</v>
      </c>
      <c r="C87" s="149">
        <v>3.7584106277208775</v>
      </c>
      <c r="D87" s="149">
        <v>319464903.3562746</v>
      </c>
      <c r="E87" s="161">
        <v>31</v>
      </c>
      <c r="F87" s="107" t="s">
        <v>82</v>
      </c>
      <c r="G87" s="29"/>
      <c r="H87" s="29"/>
      <c r="I87" s="29"/>
      <c r="J87" s="29"/>
      <c r="K87" s="29"/>
      <c r="L87" s="29"/>
      <c r="M87" s="29"/>
      <c r="N87" s="29"/>
      <c r="P87" s="145"/>
    </row>
    <row r="88" spans="2:16" ht="15" customHeight="1" x14ac:dyDescent="0.2">
      <c r="B88" s="148">
        <v>55000</v>
      </c>
      <c r="C88" s="149">
        <v>4.787741884123534</v>
      </c>
      <c r="D88" s="149">
        <v>406958060.15050042</v>
      </c>
      <c r="E88" s="161">
        <v>32</v>
      </c>
      <c r="F88" s="165" t="s">
        <v>83</v>
      </c>
      <c r="G88" s="29"/>
      <c r="H88" s="29"/>
      <c r="I88" s="29"/>
      <c r="J88" s="29"/>
      <c r="K88" s="29"/>
      <c r="L88" s="29"/>
      <c r="M88" s="29"/>
      <c r="N88" s="29"/>
      <c r="P88" s="145"/>
    </row>
    <row r="89" spans="2:16" ht="15" customHeight="1" x14ac:dyDescent="0.2">
      <c r="B89" s="148">
        <v>57500</v>
      </c>
      <c r="C89" s="149">
        <v>6.0335683217272162</v>
      </c>
      <c r="D89" s="149">
        <v>512853307.34681338</v>
      </c>
      <c r="E89" s="62"/>
      <c r="F89" s="62"/>
      <c r="G89" s="62"/>
      <c r="H89" s="62"/>
      <c r="I89" s="62"/>
      <c r="J89" s="62"/>
      <c r="K89" s="62"/>
      <c r="L89" s="62"/>
      <c r="M89" s="62"/>
      <c r="N89" s="62"/>
      <c r="P89" s="145"/>
    </row>
    <row r="90" spans="2:16" ht="15" customHeight="1" x14ac:dyDescent="0.2">
      <c r="B90" s="148">
        <v>60000</v>
      </c>
      <c r="C90" s="149">
        <v>7.5036569968797266</v>
      </c>
      <c r="D90" s="149">
        <v>637810844.73477674</v>
      </c>
      <c r="E90" s="62"/>
      <c r="F90" s="151" t="s">
        <v>144</v>
      </c>
      <c r="G90" s="61"/>
      <c r="H90" s="61"/>
      <c r="I90" s="61"/>
      <c r="J90" s="29"/>
      <c r="K90" s="152" t="s">
        <v>125</v>
      </c>
      <c r="L90" s="158">
        <v>1</v>
      </c>
      <c r="M90" s="152" t="s">
        <v>126</v>
      </c>
      <c r="N90" s="159">
        <v>4</v>
      </c>
      <c r="P90" s="145"/>
    </row>
    <row r="91" spans="2:16" ht="15" customHeight="1" x14ac:dyDescent="0.2">
      <c r="B91" s="148">
        <v>62500</v>
      </c>
      <c r="C91" s="149">
        <v>9.105628703488037</v>
      </c>
      <c r="D91" s="149">
        <v>773978439.79648316</v>
      </c>
      <c r="E91" s="62"/>
      <c r="F91" s="29"/>
      <c r="G91" s="162"/>
      <c r="H91" s="162"/>
      <c r="I91" s="162"/>
      <c r="J91" s="29"/>
      <c r="K91" s="162"/>
      <c r="L91" s="162"/>
      <c r="M91" s="162"/>
      <c r="N91" s="162"/>
      <c r="P91" s="145"/>
    </row>
    <row r="92" spans="2:16" ht="15" customHeight="1" x14ac:dyDescent="0.25">
      <c r="B92" s="148">
        <v>65000</v>
      </c>
      <c r="C92" s="149">
        <v>10.785152753349394</v>
      </c>
      <c r="D92" s="149">
        <v>916737984.03469849</v>
      </c>
      <c r="E92" s="62"/>
      <c r="F92" s="163" t="s">
        <v>131</v>
      </c>
      <c r="G92" s="170" t="s">
        <v>121</v>
      </c>
      <c r="H92" s="170" t="s">
        <v>122</v>
      </c>
      <c r="I92" s="170" t="s">
        <v>123</v>
      </c>
      <c r="J92" s="170" t="s">
        <v>124</v>
      </c>
      <c r="K92" s="171" t="s">
        <v>127</v>
      </c>
      <c r="L92" s="170" t="s">
        <v>128</v>
      </c>
      <c r="M92" s="171" t="s">
        <v>129</v>
      </c>
      <c r="N92" s="170" t="s">
        <v>130</v>
      </c>
      <c r="P92" s="145"/>
    </row>
    <row r="93" spans="2:16" ht="15" customHeight="1" x14ac:dyDescent="0.2">
      <c r="B93" s="148">
        <v>67500</v>
      </c>
      <c r="C93" s="149">
        <v>12.553907354362309</v>
      </c>
      <c r="D93" s="149">
        <v>1067082125.1207962</v>
      </c>
      <c r="E93" s="62"/>
      <c r="F93" s="165" t="s">
        <v>132</v>
      </c>
      <c r="G93" s="168"/>
      <c r="H93" s="168"/>
      <c r="I93" s="168"/>
      <c r="J93" s="168"/>
      <c r="K93" s="164"/>
      <c r="L93" s="164"/>
      <c r="M93" s="164"/>
      <c r="N93" s="164"/>
      <c r="P93" s="145"/>
    </row>
    <row r="94" spans="2:16" ht="15" customHeight="1" x14ac:dyDescent="0.2">
      <c r="B94" s="148">
        <v>70000</v>
      </c>
      <c r="C94" s="149">
        <v>14.495491991518065</v>
      </c>
      <c r="D94" s="149">
        <v>1232116819.2790356</v>
      </c>
      <c r="E94" s="62"/>
      <c r="F94" s="165" t="s">
        <v>80</v>
      </c>
      <c r="G94" s="168"/>
      <c r="H94" s="168"/>
      <c r="I94" s="168"/>
      <c r="J94" s="168"/>
      <c r="K94" s="164"/>
      <c r="L94" s="164"/>
      <c r="M94" s="164"/>
      <c r="N94" s="164"/>
      <c r="P94" s="145"/>
    </row>
    <row r="95" spans="2:16" ht="15" customHeight="1" x14ac:dyDescent="0.2">
      <c r="B95" s="148">
        <v>72500</v>
      </c>
      <c r="C95" s="149">
        <v>16.513339568860829</v>
      </c>
      <c r="D95" s="149">
        <v>1403633863.3531704</v>
      </c>
      <c r="E95" s="62"/>
      <c r="F95" s="165" t="s">
        <v>79</v>
      </c>
      <c r="G95" s="168"/>
      <c r="H95" s="168"/>
      <c r="I95" s="168"/>
      <c r="J95" s="168"/>
      <c r="K95" s="164"/>
      <c r="L95" s="164"/>
      <c r="M95" s="164"/>
      <c r="N95" s="164"/>
      <c r="P95" s="145"/>
    </row>
    <row r="96" spans="2:16" ht="15" customHeight="1" x14ac:dyDescent="0.2">
      <c r="B96" s="148">
        <v>75000</v>
      </c>
      <c r="C96" s="149">
        <v>18.636460155481473</v>
      </c>
      <c r="D96" s="149">
        <v>1584099113.2159252</v>
      </c>
      <c r="E96" s="62"/>
      <c r="F96" s="165" t="s">
        <v>133</v>
      </c>
      <c r="G96" s="168"/>
      <c r="H96" s="168"/>
      <c r="I96" s="168"/>
      <c r="J96" s="168"/>
      <c r="K96" s="164"/>
      <c r="L96" s="164"/>
      <c r="M96" s="164"/>
      <c r="N96" s="164"/>
      <c r="P96" s="145"/>
    </row>
    <row r="97" spans="2:16" ht="15" customHeight="1" x14ac:dyDescent="0.2">
      <c r="B97" s="148">
        <v>77500</v>
      </c>
      <c r="C97" s="149">
        <v>20.862731197150424</v>
      </c>
      <c r="D97" s="149">
        <v>1773332151.757786</v>
      </c>
      <c r="E97" s="62"/>
      <c r="F97" s="62"/>
      <c r="G97" s="62"/>
      <c r="H97" s="62"/>
      <c r="I97" s="62"/>
      <c r="J97" s="62"/>
      <c r="K97" s="62"/>
      <c r="L97" s="62"/>
      <c r="M97" s="62"/>
      <c r="N97" s="62"/>
      <c r="P97" s="145"/>
    </row>
    <row r="98" spans="2:16" ht="15" customHeight="1" x14ac:dyDescent="0.2">
      <c r="B98" s="148">
        <v>80000</v>
      </c>
      <c r="C98" s="149">
        <v>23.241547268349677</v>
      </c>
      <c r="D98" s="149">
        <v>1975531517.8097227</v>
      </c>
      <c r="F98" s="157" t="s">
        <v>139</v>
      </c>
      <c r="G98" s="151"/>
      <c r="H98" s="151"/>
      <c r="I98" s="61"/>
      <c r="J98" s="29"/>
      <c r="K98" s="152" t="s">
        <v>125</v>
      </c>
      <c r="L98" s="158">
        <v>1</v>
      </c>
      <c r="M98" s="152" t="s">
        <v>126</v>
      </c>
      <c r="N98" s="159">
        <v>28</v>
      </c>
      <c r="P98" s="145"/>
    </row>
    <row r="99" spans="2:16" ht="15" customHeight="1" x14ac:dyDescent="0.2">
      <c r="B99" s="148">
        <v>82500</v>
      </c>
      <c r="C99" s="149">
        <v>25.707530880346894</v>
      </c>
      <c r="D99" s="149">
        <v>2185140124.8294859</v>
      </c>
      <c r="F99" s="29"/>
      <c r="G99" s="162"/>
      <c r="H99" s="162"/>
      <c r="I99" s="162"/>
      <c r="J99" s="29"/>
      <c r="K99" s="162"/>
      <c r="L99" s="162"/>
      <c r="M99" s="162"/>
      <c r="N99" s="162"/>
      <c r="P99" s="145"/>
    </row>
    <row r="100" spans="2:16" ht="15" customHeight="1" x14ac:dyDescent="0.25">
      <c r="B100" s="148">
        <v>85000</v>
      </c>
      <c r="C100" s="149">
        <v>28.31605585408397</v>
      </c>
      <c r="D100" s="149">
        <v>2406864747.5971375</v>
      </c>
      <c r="F100" s="163" t="s">
        <v>132</v>
      </c>
      <c r="G100" s="170" t="s">
        <v>121</v>
      </c>
      <c r="H100" s="170" t="s">
        <v>122</v>
      </c>
      <c r="I100" s="170" t="s">
        <v>123</v>
      </c>
      <c r="J100" s="170" t="s">
        <v>124</v>
      </c>
      <c r="K100" s="171" t="s">
        <v>127</v>
      </c>
      <c r="L100" s="170" t="s">
        <v>128</v>
      </c>
      <c r="M100" s="171" t="s">
        <v>129</v>
      </c>
      <c r="N100" s="170" t="s">
        <v>130</v>
      </c>
      <c r="P100" s="145"/>
    </row>
    <row r="101" spans="2:16" ht="15" customHeight="1" x14ac:dyDescent="0.2">
      <c r="B101" s="148">
        <v>87500</v>
      </c>
      <c r="C101" s="149">
        <v>31.00638359063305</v>
      </c>
      <c r="D101" s="149">
        <v>2635542605.2038093</v>
      </c>
      <c r="F101" s="165" t="s">
        <v>70</v>
      </c>
      <c r="G101" s="148"/>
      <c r="H101" s="148"/>
      <c r="I101" s="166"/>
      <c r="J101" s="166"/>
      <c r="K101" s="166"/>
      <c r="L101" s="166"/>
      <c r="M101" s="166"/>
      <c r="N101" s="166"/>
      <c r="P101" s="145"/>
    </row>
    <row r="102" spans="2:16" ht="15" customHeight="1" x14ac:dyDescent="0.2">
      <c r="B102" s="148">
        <v>90000</v>
      </c>
      <c r="C102" s="149">
        <v>33.864744185935706</v>
      </c>
      <c r="D102" s="149">
        <v>2878503255.8045349</v>
      </c>
      <c r="F102" s="165" t="s">
        <v>72</v>
      </c>
      <c r="G102" s="148"/>
      <c r="H102" s="148"/>
      <c r="I102" s="166"/>
      <c r="J102" s="166"/>
      <c r="K102" s="166"/>
      <c r="L102" s="166"/>
      <c r="M102" s="166"/>
      <c r="N102" s="166"/>
      <c r="P102" s="145"/>
    </row>
    <row r="103" spans="2:16" ht="15" customHeight="1" x14ac:dyDescent="0.2">
      <c r="B103" s="148">
        <v>92500</v>
      </c>
      <c r="C103" s="149">
        <v>36.813201329903677</v>
      </c>
      <c r="D103" s="149">
        <v>3129122113.0418124</v>
      </c>
      <c r="F103" s="165" t="s">
        <v>73</v>
      </c>
      <c r="G103" s="148"/>
      <c r="H103" s="148"/>
      <c r="I103" s="166"/>
      <c r="J103" s="166"/>
      <c r="K103" s="166"/>
      <c r="L103" s="166"/>
      <c r="M103" s="166"/>
      <c r="N103" s="166"/>
      <c r="P103" s="145"/>
    </row>
    <row r="104" spans="2:16" ht="15" customHeight="1" x14ac:dyDescent="0.2">
      <c r="B104" s="148">
        <v>95000</v>
      </c>
      <c r="C104" s="149">
        <v>39.824048515642062</v>
      </c>
      <c r="D104" s="149">
        <v>3385044123.8295751</v>
      </c>
      <c r="F104" s="165" t="s">
        <v>74</v>
      </c>
      <c r="G104" s="148"/>
      <c r="H104" s="148"/>
      <c r="I104" s="166"/>
      <c r="J104" s="166"/>
      <c r="K104" s="166"/>
      <c r="L104" s="166"/>
      <c r="M104" s="166"/>
      <c r="N104" s="166"/>
      <c r="P104" s="145"/>
    </row>
    <row r="105" spans="2:16" ht="15" customHeight="1" x14ac:dyDescent="0.2">
      <c r="B105" s="148">
        <v>97500</v>
      </c>
      <c r="C105" s="149">
        <v>42.872165021719411</v>
      </c>
      <c r="D105" s="149">
        <v>3644134026.8461499</v>
      </c>
      <c r="F105" s="165" t="s">
        <v>75</v>
      </c>
      <c r="G105" s="148"/>
      <c r="H105" s="148"/>
      <c r="I105" s="166"/>
      <c r="J105" s="166"/>
      <c r="K105" s="166"/>
      <c r="L105" s="166"/>
      <c r="M105" s="166"/>
      <c r="N105" s="166"/>
      <c r="P105" s="145"/>
    </row>
    <row r="106" spans="2:16" ht="15" customHeight="1" x14ac:dyDescent="0.2">
      <c r="B106" s="148">
        <v>100000</v>
      </c>
      <c r="C106" s="149">
        <v>45.975015344563872</v>
      </c>
      <c r="D106" s="149">
        <v>3907876304.2879291</v>
      </c>
      <c r="F106" s="165" t="s">
        <v>76</v>
      </c>
      <c r="G106" s="148"/>
      <c r="H106" s="148"/>
      <c r="I106" s="166"/>
      <c r="J106" s="166"/>
      <c r="K106" s="166"/>
      <c r="L106" s="166"/>
      <c r="M106" s="166"/>
      <c r="N106" s="166"/>
      <c r="P106" s="145"/>
    </row>
    <row r="107" spans="2:16" ht="15" customHeight="1" x14ac:dyDescent="0.2">
      <c r="B107" s="148">
        <v>102500</v>
      </c>
      <c r="C107" s="149">
        <v>49.142169903963804</v>
      </c>
      <c r="D107" s="149">
        <v>4177084441.8369236</v>
      </c>
      <c r="F107" s="165" t="s">
        <v>77</v>
      </c>
      <c r="G107" s="148"/>
      <c r="H107" s="148"/>
      <c r="I107" s="166"/>
      <c r="J107" s="166"/>
      <c r="K107" s="166"/>
      <c r="L107" s="166"/>
      <c r="M107" s="166"/>
      <c r="N107" s="166"/>
      <c r="P107" s="145"/>
    </row>
    <row r="108" spans="2:16" ht="15" customHeight="1" x14ac:dyDescent="0.2">
      <c r="B108" s="148">
        <v>105000</v>
      </c>
      <c r="C108" s="149">
        <v>52.373328333254904</v>
      </c>
      <c r="D108" s="149">
        <v>4451732908.3266668</v>
      </c>
      <c r="F108" s="165" t="s">
        <v>78</v>
      </c>
      <c r="G108" s="148"/>
      <c r="H108" s="148"/>
      <c r="I108" s="166"/>
      <c r="J108" s="166"/>
      <c r="K108" s="166"/>
      <c r="L108" s="166"/>
      <c r="M108" s="166"/>
      <c r="N108" s="166"/>
      <c r="P108" s="145"/>
    </row>
    <row r="109" spans="2:16" ht="15" customHeight="1" x14ac:dyDescent="0.2">
      <c r="B109" s="148">
        <v>107500</v>
      </c>
      <c r="C109" s="149">
        <v>55.693295189645141</v>
      </c>
      <c r="D109" s="149">
        <v>4733930091.1198368</v>
      </c>
      <c r="F109" s="29"/>
      <c r="G109" s="166"/>
      <c r="H109" s="166"/>
      <c r="I109" s="166"/>
      <c r="J109" s="166"/>
      <c r="K109" s="166"/>
      <c r="L109" s="166"/>
      <c r="M109" s="166"/>
      <c r="N109" s="166"/>
      <c r="P109" s="145"/>
    </row>
    <row r="110" spans="2:16" ht="15" customHeight="1" x14ac:dyDescent="0.25">
      <c r="B110" s="148">
        <v>110000</v>
      </c>
      <c r="C110" s="149">
        <v>59.059640154242516</v>
      </c>
      <c r="D110" s="149">
        <v>5020069413.1106138</v>
      </c>
      <c r="F110" s="163" t="s">
        <v>80</v>
      </c>
      <c r="G110" s="170" t="s">
        <v>121</v>
      </c>
      <c r="H110" s="170" t="s">
        <v>122</v>
      </c>
      <c r="I110" s="170" t="s">
        <v>123</v>
      </c>
      <c r="J110" s="170" t="s">
        <v>124</v>
      </c>
      <c r="K110" s="171" t="s">
        <v>127</v>
      </c>
      <c r="L110" s="170" t="s">
        <v>128</v>
      </c>
      <c r="M110" s="171" t="s">
        <v>129</v>
      </c>
      <c r="N110" s="170" t="s">
        <v>130</v>
      </c>
      <c r="P110" s="145"/>
    </row>
    <row r="111" spans="2:16" ht="15" customHeight="1" x14ac:dyDescent="0.2">
      <c r="B111" s="148">
        <v>112500</v>
      </c>
      <c r="C111" s="149">
        <v>62.425985119305551</v>
      </c>
      <c r="D111" s="149">
        <v>5306208735.1409721</v>
      </c>
      <c r="F111" s="165" t="s">
        <v>70</v>
      </c>
      <c r="G111" s="148"/>
      <c r="H111" s="148"/>
      <c r="I111" s="166"/>
      <c r="J111" s="166"/>
      <c r="K111" s="166"/>
      <c r="L111" s="166"/>
      <c r="M111" s="166"/>
      <c r="N111" s="166"/>
      <c r="P111" s="145"/>
    </row>
    <row r="112" spans="2:16" ht="15" customHeight="1" x14ac:dyDescent="0.2">
      <c r="B112" s="148">
        <v>115000</v>
      </c>
      <c r="C112" s="149">
        <v>65.828120910096914</v>
      </c>
      <c r="D112" s="149">
        <v>5595390277.3582373</v>
      </c>
      <c r="F112" s="165" t="s">
        <v>72</v>
      </c>
      <c r="G112" s="148"/>
      <c r="H112" s="148"/>
      <c r="I112" s="166"/>
      <c r="J112" s="166"/>
      <c r="K112" s="166"/>
      <c r="L112" s="166"/>
      <c r="M112" s="166"/>
      <c r="N112" s="166"/>
      <c r="P112" s="145"/>
    </row>
    <row r="113" spans="2:16" ht="15" customHeight="1" x14ac:dyDescent="0.2">
      <c r="B113" s="148">
        <v>117500</v>
      </c>
      <c r="C113" s="149">
        <v>69.268486094661057</v>
      </c>
      <c r="D113" s="149">
        <v>5887821318.0461903</v>
      </c>
      <c r="F113" s="165" t="s">
        <v>73</v>
      </c>
      <c r="G113" s="148"/>
      <c r="H113" s="148"/>
      <c r="I113" s="166"/>
      <c r="J113" s="166"/>
      <c r="K113" s="166"/>
      <c r="L113" s="166"/>
      <c r="M113" s="166"/>
      <c r="N113" s="166"/>
      <c r="P113" s="145"/>
    </row>
    <row r="114" spans="2:16" ht="15" customHeight="1" x14ac:dyDescent="0.2">
      <c r="B114" s="148">
        <v>120000</v>
      </c>
      <c r="C114" s="149">
        <v>72.75270012114197</v>
      </c>
      <c r="D114" s="149">
        <v>6183979510.2970676</v>
      </c>
      <c r="F114" s="165" t="s">
        <v>74</v>
      </c>
      <c r="G114" s="148"/>
      <c r="H114" s="148"/>
      <c r="I114" s="166"/>
      <c r="J114" s="166"/>
      <c r="K114" s="166"/>
      <c r="L114" s="166"/>
      <c r="M114" s="166"/>
      <c r="N114" s="166"/>
    </row>
    <row r="115" spans="2:16" ht="15" customHeight="1" x14ac:dyDescent="0.2">
      <c r="B115" s="148">
        <v>122500</v>
      </c>
      <c r="C115" s="149">
        <v>76.326539660803974</v>
      </c>
      <c r="D115" s="149">
        <v>6487755871.1683378</v>
      </c>
      <c r="F115" s="165" t="s">
        <v>75</v>
      </c>
      <c r="G115" s="148"/>
      <c r="H115" s="148"/>
      <c r="I115" s="166"/>
      <c r="J115" s="166"/>
      <c r="K115" s="166"/>
      <c r="L115" s="166"/>
      <c r="M115" s="166"/>
      <c r="N115" s="166"/>
    </row>
    <row r="116" spans="2:16" ht="15" customHeight="1" x14ac:dyDescent="0.2">
      <c r="B116" s="148">
        <v>125000</v>
      </c>
      <c r="C116" s="149">
        <v>79.972341689746827</v>
      </c>
      <c r="D116" s="149">
        <v>6797649043.62848</v>
      </c>
      <c r="F116" s="165" t="s">
        <v>76</v>
      </c>
      <c r="G116" s="148"/>
      <c r="H116" s="148"/>
      <c r="I116" s="166"/>
      <c r="J116" s="166"/>
      <c r="K116" s="166"/>
      <c r="L116" s="166"/>
      <c r="M116" s="166"/>
      <c r="N116" s="166"/>
    </row>
    <row r="117" spans="2:16" ht="15" customHeight="1" x14ac:dyDescent="0.2">
      <c r="B117" s="148">
        <v>127500</v>
      </c>
      <c r="C117" s="149">
        <v>83.696688855066895</v>
      </c>
      <c r="D117" s="149">
        <v>7114218552.680686</v>
      </c>
      <c r="F117" s="165" t="s">
        <v>77</v>
      </c>
      <c r="G117" s="148"/>
      <c r="H117" s="148"/>
      <c r="I117" s="166"/>
      <c r="J117" s="166"/>
      <c r="K117" s="166"/>
      <c r="L117" s="166"/>
      <c r="M117" s="166"/>
      <c r="N117" s="166"/>
    </row>
    <row r="118" spans="2:16" ht="15" customHeight="1" x14ac:dyDescent="0.2">
      <c r="B118" s="148">
        <v>130000</v>
      </c>
      <c r="C118" s="149">
        <v>87.490971602965146</v>
      </c>
      <c r="D118" s="149">
        <v>7436732586.252037</v>
      </c>
      <c r="F118" s="165" t="s">
        <v>78</v>
      </c>
      <c r="G118" s="148"/>
      <c r="H118" s="148"/>
      <c r="I118" s="166"/>
      <c r="J118" s="166"/>
      <c r="K118" s="166"/>
      <c r="L118" s="166"/>
      <c r="M118" s="166"/>
      <c r="N118" s="166"/>
    </row>
    <row r="119" spans="2:16" ht="15" customHeight="1" x14ac:dyDescent="0.2">
      <c r="B119" s="148">
        <v>132500</v>
      </c>
      <c r="C119" s="149">
        <v>91.349097517319024</v>
      </c>
      <c r="D119" s="149">
        <v>7764673288.9721174</v>
      </c>
      <c r="F119" s="29"/>
      <c r="G119" s="148"/>
      <c r="H119" s="166"/>
      <c r="I119" s="166"/>
      <c r="J119" s="166"/>
      <c r="K119" s="166"/>
      <c r="L119" s="29"/>
      <c r="M119" s="29"/>
      <c r="N119" s="167"/>
    </row>
    <row r="120" spans="2:16" ht="15" customHeight="1" x14ac:dyDescent="0.25">
      <c r="B120" s="148">
        <v>135000</v>
      </c>
      <c r="C120" s="149">
        <v>95.257761884015054</v>
      </c>
      <c r="D120" s="149">
        <v>8096909760.1412792</v>
      </c>
      <c r="F120" s="163" t="s">
        <v>79</v>
      </c>
      <c r="G120" s="170" t="s">
        <v>121</v>
      </c>
      <c r="H120" s="170" t="s">
        <v>122</v>
      </c>
      <c r="I120" s="170" t="s">
        <v>123</v>
      </c>
      <c r="J120" s="170" t="s">
        <v>124</v>
      </c>
      <c r="K120" s="171" t="s">
        <v>127</v>
      </c>
      <c r="L120" s="170" t="s">
        <v>128</v>
      </c>
      <c r="M120" s="171" t="s">
        <v>129</v>
      </c>
      <c r="N120" s="170" t="s">
        <v>130</v>
      </c>
    </row>
    <row r="121" spans="2:16" ht="15" customHeight="1" x14ac:dyDescent="0.2">
      <c r="B121" s="148">
        <v>137500</v>
      </c>
      <c r="C121" s="149">
        <v>99.202049903105944</v>
      </c>
      <c r="D121" s="149">
        <v>8432174241.7640057</v>
      </c>
      <c r="F121" s="165" t="s">
        <v>70</v>
      </c>
      <c r="G121" s="148"/>
      <c r="H121" s="148"/>
      <c r="I121" s="166"/>
      <c r="J121" s="166"/>
      <c r="K121" s="166"/>
      <c r="L121" s="166"/>
      <c r="M121" s="166"/>
      <c r="N121" s="166"/>
    </row>
    <row r="122" spans="2:16" ht="15" customHeight="1" x14ac:dyDescent="0.2">
      <c r="B122" s="148">
        <v>140000</v>
      </c>
      <c r="C122" s="149">
        <v>103.19853327795863</v>
      </c>
      <c r="D122" s="149">
        <v>8771875328.6264839</v>
      </c>
      <c r="F122" s="165" t="s">
        <v>72</v>
      </c>
      <c r="G122" s="148"/>
      <c r="H122" s="148"/>
      <c r="I122" s="166"/>
      <c r="J122" s="166"/>
      <c r="K122" s="166"/>
      <c r="L122" s="166"/>
      <c r="M122" s="166"/>
      <c r="N122" s="166"/>
    </row>
    <row r="123" spans="2:16" ht="15" customHeight="1" x14ac:dyDescent="0.2">
      <c r="B123" s="148">
        <v>142500</v>
      </c>
      <c r="C123" s="149">
        <v>107.23558148927987</v>
      </c>
      <c r="D123" s="149">
        <v>9115024426.588789</v>
      </c>
      <c r="F123" s="165" t="s">
        <v>73</v>
      </c>
      <c r="G123" s="148"/>
      <c r="H123" s="148"/>
      <c r="I123" s="166"/>
      <c r="J123" s="166"/>
      <c r="K123" s="166"/>
      <c r="L123" s="166"/>
      <c r="M123" s="166"/>
      <c r="N123" s="166"/>
    </row>
    <row r="124" spans="2:16" ht="15" customHeight="1" x14ac:dyDescent="0.2">
      <c r="B124" s="148">
        <v>145000</v>
      </c>
      <c r="C124" s="149">
        <v>111.30893273930997</v>
      </c>
      <c r="D124" s="149">
        <v>9461259282.8413467</v>
      </c>
      <c r="F124" s="165" t="s">
        <v>74</v>
      </c>
      <c r="G124" s="148"/>
      <c r="H124" s="148"/>
      <c r="I124" s="166"/>
      <c r="J124" s="166"/>
      <c r="K124" s="166"/>
      <c r="L124" s="166"/>
      <c r="M124" s="166"/>
      <c r="N124" s="166"/>
    </row>
    <row r="125" spans="2:16" ht="15" customHeight="1" x14ac:dyDescent="0.2">
      <c r="B125" s="148">
        <v>147500</v>
      </c>
      <c r="C125" s="149">
        <v>115.39490210730582</v>
      </c>
      <c r="D125" s="149">
        <v>9808566679.1209946</v>
      </c>
      <c r="F125" s="165" t="s">
        <v>75</v>
      </c>
      <c r="G125" s="148"/>
      <c r="H125" s="148"/>
      <c r="I125" s="166"/>
      <c r="J125" s="166"/>
      <c r="K125" s="166"/>
      <c r="L125" s="166"/>
      <c r="M125" s="166"/>
      <c r="N125" s="166"/>
    </row>
    <row r="126" spans="2:16" ht="15" customHeight="1" x14ac:dyDescent="0.2">
      <c r="B126" s="148">
        <v>150000</v>
      </c>
      <c r="C126" s="149">
        <v>119.59595681726933</v>
      </c>
      <c r="D126" s="149">
        <v>10165656329.467892</v>
      </c>
      <c r="F126" s="165" t="s">
        <v>76</v>
      </c>
      <c r="G126" s="148"/>
      <c r="H126" s="148"/>
      <c r="I126" s="166"/>
      <c r="J126" s="166"/>
      <c r="K126" s="166"/>
      <c r="L126" s="166"/>
      <c r="M126" s="166"/>
      <c r="N126" s="166"/>
    </row>
    <row r="127" spans="2:16" ht="15" customHeight="1" x14ac:dyDescent="0.2">
      <c r="B127" s="148">
        <v>152500</v>
      </c>
      <c r="C127" s="149">
        <v>123.83778127189726</v>
      </c>
      <c r="D127" s="149">
        <v>10526211408.111267</v>
      </c>
      <c r="F127" s="165" t="s">
        <v>77</v>
      </c>
      <c r="G127" s="148"/>
      <c r="H127" s="148"/>
      <c r="I127" s="166"/>
      <c r="J127" s="166"/>
      <c r="K127" s="166"/>
      <c r="L127" s="166"/>
      <c r="M127" s="166"/>
      <c r="N127" s="166"/>
    </row>
    <row r="128" spans="2:16" ht="15" customHeight="1" x14ac:dyDescent="0.2">
      <c r="B128" s="148">
        <v>155000</v>
      </c>
      <c r="C128" s="149">
        <v>128.11435039388016</v>
      </c>
      <c r="D128" s="149">
        <v>10889719783.479813</v>
      </c>
      <c r="F128" s="165" t="s">
        <v>78</v>
      </c>
      <c r="G128" s="148"/>
      <c r="H128" s="148"/>
      <c r="I128" s="166"/>
      <c r="J128" s="166"/>
      <c r="K128" s="166"/>
      <c r="L128" s="166"/>
      <c r="M128" s="166"/>
      <c r="N128" s="166"/>
    </row>
    <row r="129" spans="2:14" ht="15" customHeight="1" x14ac:dyDescent="0.2">
      <c r="B129" s="148">
        <v>157500</v>
      </c>
      <c r="C129" s="149">
        <v>132.43413814157248</v>
      </c>
      <c r="D129" s="149">
        <v>11256901742.033661</v>
      </c>
      <c r="F129" s="29"/>
      <c r="G129" s="29"/>
      <c r="H129" s="29"/>
      <c r="I129" s="29"/>
      <c r="J129" s="29"/>
      <c r="K129" s="29"/>
      <c r="L129" s="29"/>
      <c r="M129" s="29"/>
      <c r="N129" s="29"/>
    </row>
    <row r="130" spans="2:14" ht="15" customHeight="1" x14ac:dyDescent="0.25">
      <c r="B130" s="148">
        <v>160000</v>
      </c>
      <c r="C130" s="149">
        <v>136.75392589578405</v>
      </c>
      <c r="D130" s="149">
        <v>11624083701.141644</v>
      </c>
      <c r="F130" s="163" t="s">
        <v>81</v>
      </c>
      <c r="G130" s="170" t="s">
        <v>121</v>
      </c>
      <c r="H130" s="170" t="s">
        <v>122</v>
      </c>
      <c r="I130" s="170" t="s">
        <v>123</v>
      </c>
      <c r="J130" s="170" t="s">
        <v>124</v>
      </c>
      <c r="K130" s="171" t="s">
        <v>127</v>
      </c>
      <c r="L130" s="170" t="s">
        <v>128</v>
      </c>
      <c r="M130" s="171" t="s">
        <v>129</v>
      </c>
      <c r="N130" s="170" t="s">
        <v>130</v>
      </c>
    </row>
    <row r="131" spans="2:14" ht="15" customHeight="1" x14ac:dyDescent="0.2">
      <c r="B131" s="148">
        <v>162500</v>
      </c>
      <c r="C131" s="149">
        <v>141.07535812119022</v>
      </c>
      <c r="D131" s="149">
        <v>11991405440.301168</v>
      </c>
      <c r="F131" s="107" t="s">
        <v>82</v>
      </c>
      <c r="G131" s="29"/>
      <c r="H131" s="29"/>
      <c r="I131" s="29"/>
      <c r="J131" s="29"/>
      <c r="K131" s="29"/>
      <c r="L131" s="29"/>
      <c r="M131" s="29"/>
      <c r="N131" s="29"/>
    </row>
    <row r="132" spans="2:14" ht="15" customHeight="1" x14ac:dyDescent="0.2">
      <c r="B132" s="148">
        <v>165000</v>
      </c>
      <c r="C132" s="149">
        <v>145.42515666643158</v>
      </c>
      <c r="D132" s="149">
        <v>12361138316.646685</v>
      </c>
      <c r="F132" s="165" t="s">
        <v>83</v>
      </c>
      <c r="G132" s="29"/>
      <c r="H132" s="29"/>
      <c r="I132" s="29"/>
      <c r="J132" s="29"/>
      <c r="K132" s="29"/>
      <c r="L132" s="29"/>
      <c r="M132" s="29"/>
      <c r="N132" s="29"/>
    </row>
    <row r="133" spans="2:14" ht="15" customHeight="1" x14ac:dyDescent="0.2">
      <c r="B133" s="148">
        <v>167500</v>
      </c>
      <c r="C133" s="149">
        <v>149.79961284389719</v>
      </c>
      <c r="D133" s="149">
        <v>12732967091.731262</v>
      </c>
      <c r="F133" s="62"/>
      <c r="G133" s="62"/>
      <c r="H133" s="62"/>
      <c r="I133" s="62"/>
      <c r="J133" s="62"/>
      <c r="K133" s="62"/>
      <c r="L133" s="62"/>
      <c r="M133" s="62"/>
      <c r="N133" s="62"/>
    </row>
    <row r="134" spans="2:14" ht="15" customHeight="1" x14ac:dyDescent="0.2">
      <c r="B134" s="148">
        <v>170000</v>
      </c>
      <c r="C134" s="149">
        <v>154.21608622744679</v>
      </c>
      <c r="D134" s="149">
        <v>13108367329.332977</v>
      </c>
      <c r="F134" s="151" t="s">
        <v>140</v>
      </c>
      <c r="G134" s="61"/>
      <c r="H134" s="61"/>
      <c r="I134" s="61"/>
      <c r="J134" s="29"/>
      <c r="K134" s="152" t="s">
        <v>125</v>
      </c>
      <c r="L134" s="158">
        <v>1</v>
      </c>
      <c r="M134" s="152" t="s">
        <v>126</v>
      </c>
      <c r="N134" s="159">
        <v>4</v>
      </c>
    </row>
    <row r="135" spans="2:14" ht="15" customHeight="1" x14ac:dyDescent="0.2">
      <c r="B135" s="148">
        <v>172500</v>
      </c>
      <c r="C135" s="149">
        <v>158.65904711699113</v>
      </c>
      <c r="D135" s="149">
        <v>13486019004.944246</v>
      </c>
      <c r="F135" s="29"/>
      <c r="G135" s="162"/>
      <c r="H135" s="162"/>
      <c r="I135" s="162"/>
      <c r="J135" s="29"/>
      <c r="K135" s="162"/>
      <c r="L135" s="162"/>
      <c r="M135" s="162"/>
      <c r="N135" s="162"/>
    </row>
    <row r="136" spans="2:14" ht="15" customHeight="1" x14ac:dyDescent="0.25">
      <c r="B136" s="148">
        <v>175000</v>
      </c>
      <c r="C136" s="149">
        <v>163.11404556408525</v>
      </c>
      <c r="D136" s="149">
        <v>13864693872.947247</v>
      </c>
      <c r="F136" s="163" t="s">
        <v>131</v>
      </c>
      <c r="G136" s="170" t="s">
        <v>121</v>
      </c>
      <c r="H136" s="170" t="s">
        <v>122</v>
      </c>
      <c r="I136" s="170" t="s">
        <v>123</v>
      </c>
      <c r="J136" s="170" t="s">
        <v>124</v>
      </c>
      <c r="K136" s="171" t="s">
        <v>127</v>
      </c>
      <c r="L136" s="170" t="s">
        <v>128</v>
      </c>
      <c r="M136" s="171" t="s">
        <v>129</v>
      </c>
      <c r="N136" s="170" t="s">
        <v>130</v>
      </c>
    </row>
    <row r="137" spans="2:14" ht="15" customHeight="1" x14ac:dyDescent="0.2">
      <c r="B137" s="148">
        <v>177500</v>
      </c>
      <c r="C137" s="149">
        <v>167.58780872216448</v>
      </c>
      <c r="D137" s="149">
        <v>14244963741.383982</v>
      </c>
      <c r="F137" s="165" t="s">
        <v>132</v>
      </c>
      <c r="G137" s="168"/>
      <c r="H137" s="168"/>
      <c r="I137" s="168"/>
      <c r="J137" s="168"/>
      <c r="K137" s="164"/>
      <c r="L137" s="164"/>
      <c r="M137" s="164"/>
      <c r="N137" s="164"/>
    </row>
    <row r="138" spans="2:14" ht="15" customHeight="1" x14ac:dyDescent="0.2">
      <c r="B138" s="148">
        <v>180000</v>
      </c>
      <c r="C138" s="149">
        <v>172.10099388193339</v>
      </c>
      <c r="D138" s="149">
        <v>14628584479.964338</v>
      </c>
      <c r="F138" s="165" t="s">
        <v>80</v>
      </c>
      <c r="G138" s="168"/>
      <c r="H138" s="168"/>
      <c r="I138" s="168"/>
      <c r="J138" s="168"/>
      <c r="K138" s="164"/>
      <c r="L138" s="164"/>
      <c r="M138" s="164"/>
      <c r="N138" s="164"/>
    </row>
    <row r="139" spans="2:14" ht="15" customHeight="1" x14ac:dyDescent="0.2">
      <c r="B139" s="148">
        <v>182500</v>
      </c>
      <c r="C139" s="149">
        <v>176.61417904216796</v>
      </c>
      <c r="D139" s="149">
        <v>15012205218.584276</v>
      </c>
      <c r="F139" s="165" t="s">
        <v>79</v>
      </c>
      <c r="G139" s="168"/>
      <c r="H139" s="168"/>
      <c r="I139" s="168"/>
      <c r="J139" s="168"/>
      <c r="K139" s="164"/>
      <c r="L139" s="164"/>
      <c r="M139" s="164"/>
      <c r="N139" s="164"/>
    </row>
    <row r="140" spans="2:14" ht="15" customHeight="1" x14ac:dyDescent="0.2">
      <c r="B140" s="148">
        <v>185000</v>
      </c>
      <c r="C140" s="149">
        <v>181.12736420752481</v>
      </c>
      <c r="D140" s="149">
        <v>15395825957.639608</v>
      </c>
      <c r="F140" s="165" t="s">
        <v>133</v>
      </c>
      <c r="G140" s="168"/>
      <c r="H140" s="168"/>
      <c r="I140" s="168"/>
      <c r="J140" s="168"/>
      <c r="K140" s="164"/>
      <c r="L140" s="164"/>
      <c r="M140" s="164"/>
      <c r="N140" s="164"/>
    </row>
    <row r="141" spans="2:14" ht="15" customHeight="1" x14ac:dyDescent="0.2">
      <c r="B141" s="148">
        <v>187500</v>
      </c>
      <c r="C141" s="149">
        <v>185.68113729683682</v>
      </c>
      <c r="D141" s="149">
        <v>15782896670.231131</v>
      </c>
    </row>
    <row r="142" spans="2:14" ht="15" customHeight="1" x14ac:dyDescent="0.2">
      <c r="B142" s="148">
        <v>190000</v>
      </c>
      <c r="C142" s="149">
        <v>190.24652406480163</v>
      </c>
      <c r="D142" s="149">
        <v>16170954545.508139</v>
      </c>
    </row>
    <row r="143" spans="2:14" ht="15" customHeight="1" x14ac:dyDescent="0.2">
      <c r="B143" s="148">
        <v>192500</v>
      </c>
      <c r="C143" s="149">
        <v>194.81191083043814</v>
      </c>
      <c r="D143" s="149">
        <v>16559012420.587242</v>
      </c>
    </row>
    <row r="144" spans="2:14" ht="15" customHeight="1" x14ac:dyDescent="0.2">
      <c r="B144" s="148">
        <v>195000</v>
      </c>
      <c r="C144" s="149">
        <v>199.411289205309</v>
      </c>
      <c r="D144" s="149">
        <v>16949959582.451265</v>
      </c>
    </row>
    <row r="145" spans="2:15" ht="15" customHeight="1" x14ac:dyDescent="0.2">
      <c r="B145" s="148">
        <v>197500</v>
      </c>
      <c r="C145" s="149">
        <v>204.02649431768805</v>
      </c>
      <c r="D145" s="149">
        <v>17342252017.003483</v>
      </c>
    </row>
    <row r="146" spans="2:15" ht="15" customHeight="1" x14ac:dyDescent="0.2">
      <c r="B146" s="148">
        <v>200000</v>
      </c>
      <c r="C146" s="149">
        <v>208.65481588710099</v>
      </c>
      <c r="D146" s="149">
        <v>17735659350.403584</v>
      </c>
    </row>
    <row r="147" spans="2:15" x14ac:dyDescent="0.2">
      <c r="B147" s="148">
        <v>250000</v>
      </c>
      <c r="C147" s="149">
        <v>304.65374799724668</v>
      </c>
      <c r="D147" s="149">
        <v>25895568579.765968</v>
      </c>
    </row>
    <row r="148" spans="2:15" x14ac:dyDescent="0.2">
      <c r="B148" s="148">
        <v>300000</v>
      </c>
      <c r="C148" s="149">
        <v>405.32563055772334</v>
      </c>
      <c r="D148" s="149">
        <v>34452678597.406487</v>
      </c>
    </row>
    <row r="149" spans="2:15" x14ac:dyDescent="0.2">
      <c r="B149" s="148">
        <v>350000</v>
      </c>
      <c r="C149" s="149">
        <v>509.35954266786575</v>
      </c>
      <c r="D149" s="149">
        <v>43295561126.768585</v>
      </c>
    </row>
    <row r="150" spans="2:15" x14ac:dyDescent="0.2">
      <c r="B150" s="148">
        <v>400000</v>
      </c>
      <c r="C150" s="149">
        <v>614.48793050646782</v>
      </c>
      <c r="D150" s="149">
        <v>52231474093.049767</v>
      </c>
      <c r="O150" s="62"/>
    </row>
    <row r="151" spans="2:15" x14ac:dyDescent="0.2">
      <c r="B151" s="148">
        <v>450000</v>
      </c>
      <c r="C151" s="149">
        <v>721.10598832182586</v>
      </c>
      <c r="D151" s="149">
        <v>61294009007.355202</v>
      </c>
      <c r="O151" s="62"/>
    </row>
    <row r="152" spans="2:15" x14ac:dyDescent="0.2">
      <c r="B152" s="148">
        <v>500000</v>
      </c>
      <c r="C152" s="149">
        <v>829.33585160784423</v>
      </c>
      <c r="D152" s="149">
        <v>70493547386.666763</v>
      </c>
      <c r="O152" s="62"/>
    </row>
    <row r="153" spans="2:15" x14ac:dyDescent="0.2">
      <c r="B153" s="148">
        <v>550000</v>
      </c>
      <c r="C153" s="149">
        <v>938.48442027904093</v>
      </c>
      <c r="D153" s="149">
        <v>79771175723.718475</v>
      </c>
      <c r="O153" s="62"/>
    </row>
    <row r="154" spans="2:15" x14ac:dyDescent="0.2">
      <c r="B154" s="148">
        <v>600000</v>
      </c>
      <c r="C154" s="149">
        <v>1048.2998310048133</v>
      </c>
      <c r="D154" s="149">
        <v>89105485635.409134</v>
      </c>
      <c r="O154" s="62"/>
    </row>
    <row r="155" spans="2:15" x14ac:dyDescent="0.2">
      <c r="B155" s="62"/>
      <c r="C155" s="62"/>
      <c r="D155" s="62"/>
      <c r="O155" s="62"/>
    </row>
    <row r="156" spans="2:15" x14ac:dyDescent="0.2">
      <c r="B156" s="62"/>
      <c r="C156" s="62"/>
      <c r="D156" s="62"/>
      <c r="O156" s="62"/>
    </row>
    <row r="157" spans="2:15" x14ac:dyDescent="0.2">
      <c r="B157" s="62"/>
      <c r="C157" s="62"/>
      <c r="D157" s="62"/>
      <c r="O157" s="62"/>
    </row>
    <row r="158" spans="2:15" x14ac:dyDescent="0.2">
      <c r="B158" s="62"/>
      <c r="C158" s="62"/>
      <c r="D158" s="62"/>
      <c r="O158" s="62"/>
    </row>
    <row r="159" spans="2:15" x14ac:dyDescent="0.2">
      <c r="B159" s="62"/>
      <c r="C159" s="62"/>
      <c r="D159" s="62"/>
      <c r="O159" s="62"/>
    </row>
    <row r="160" spans="2:15" x14ac:dyDescent="0.2">
      <c r="B160" s="62"/>
      <c r="C160" s="62"/>
      <c r="D160" s="62"/>
      <c r="O160" s="62"/>
    </row>
    <row r="161" spans="2:15" x14ac:dyDescent="0.2">
      <c r="B161" s="62"/>
      <c r="C161" s="62"/>
      <c r="D161" s="62"/>
      <c r="O161" s="62"/>
    </row>
    <row r="162" spans="2:15" x14ac:dyDescent="0.2">
      <c r="O162" s="62"/>
    </row>
    <row r="163" spans="2:15" x14ac:dyDescent="0.2">
      <c r="O163" s="62"/>
    </row>
    <row r="164" spans="2:15" x14ac:dyDescent="0.2">
      <c r="O164" s="62"/>
    </row>
    <row r="165" spans="2:15" x14ac:dyDescent="0.2">
      <c r="O165" s="62"/>
    </row>
    <row r="166" spans="2:15" x14ac:dyDescent="0.2">
      <c r="O166" s="62"/>
    </row>
    <row r="167" spans="2:15" x14ac:dyDescent="0.2">
      <c r="O167" s="62"/>
    </row>
    <row r="168" spans="2:15" x14ac:dyDescent="0.2">
      <c r="O168" s="62"/>
    </row>
    <row r="169" spans="2:15" x14ac:dyDescent="0.2">
      <c r="O169" s="62"/>
    </row>
    <row r="170" spans="2:15" x14ac:dyDescent="0.2">
      <c r="O170" s="62"/>
    </row>
    <row r="171" spans="2:15" x14ac:dyDescent="0.2">
      <c r="O171" s="62"/>
    </row>
    <row r="172" spans="2:15" x14ac:dyDescent="0.2">
      <c r="O172" s="62"/>
    </row>
    <row r="173" spans="2:15" x14ac:dyDescent="0.2">
      <c r="O173" s="62"/>
    </row>
    <row r="174" spans="2:15" x14ac:dyDescent="0.2">
      <c r="O174" s="62"/>
    </row>
    <row r="175" spans="2:15" x14ac:dyDescent="0.2">
      <c r="O175" s="62"/>
    </row>
    <row r="176" spans="2:15" x14ac:dyDescent="0.2">
      <c r="O176" s="62"/>
    </row>
    <row r="177" spans="15:15" x14ac:dyDescent="0.2">
      <c r="O177" s="62"/>
    </row>
    <row r="178" spans="15:15" x14ac:dyDescent="0.2">
      <c r="O178" s="62"/>
    </row>
    <row r="179" spans="15:15" x14ac:dyDescent="0.2">
      <c r="O179" s="62"/>
    </row>
    <row r="180" spans="15:15" x14ac:dyDescent="0.2">
      <c r="O180" s="62"/>
    </row>
    <row r="181" spans="15:15" x14ac:dyDescent="0.2">
      <c r="O181" s="62"/>
    </row>
    <row r="182" spans="15:15" x14ac:dyDescent="0.2">
      <c r="O182" s="62"/>
    </row>
    <row r="183" spans="15:15" x14ac:dyDescent="0.2">
      <c r="O183" s="62"/>
    </row>
    <row r="184" spans="15:15" x14ac:dyDescent="0.2">
      <c r="O184" s="62"/>
    </row>
    <row r="185" spans="15:15" x14ac:dyDescent="0.2">
      <c r="O185" s="62"/>
    </row>
    <row r="186" spans="15:15" x14ac:dyDescent="0.2">
      <c r="O186" s="62"/>
    </row>
    <row r="187" spans="15:15" x14ac:dyDescent="0.2">
      <c r="O187" s="62"/>
    </row>
    <row r="188" spans="15:15" x14ac:dyDescent="0.2">
      <c r="O188" s="62"/>
    </row>
    <row r="189" spans="15:15" x14ac:dyDescent="0.2">
      <c r="O189" s="62"/>
    </row>
    <row r="190" spans="15:15" x14ac:dyDescent="0.2">
      <c r="O190" s="62"/>
    </row>
    <row r="191" spans="15:15" x14ac:dyDescent="0.2">
      <c r="O191" s="62"/>
    </row>
    <row r="192" spans="15:15" x14ac:dyDescent="0.2">
      <c r="O192" s="62"/>
    </row>
    <row r="193" spans="15:15" x14ac:dyDescent="0.2">
      <c r="O193" s="62"/>
    </row>
    <row r="194" spans="15:15" x14ac:dyDescent="0.2">
      <c r="O194" s="62"/>
    </row>
    <row r="195" spans="15:15" x14ac:dyDescent="0.2">
      <c r="O195" s="62"/>
    </row>
    <row r="196" spans="15:15" x14ac:dyDescent="0.2">
      <c r="O196" s="62"/>
    </row>
    <row r="197" spans="15:15" x14ac:dyDescent="0.2">
      <c r="O197" s="62"/>
    </row>
    <row r="198" spans="15:15" x14ac:dyDescent="0.2">
      <c r="O198" s="62"/>
    </row>
    <row r="199" spans="15:15" x14ac:dyDescent="0.2">
      <c r="O199" s="62"/>
    </row>
    <row r="200" spans="15:15" x14ac:dyDescent="0.2">
      <c r="O200" s="62"/>
    </row>
    <row r="201" spans="15:15" x14ac:dyDescent="0.2">
      <c r="O201" s="62"/>
    </row>
    <row r="202" spans="15:15" x14ac:dyDescent="0.2">
      <c r="O202" s="62"/>
    </row>
    <row r="203" spans="15:15" x14ac:dyDescent="0.2">
      <c r="O203" s="62"/>
    </row>
    <row r="204" spans="15:15" x14ac:dyDescent="0.2">
      <c r="O204" s="62"/>
    </row>
    <row r="205" spans="15:15" x14ac:dyDescent="0.2">
      <c r="O205" s="62"/>
    </row>
    <row r="215" spans="15:15" x14ac:dyDescent="0.2">
      <c r="O215" s="62"/>
    </row>
    <row r="237" spans="7:12" x14ac:dyDescent="0.2">
      <c r="G237">
        <v>12.265415678072527</v>
      </c>
      <c r="H237">
        <v>4.3121101597682641</v>
      </c>
      <c r="I237">
        <v>3.4779940672535758E-3</v>
      </c>
      <c r="J237">
        <v>0</v>
      </c>
      <c r="K237" t="e">
        <v>#DIV/0!</v>
      </c>
      <c r="L237" t="e">
        <v>#DIV/0!</v>
      </c>
    </row>
  </sheetData>
  <sortState ref="F94:F96">
    <sortCondition ref="F93"/>
  </sortState>
  <mergeCells count="1">
    <mergeCell ref="N8:N15"/>
  </mergeCells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11F75-5FDF-4AFA-88D3-E8BC17F2D98A}">
  <sheetPr codeName="Sheet03"/>
  <dimension ref="A1:BH10018"/>
  <sheetViews>
    <sheetView showGridLines="0" zoomScale="80" zoomScaleNormal="80" workbookViewId="0">
      <pane xSplit="2" ySplit="15" topLeftCell="AL16" activePane="bottomRight" state="frozen"/>
      <selection activeCell="H22" sqref="H22"/>
      <selection pane="topRight" activeCell="H22" sqref="H22"/>
      <selection pane="bottomLeft" activeCell="H22" sqref="H22"/>
      <selection pane="bottomRight" activeCell="AN36" sqref="AN36:AO36"/>
    </sheetView>
  </sheetViews>
  <sheetFormatPr defaultColWidth="8.625" defaultRowHeight="14.25" x14ac:dyDescent="0.2"/>
  <cols>
    <col min="1" max="1" width="2.625" customWidth="1"/>
    <col min="2" max="2" width="8.625" customWidth="1"/>
    <col min="3" max="8" width="12.625" customWidth="1"/>
    <col min="9" max="13" width="8.625" customWidth="1"/>
    <col min="14" max="16" width="12.625" customWidth="1"/>
    <col min="17" max="21" width="8.625" customWidth="1"/>
    <col min="22" max="23" width="8.625" hidden="1" customWidth="1"/>
    <col min="24" max="31" width="12.625" customWidth="1"/>
    <col min="32" max="33" width="12.625" hidden="1" customWidth="1"/>
    <col min="34" max="41" width="12.625" customWidth="1"/>
    <col min="42" max="43" width="12.625" hidden="1" customWidth="1"/>
    <col min="44" max="51" width="12.625" customWidth="1"/>
    <col min="52" max="53" width="12.625" hidden="1" customWidth="1"/>
    <col min="54" max="55" width="8.625" customWidth="1"/>
    <col min="57" max="60" width="12.625" customWidth="1"/>
  </cols>
  <sheetData>
    <row r="1" spans="1:60" s="5" customFormat="1" ht="30" customHeight="1" thickBot="1" x14ac:dyDescent="0.25">
      <c r="A1" s="4" t="s">
        <v>0</v>
      </c>
      <c r="AZ1" s="5">
        <f>COUNTIF(AZ16:AZ115,"&lt;0")</f>
        <v>0</v>
      </c>
      <c r="BA1" s="194"/>
    </row>
    <row r="2" spans="1:60" s="51" customFormat="1" ht="15" customHeight="1" x14ac:dyDescent="0.2">
      <c r="A2"/>
      <c r="R2" s="51" t="str">
        <f>Parameters!B18</f>
        <v>Screening/Testing Costs</v>
      </c>
      <c r="X2" s="51" t="str">
        <f>Parameters!B24</f>
        <v>Adherence: Patients Who Use Recommendation</v>
      </c>
      <c r="AH2" s="51" t="str">
        <f>Parameters!B34</f>
        <v>Penetrance</v>
      </c>
      <c r="AR2" s="51" t="str">
        <f>Parameters!B44</f>
        <v>Prevalence</v>
      </c>
      <c r="AZ2"/>
      <c r="BA2"/>
      <c r="BB2" s="51" t="str">
        <f>Parameters!B54</f>
        <v>Avoidance of Screening</v>
      </c>
      <c r="BE2" s="51" t="s">
        <v>286</v>
      </c>
    </row>
    <row r="3" spans="1:60" s="51" customFormat="1" ht="15.75" customHeight="1" x14ac:dyDescent="0.25">
      <c r="A3"/>
      <c r="B3" s="197"/>
      <c r="C3" s="198" t="s">
        <v>287</v>
      </c>
      <c r="D3" s="198"/>
      <c r="E3" s="198"/>
      <c r="F3" s="198"/>
      <c r="G3" s="198"/>
      <c r="H3" s="199"/>
      <c r="R3" s="318" t="s">
        <v>64</v>
      </c>
      <c r="S3" s="316" t="s">
        <v>66</v>
      </c>
      <c r="T3" s="316" t="s">
        <v>67</v>
      </c>
      <c r="U3" s="320" t="s">
        <v>68</v>
      </c>
      <c r="V3"/>
      <c r="W3"/>
      <c r="X3" s="318" t="s">
        <v>70</v>
      </c>
      <c r="Y3" s="316" t="s">
        <v>72</v>
      </c>
      <c r="Z3" s="316" t="s">
        <v>73</v>
      </c>
      <c r="AA3" s="316" t="s">
        <v>74</v>
      </c>
      <c r="AB3" s="316" t="s">
        <v>75</v>
      </c>
      <c r="AC3" s="316" t="s">
        <v>76</v>
      </c>
      <c r="AD3" s="316" t="s">
        <v>77</v>
      </c>
      <c r="AE3" s="320" t="s">
        <v>78</v>
      </c>
      <c r="AF3" s="214"/>
      <c r="AG3" s="214"/>
      <c r="AH3" s="318" t="s">
        <v>70</v>
      </c>
      <c r="AI3" s="316" t="s">
        <v>72</v>
      </c>
      <c r="AJ3" s="316" t="s">
        <v>73</v>
      </c>
      <c r="AK3" s="316" t="s">
        <v>74</v>
      </c>
      <c r="AL3" s="316" t="s">
        <v>75</v>
      </c>
      <c r="AM3" s="316" t="s">
        <v>76</v>
      </c>
      <c r="AN3" s="316" t="s">
        <v>77</v>
      </c>
      <c r="AO3" s="320" t="s">
        <v>78</v>
      </c>
      <c r="AP3" s="214"/>
      <c r="AQ3" s="214"/>
      <c r="AR3" s="318" t="s">
        <v>70</v>
      </c>
      <c r="AS3" s="316" t="s">
        <v>72</v>
      </c>
      <c r="AT3" s="316" t="s">
        <v>73</v>
      </c>
      <c r="AU3" s="316" t="s">
        <v>74</v>
      </c>
      <c r="AV3" s="316" t="s">
        <v>75</v>
      </c>
      <c r="AW3" s="316" t="s">
        <v>76</v>
      </c>
      <c r="AX3" s="316" t="s">
        <v>77</v>
      </c>
      <c r="AY3" s="320" t="s">
        <v>78</v>
      </c>
      <c r="AZ3"/>
      <c r="BA3"/>
      <c r="BB3" s="318" t="s">
        <v>98</v>
      </c>
      <c r="BC3" s="320" t="s">
        <v>99</v>
      </c>
      <c r="BE3" s="232" t="s">
        <v>43</v>
      </c>
      <c r="BF3" s="233" t="s">
        <v>43</v>
      </c>
      <c r="BG3" s="232" t="s">
        <v>44</v>
      </c>
      <c r="BH3" s="233" t="s">
        <v>44</v>
      </c>
    </row>
    <row r="4" spans="1:60" s="51" customFormat="1" ht="15" customHeight="1" x14ac:dyDescent="0.25">
      <c r="A4"/>
      <c r="B4" s="200"/>
      <c r="C4" s="232" t="s">
        <v>146</v>
      </c>
      <c r="D4" s="233" t="s">
        <v>147</v>
      </c>
      <c r="E4" s="237" t="s">
        <v>148</v>
      </c>
      <c r="F4" s="238" t="s">
        <v>149</v>
      </c>
      <c r="G4" s="237" t="s">
        <v>150</v>
      </c>
      <c r="H4" s="238" t="s">
        <v>151</v>
      </c>
      <c r="R4" s="319"/>
      <c r="S4" s="317"/>
      <c r="T4" s="317"/>
      <c r="U4" s="321"/>
      <c r="V4"/>
      <c r="W4"/>
      <c r="X4" s="319"/>
      <c r="Y4" s="317"/>
      <c r="Z4" s="317"/>
      <c r="AA4" s="317"/>
      <c r="AB4" s="317"/>
      <c r="AC4" s="317"/>
      <c r="AD4" s="317"/>
      <c r="AE4" s="321"/>
      <c r="AF4" s="215"/>
      <c r="AG4" s="215"/>
      <c r="AH4" s="319"/>
      <c r="AI4" s="317"/>
      <c r="AJ4" s="317"/>
      <c r="AK4" s="317"/>
      <c r="AL4" s="317"/>
      <c r="AM4" s="317"/>
      <c r="AN4" s="317"/>
      <c r="AO4" s="321"/>
      <c r="AP4" s="215"/>
      <c r="AQ4" s="215"/>
      <c r="AR4" s="319"/>
      <c r="AS4" s="317"/>
      <c r="AT4" s="317"/>
      <c r="AU4" s="317"/>
      <c r="AV4" s="317"/>
      <c r="AW4" s="317"/>
      <c r="AX4" s="317"/>
      <c r="AY4" s="321"/>
      <c r="AZ4"/>
      <c r="BA4"/>
      <c r="BB4" s="319"/>
      <c r="BC4" s="321"/>
      <c r="BE4" s="345" t="s">
        <v>20</v>
      </c>
      <c r="BF4" s="346" t="s">
        <v>21</v>
      </c>
      <c r="BG4" s="345" t="s">
        <v>20</v>
      </c>
      <c r="BH4" s="346" t="s">
        <v>21</v>
      </c>
    </row>
    <row r="5" spans="1:60" s="51" customFormat="1" ht="15" customHeight="1" x14ac:dyDescent="0.2">
      <c r="A5"/>
      <c r="B5" s="204" t="s">
        <v>57</v>
      </c>
      <c r="C5" s="227"/>
      <c r="D5" s="228"/>
      <c r="E5" s="239"/>
      <c r="F5" s="228"/>
      <c r="G5" s="239"/>
      <c r="H5" s="228"/>
      <c r="R5" s="205"/>
      <c r="S5" s="206"/>
      <c r="T5" s="206"/>
      <c r="U5" s="207"/>
      <c r="V5"/>
      <c r="W5"/>
      <c r="X5" s="205"/>
      <c r="Y5" s="206"/>
      <c r="Z5" s="206"/>
      <c r="AA5" s="206"/>
      <c r="AB5" s="206"/>
      <c r="AC5" s="206"/>
      <c r="AD5" s="206"/>
      <c r="AE5" s="207"/>
      <c r="AF5" s="206"/>
      <c r="AG5" s="206"/>
      <c r="AH5" s="205"/>
      <c r="AI5" s="206"/>
      <c r="AJ5" s="206"/>
      <c r="AK5" s="206"/>
      <c r="AL5" s="206"/>
      <c r="AM5" s="206"/>
      <c r="AN5" s="206"/>
      <c r="AO5" s="207"/>
      <c r="AP5" s="206"/>
      <c r="AQ5" s="206"/>
      <c r="AR5" s="205"/>
      <c r="AS5" s="206"/>
      <c r="AT5" s="206"/>
      <c r="AU5" s="206"/>
      <c r="AV5" s="206"/>
      <c r="AW5" s="206"/>
      <c r="AX5" s="206"/>
      <c r="AY5" s="207"/>
      <c r="AZ5"/>
      <c r="BA5"/>
      <c r="BB5" s="205"/>
      <c r="BC5" s="207"/>
      <c r="BE5" s="341"/>
      <c r="BF5" s="342"/>
      <c r="BG5" s="341"/>
      <c r="BH5" s="342"/>
    </row>
    <row r="6" spans="1:60" s="51" customFormat="1" ht="15" customHeight="1" x14ac:dyDescent="0.2">
      <c r="A6"/>
      <c r="B6" s="204" t="s">
        <v>100</v>
      </c>
      <c r="C6" s="229">
        <v>21899.21</v>
      </c>
      <c r="D6" s="234">
        <v>19.117478008558901</v>
      </c>
      <c r="E6" s="240">
        <v>23310.66</v>
      </c>
      <c r="F6" s="377">
        <v>19.001122409119393</v>
      </c>
      <c r="G6" s="229">
        <v>-3367.48</v>
      </c>
      <c r="H6" s="234">
        <v>-6.2244862407318635E-2</v>
      </c>
      <c r="R6" s="208">
        <v>-41.40054743871184</v>
      </c>
      <c r="S6" s="130">
        <v>42.7084658025477</v>
      </c>
      <c r="T6" s="130">
        <v>161.45274004252238</v>
      </c>
      <c r="U6" s="209">
        <v>66.373426704737341</v>
      </c>
      <c r="V6">
        <v>0</v>
      </c>
      <c r="W6">
        <v>0</v>
      </c>
      <c r="X6" s="208">
        <v>0.30935404528840127</v>
      </c>
      <c r="Y6" s="130">
        <v>0.29890724314054196</v>
      </c>
      <c r="Z6" s="130">
        <v>0.29055748254685032</v>
      </c>
      <c r="AA6" s="130">
        <v>0.33359896589852739</v>
      </c>
      <c r="AB6" s="130">
        <v>0.27416925357654687</v>
      </c>
      <c r="AC6" s="130">
        <v>0.29365130564784125</v>
      </c>
      <c r="AD6" s="130">
        <v>0.30220411684686815</v>
      </c>
      <c r="AE6" s="209">
        <v>0.2187472575131007</v>
      </c>
      <c r="AF6" s="130">
        <v>0</v>
      </c>
      <c r="AG6" s="130">
        <v>0</v>
      </c>
      <c r="AH6" s="217">
        <v>2.8454482616152577E-3</v>
      </c>
      <c r="AI6" s="131">
        <v>1.6984319428108297E-3</v>
      </c>
      <c r="AJ6" s="131">
        <v>2.7619390726254522E-3</v>
      </c>
      <c r="AK6" s="131">
        <v>3.6218288334328719E-3</v>
      </c>
      <c r="AL6" s="131">
        <v>1.0657248185758084E-3</v>
      </c>
      <c r="AM6" s="131">
        <v>1.1388932692875109E-3</v>
      </c>
      <c r="AN6" s="132">
        <v>2.4930664862348184E-3</v>
      </c>
      <c r="AO6" s="218">
        <v>4.3347212105286914E-3</v>
      </c>
      <c r="AP6" s="130">
        <v>0</v>
      </c>
      <c r="AQ6" s="130">
        <v>0</v>
      </c>
      <c r="AR6" s="208">
        <v>5.7106810314141152E-4</v>
      </c>
      <c r="AS6" s="130">
        <v>3.8147533367242112E-3</v>
      </c>
      <c r="AT6" s="130">
        <v>9.7271751898191164E-2</v>
      </c>
      <c r="AU6" s="130">
        <v>1.540672035022027E-3</v>
      </c>
      <c r="AV6" s="130">
        <v>1.5519684783977658E-3</v>
      </c>
      <c r="AW6" s="130">
        <v>2.8003952023293167E-3</v>
      </c>
      <c r="AX6" s="130">
        <v>2.3845783335597079E-4</v>
      </c>
      <c r="AY6" s="209">
        <v>2.5825324967495509E-4</v>
      </c>
      <c r="AZ6">
        <v>0</v>
      </c>
      <c r="BA6">
        <v>0</v>
      </c>
      <c r="BB6" s="208">
        <v>3.6962092909646034E-2</v>
      </c>
      <c r="BC6" s="209">
        <v>4.7764321127776324E-3</v>
      </c>
      <c r="BD6" s="368">
        <v>0</v>
      </c>
      <c r="BE6" s="341">
        <v>21899.206392521653</v>
      </c>
      <c r="BF6" s="342">
        <v>19.117478008558901</v>
      </c>
      <c r="BG6" s="341">
        <v>23310.660087429078</v>
      </c>
      <c r="BH6" s="342">
        <v>19.001122409119393</v>
      </c>
    </row>
    <row r="7" spans="1:60" s="51" customFormat="1" ht="15" customHeight="1" x14ac:dyDescent="0.2">
      <c r="A7"/>
      <c r="B7" s="204" t="s">
        <v>101</v>
      </c>
      <c r="C7" s="229">
        <v>25439.37</v>
      </c>
      <c r="D7" s="234">
        <v>19.824245706378196</v>
      </c>
      <c r="E7" s="240">
        <v>27278.33</v>
      </c>
      <c r="F7" s="377">
        <v>19.776211859501622</v>
      </c>
      <c r="G7" s="229">
        <v>-2686.83</v>
      </c>
      <c r="H7" s="234">
        <v>-2.6902508516810107E-2</v>
      </c>
      <c r="R7" s="208">
        <v>60.4934605704684</v>
      </c>
      <c r="S7" s="130">
        <v>49.945457726797194</v>
      </c>
      <c r="T7" s="130">
        <v>198.83165594927272</v>
      </c>
      <c r="U7" s="209">
        <v>76.209374301946113</v>
      </c>
      <c r="V7" t="e">
        <v>#NUM!</v>
      </c>
      <c r="W7" t="e">
        <v>#NUM!</v>
      </c>
      <c r="X7" s="208">
        <v>0.45780382318070684</v>
      </c>
      <c r="Y7" s="130">
        <v>0.46067586389057019</v>
      </c>
      <c r="Z7" s="130">
        <v>0.48212522022348769</v>
      </c>
      <c r="AA7" s="130">
        <v>0.46025912720407519</v>
      </c>
      <c r="AB7" s="130">
        <v>0.47532949894357429</v>
      </c>
      <c r="AC7" s="130">
        <v>0.46323167385959008</v>
      </c>
      <c r="AD7" s="130">
        <v>0.45097432655800668</v>
      </c>
      <c r="AE7" s="209">
        <v>0.47448683580829432</v>
      </c>
      <c r="AF7" s="130" t="e">
        <v>#NUM!</v>
      </c>
      <c r="AG7" s="130" t="e">
        <v>#NUM!</v>
      </c>
      <c r="AH7" s="217">
        <v>1.4122849338317598E-2</v>
      </c>
      <c r="AI7" s="131">
        <v>1.4898981092263078E-2</v>
      </c>
      <c r="AJ7" s="131">
        <v>1.7154686507016025E-2</v>
      </c>
      <c r="AK7" s="131">
        <v>1.57242114065347E-2</v>
      </c>
      <c r="AL7" s="131">
        <v>1.4613601133435936E-2</v>
      </c>
      <c r="AM7" s="131">
        <v>1.1099535335959077E-2</v>
      </c>
      <c r="AN7" s="131">
        <v>1.7436598692131683E-2</v>
      </c>
      <c r="AO7" s="219">
        <v>1.6470282397217449E-2</v>
      </c>
      <c r="AP7" s="130" t="e">
        <v>#NUM!</v>
      </c>
      <c r="AQ7" s="130" t="e">
        <v>#NUM!</v>
      </c>
      <c r="AR7" s="208">
        <v>7.1748132678922888E-4</v>
      </c>
      <c r="AS7" s="130">
        <v>4.0781143302573734E-3</v>
      </c>
      <c r="AT7" s="130">
        <v>9.8274796806706866E-2</v>
      </c>
      <c r="AU7" s="130">
        <v>1.7325913095817688E-3</v>
      </c>
      <c r="AV7" s="130">
        <v>1.7277196397011911E-3</v>
      </c>
      <c r="AW7" s="130">
        <v>3.074556388736291E-3</v>
      </c>
      <c r="AX7" s="130">
        <v>2.8893041438363256E-4</v>
      </c>
      <c r="AY7" s="209">
        <v>3.2719279743868097E-4</v>
      </c>
      <c r="AZ7" t="e">
        <v>#NUM!</v>
      </c>
      <c r="BA7" t="e">
        <v>#NUM!</v>
      </c>
      <c r="BB7" s="208">
        <v>4.0130831854252931E-2</v>
      </c>
      <c r="BC7" s="209">
        <v>1.5273367019360919E-2</v>
      </c>
      <c r="BD7" s="368" t="e">
        <v>#NUM!</v>
      </c>
      <c r="BE7" s="341">
        <v>25439.366283380223</v>
      </c>
      <c r="BF7" s="342">
        <v>19.824245706378196</v>
      </c>
      <c r="BG7" s="341">
        <v>27278.33438854105</v>
      </c>
      <c r="BH7" s="342">
        <v>19.776211859501622</v>
      </c>
    </row>
    <row r="8" spans="1:60" s="51" customFormat="1" ht="15" customHeight="1" x14ac:dyDescent="0.2">
      <c r="A8"/>
      <c r="B8" s="204" t="s">
        <v>102</v>
      </c>
      <c r="C8" s="229">
        <v>31488.7</v>
      </c>
      <c r="D8" s="234">
        <v>20.991232713296441</v>
      </c>
      <c r="E8" s="240">
        <v>33566.99</v>
      </c>
      <c r="F8" s="377">
        <v>20.970116744710943</v>
      </c>
      <c r="G8" s="229">
        <v>-2078.29</v>
      </c>
      <c r="H8" s="234">
        <v>2.1115968585476749E-2</v>
      </c>
      <c r="R8" s="208">
        <v>253.46296575115102</v>
      </c>
      <c r="S8" s="130">
        <v>62.836087928677323</v>
      </c>
      <c r="T8" s="130">
        <v>250.07180045647283</v>
      </c>
      <c r="U8" s="209">
        <v>95.751136399810861</v>
      </c>
      <c r="V8" t="e">
        <v>#DIV/0!</v>
      </c>
      <c r="W8" t="e">
        <v>#DIV/0!</v>
      </c>
      <c r="X8" s="208">
        <v>0.7537517321530175</v>
      </c>
      <c r="Y8" s="130">
        <v>0.74958152114441534</v>
      </c>
      <c r="Z8" s="130">
        <v>0.74992391903969147</v>
      </c>
      <c r="AA8" s="130">
        <v>0.74635964644216424</v>
      </c>
      <c r="AB8" s="130">
        <v>0.74751865791712269</v>
      </c>
      <c r="AC8" s="130">
        <v>0.74558633813655129</v>
      </c>
      <c r="AD8" s="130">
        <v>0.74497845776579974</v>
      </c>
      <c r="AE8" s="209">
        <v>0.75128397403392133</v>
      </c>
      <c r="AF8" s="130" t="e">
        <v>#DIV/0!</v>
      </c>
      <c r="AG8" s="130" t="e">
        <v>#DIV/0!</v>
      </c>
      <c r="AH8" s="217">
        <v>0.12460679876463562</v>
      </c>
      <c r="AI8" s="131">
        <v>0.12543187468862335</v>
      </c>
      <c r="AJ8" s="131">
        <v>0.12909890749113206</v>
      </c>
      <c r="AK8" s="131">
        <v>0.1277353488594819</v>
      </c>
      <c r="AL8" s="131">
        <v>0.12551339834315106</v>
      </c>
      <c r="AM8" s="131">
        <v>0.11926444217698019</v>
      </c>
      <c r="AN8" s="131">
        <v>0.12655051381415108</v>
      </c>
      <c r="AO8" s="219">
        <v>0.1253397588267523</v>
      </c>
      <c r="AP8" s="130" t="e">
        <v>#DIV/0!</v>
      </c>
      <c r="AQ8" s="130" t="e">
        <v>#DIV/0!</v>
      </c>
      <c r="AR8" s="208">
        <v>8.9253138691963642E-4</v>
      </c>
      <c r="AS8" s="130">
        <v>4.495447088589578E-3</v>
      </c>
      <c r="AT8" s="130">
        <v>0.10000939418951731</v>
      </c>
      <c r="AU8" s="130">
        <v>1.9999982281350189E-3</v>
      </c>
      <c r="AV8" s="130">
        <v>1.9989353265973194E-3</v>
      </c>
      <c r="AW8" s="130">
        <v>3.4103775205842775E-3</v>
      </c>
      <c r="AX8" s="130">
        <v>4.0013418160015783E-4</v>
      </c>
      <c r="AY8" s="209">
        <v>4.4913778739032948E-4</v>
      </c>
      <c r="AZ8" t="e">
        <v>#DIV/0!</v>
      </c>
      <c r="BA8" t="e">
        <v>#DIV/0!</v>
      </c>
      <c r="BB8" s="208">
        <v>5.0085027839557983E-2</v>
      </c>
      <c r="BC8" s="209">
        <v>5.1056890049971458E-2</v>
      </c>
      <c r="BD8" s="368" t="e">
        <v>#DIV/0!</v>
      </c>
      <c r="BE8" s="341">
        <v>31488.701011349316</v>
      </c>
      <c r="BF8" s="342">
        <v>20.991232713296441</v>
      </c>
      <c r="BG8" s="341">
        <v>33566.989759498676</v>
      </c>
      <c r="BH8" s="342">
        <v>20.970116744710943</v>
      </c>
    </row>
    <row r="9" spans="1:60" s="51" customFormat="1" ht="15" customHeight="1" x14ac:dyDescent="0.2">
      <c r="A9"/>
      <c r="B9" s="204" t="s">
        <v>103</v>
      </c>
      <c r="C9" s="230">
        <v>38735.760000000002</v>
      </c>
      <c r="D9" s="234">
        <v>21.706291234486269</v>
      </c>
      <c r="E9" s="240">
        <v>41000.519999999997</v>
      </c>
      <c r="F9" s="377">
        <v>21.705958863470673</v>
      </c>
      <c r="G9" s="229">
        <v>-1561.87</v>
      </c>
      <c r="H9" s="234">
        <v>7.2113011327364668E-2</v>
      </c>
      <c r="Q9" s="133"/>
      <c r="R9" s="208">
        <v>456.90041187855661</v>
      </c>
      <c r="S9" s="130">
        <v>75.959815154191261</v>
      </c>
      <c r="T9" s="130">
        <v>297.98449149937767</v>
      </c>
      <c r="U9" s="209">
        <v>115.447600449481</v>
      </c>
      <c r="V9" t="e">
        <v>#NUM!</v>
      </c>
      <c r="W9" t="e">
        <v>#NUM!</v>
      </c>
      <c r="X9" s="208">
        <v>0.94783020521434336</v>
      </c>
      <c r="Y9" s="130">
        <v>0.94246513970818246</v>
      </c>
      <c r="Z9" s="130">
        <v>0.95045368939904185</v>
      </c>
      <c r="AA9" s="130">
        <v>0.94725728954509081</v>
      </c>
      <c r="AB9" s="130">
        <v>0.94325944665677042</v>
      </c>
      <c r="AC9" s="130">
        <v>0.94192449240182019</v>
      </c>
      <c r="AD9" s="130">
        <v>0.94890616668767691</v>
      </c>
      <c r="AE9" s="209">
        <v>0.9448014756075368</v>
      </c>
      <c r="AF9" s="130" t="e">
        <v>#NUM!</v>
      </c>
      <c r="AG9" s="130" t="e">
        <v>#NUM!</v>
      </c>
      <c r="AH9" s="217">
        <v>0.32683313214870702</v>
      </c>
      <c r="AI9" s="131">
        <v>0.31738774602483066</v>
      </c>
      <c r="AJ9" s="131">
        <v>0.33579206383990323</v>
      </c>
      <c r="AK9" s="131">
        <v>0.3315756454708419</v>
      </c>
      <c r="AL9" s="131">
        <v>0.32980804622351917</v>
      </c>
      <c r="AM9" s="131">
        <v>0.31411672790925704</v>
      </c>
      <c r="AN9" s="131">
        <v>0.30591405401176064</v>
      </c>
      <c r="AO9" s="219">
        <v>0.3257643227864041</v>
      </c>
      <c r="AP9" s="130" t="e">
        <v>#NUM!</v>
      </c>
      <c r="AQ9" s="130" t="e">
        <v>#NUM!</v>
      </c>
      <c r="AR9" s="208">
        <v>1.0783569231309353E-3</v>
      </c>
      <c r="AS9" s="130">
        <v>4.8863415121620565E-3</v>
      </c>
      <c r="AT9" s="130">
        <v>0.10181467013475334</v>
      </c>
      <c r="AU9" s="130">
        <v>2.2810379154403924E-3</v>
      </c>
      <c r="AV9" s="130">
        <v>2.2745771091581268E-3</v>
      </c>
      <c r="AW9" s="130">
        <v>3.7910834817153904E-3</v>
      </c>
      <c r="AX9" s="130">
        <v>5.3902564492127605E-4</v>
      </c>
      <c r="AY9" s="209">
        <v>5.9102115487487394E-4</v>
      </c>
      <c r="AZ9" t="e">
        <v>#NUM!</v>
      </c>
      <c r="BA9" t="e">
        <v>#NUM!</v>
      </c>
      <c r="BB9" s="208">
        <v>6.067117800020469E-2</v>
      </c>
      <c r="BC9" s="209">
        <v>0.10541519438616452</v>
      </c>
      <c r="BD9" s="368" t="e">
        <v>#NUM!</v>
      </c>
      <c r="BE9" s="341">
        <v>38735.761211096855</v>
      </c>
      <c r="BF9" s="342">
        <v>21.706291234486269</v>
      </c>
      <c r="BG9" s="341">
        <v>41000.521506001591</v>
      </c>
      <c r="BH9" s="342">
        <v>21.705958863470673</v>
      </c>
    </row>
    <row r="10" spans="1:60" s="51" customFormat="1" ht="15" customHeight="1" x14ac:dyDescent="0.2">
      <c r="A10"/>
      <c r="B10" s="204" t="s">
        <v>104</v>
      </c>
      <c r="C10" s="231">
        <v>44435.79</v>
      </c>
      <c r="D10" s="235">
        <v>21.941705508469958</v>
      </c>
      <c r="E10" s="241">
        <v>47526.37</v>
      </c>
      <c r="F10" s="378">
        <v>21.946402578126271</v>
      </c>
      <c r="G10" s="231">
        <v>-1305.19</v>
      </c>
      <c r="H10" s="235">
        <v>0.11635559943950824</v>
      </c>
      <c r="R10" s="210">
        <v>575.6272927861562</v>
      </c>
      <c r="S10" s="211">
        <v>81.789347020071588</v>
      </c>
      <c r="T10" s="211">
        <v>317.77319739169155</v>
      </c>
      <c r="U10" s="213">
        <v>126.62646781118777</v>
      </c>
      <c r="V10">
        <v>0</v>
      </c>
      <c r="W10">
        <v>0</v>
      </c>
      <c r="X10" s="210">
        <v>0.9920965614888948</v>
      </c>
      <c r="Y10" s="211">
        <v>0.97985381760009005</v>
      </c>
      <c r="Z10" s="211">
        <v>0.99534098137366434</v>
      </c>
      <c r="AA10" s="211">
        <v>0.98978200953063866</v>
      </c>
      <c r="AB10" s="211">
        <v>0.98122315017430695</v>
      </c>
      <c r="AC10" s="211">
        <v>0.98267904870144829</v>
      </c>
      <c r="AD10" s="211">
        <v>0.98001473549700435</v>
      </c>
      <c r="AE10" s="213">
        <v>0.98905074566009021</v>
      </c>
      <c r="AF10" s="211">
        <v>0</v>
      </c>
      <c r="AG10" s="211">
        <v>0</v>
      </c>
      <c r="AH10" s="220">
        <v>0.5368755443440697</v>
      </c>
      <c r="AI10" s="212">
        <v>0.5110314460080182</v>
      </c>
      <c r="AJ10" s="212">
        <v>0.43557859766830154</v>
      </c>
      <c r="AK10" s="212">
        <v>0.47088175553976519</v>
      </c>
      <c r="AL10" s="212">
        <v>0.46001926046576935</v>
      </c>
      <c r="AM10" s="212">
        <v>0.47625353200271403</v>
      </c>
      <c r="AN10" s="212">
        <v>0.45377448790606034</v>
      </c>
      <c r="AO10" s="221">
        <v>0.4979977906917934</v>
      </c>
      <c r="AP10" s="211">
        <v>0</v>
      </c>
      <c r="AQ10" s="211">
        <v>0</v>
      </c>
      <c r="AR10" s="210">
        <v>1.2087609568086632E-3</v>
      </c>
      <c r="AS10" s="211">
        <v>5.2276605393936082E-3</v>
      </c>
      <c r="AT10" s="211">
        <v>0.10321103533087683</v>
      </c>
      <c r="AU10" s="211">
        <v>2.4752015476199318E-3</v>
      </c>
      <c r="AV10" s="211">
        <v>2.4743902165271781E-3</v>
      </c>
      <c r="AW10" s="211">
        <v>4.0336014893609384E-3</v>
      </c>
      <c r="AX10" s="211">
        <v>6.4651643013124982E-4</v>
      </c>
      <c r="AY10" s="213">
        <v>7.7374995410806058E-4</v>
      </c>
      <c r="AZ10">
        <v>0</v>
      </c>
      <c r="BA10">
        <v>0</v>
      </c>
      <c r="BB10" s="210">
        <v>6.5556476557700472E-2</v>
      </c>
      <c r="BC10" s="213">
        <v>0.16063038234299676</v>
      </c>
      <c r="BD10" s="368">
        <v>0</v>
      </c>
      <c r="BE10" s="341">
        <v>44435.793323590187</v>
      </c>
      <c r="BF10" s="342">
        <v>21.941705508469958</v>
      </c>
      <c r="BG10" s="341">
        <v>47526.374115860184</v>
      </c>
      <c r="BH10" s="342">
        <v>21.946402578126271</v>
      </c>
    </row>
    <row r="11" spans="1:60" s="51" customFormat="1" ht="15" customHeight="1" x14ac:dyDescent="0.2">
      <c r="A11"/>
      <c r="B11" s="202"/>
      <c r="C11" s="331"/>
      <c r="D11" s="334"/>
      <c r="E11" s="331"/>
      <c r="F11" s="334"/>
      <c r="G11" s="337"/>
      <c r="H11" s="334"/>
      <c r="R11" s="325"/>
      <c r="S11" s="322"/>
      <c r="T11" s="322"/>
      <c r="U11" s="328"/>
      <c r="V11"/>
      <c r="W11"/>
      <c r="X11" s="325"/>
      <c r="Y11" s="322"/>
      <c r="Z11" s="322"/>
      <c r="AA11" s="322"/>
      <c r="AB11" s="322"/>
      <c r="AC11" s="322"/>
      <c r="AD11" s="322"/>
      <c r="AE11" s="328"/>
      <c r="AF11" s="216"/>
      <c r="AG11" s="216"/>
      <c r="AH11" s="325"/>
      <c r="AI11" s="322"/>
      <c r="AJ11" s="322"/>
      <c r="AK11" s="322"/>
      <c r="AL11" s="322"/>
      <c r="AM11" s="322"/>
      <c r="AN11" s="322"/>
      <c r="AO11" s="328"/>
      <c r="AP11" s="216"/>
      <c r="AQ11" s="216"/>
      <c r="AR11" s="325"/>
      <c r="AS11" s="322"/>
      <c r="AT11" s="322"/>
      <c r="AU11" s="322"/>
      <c r="AV11" s="322"/>
      <c r="AW11" s="322"/>
      <c r="AX11" s="322"/>
      <c r="AY11" s="328"/>
      <c r="AZ11"/>
      <c r="BA11"/>
      <c r="BB11" s="325"/>
      <c r="BC11" s="328"/>
      <c r="BE11" s="365"/>
      <c r="BF11" s="362"/>
      <c r="BG11" s="365"/>
      <c r="BH11" s="362"/>
    </row>
    <row r="12" spans="1:60" s="51" customFormat="1" ht="15" customHeight="1" x14ac:dyDescent="0.2">
      <c r="A12"/>
      <c r="B12" s="201" t="s">
        <v>105</v>
      </c>
      <c r="C12" s="332"/>
      <c r="D12" s="335"/>
      <c r="E12" s="332"/>
      <c r="F12" s="335"/>
      <c r="G12" s="338"/>
      <c r="H12" s="335"/>
      <c r="L12" s="51">
        <f ca="1">G15/H15</f>
        <v>-93816.824882527711</v>
      </c>
      <c r="O12" s="51" t="s">
        <v>106</v>
      </c>
      <c r="P12">
        <f>outer</f>
        <v>1000</v>
      </c>
      <c r="R12" s="326"/>
      <c r="S12" s="323"/>
      <c r="T12" s="323"/>
      <c r="U12" s="329"/>
      <c r="V12"/>
      <c r="W12"/>
      <c r="X12" s="326"/>
      <c r="Y12" s="323"/>
      <c r="Z12" s="323"/>
      <c r="AA12" s="323"/>
      <c r="AB12" s="323"/>
      <c r="AC12" s="323"/>
      <c r="AD12" s="323"/>
      <c r="AE12" s="329"/>
      <c r="AF12" s="90"/>
      <c r="AG12" s="90"/>
      <c r="AH12" s="326"/>
      <c r="AI12" s="323"/>
      <c r="AJ12" s="323"/>
      <c r="AK12" s="323"/>
      <c r="AL12" s="323"/>
      <c r="AM12" s="323"/>
      <c r="AN12" s="323"/>
      <c r="AO12" s="329"/>
      <c r="AP12" s="90"/>
      <c r="AQ12" s="90"/>
      <c r="AR12" s="326"/>
      <c r="AS12" s="323"/>
      <c r="AT12" s="323"/>
      <c r="AU12" s="323"/>
      <c r="AV12" s="323"/>
      <c r="AW12" s="323"/>
      <c r="AX12" s="323"/>
      <c r="AY12" s="329"/>
      <c r="AZ12"/>
      <c r="BA12"/>
      <c r="BB12" s="326"/>
      <c r="BC12" s="329"/>
      <c r="BE12" s="366"/>
      <c r="BF12" s="363"/>
      <c r="BG12" s="366"/>
      <c r="BH12" s="363"/>
    </row>
    <row r="13" spans="1:60" s="51" customFormat="1" ht="15" customHeight="1" x14ac:dyDescent="0.2">
      <c r="A13"/>
      <c r="B13" s="203"/>
      <c r="C13" s="333"/>
      <c r="D13" s="336"/>
      <c r="E13" s="333"/>
      <c r="F13" s="336"/>
      <c r="G13" s="339"/>
      <c r="H13" s="336"/>
      <c r="R13" s="327"/>
      <c r="S13" s="324"/>
      <c r="T13" s="324"/>
      <c r="U13" s="330"/>
      <c r="V13"/>
      <c r="W13"/>
      <c r="X13" s="327"/>
      <c r="Y13" s="324"/>
      <c r="Z13" s="324"/>
      <c r="AA13" s="324"/>
      <c r="AB13" s="324"/>
      <c r="AC13" s="324"/>
      <c r="AD13" s="324"/>
      <c r="AE13" s="330"/>
      <c r="AF13" s="144"/>
      <c r="AG13" s="144"/>
      <c r="AH13" s="327"/>
      <c r="AI13" s="324"/>
      <c r="AJ13" s="324"/>
      <c r="AK13" s="324"/>
      <c r="AL13" s="324"/>
      <c r="AM13" s="324"/>
      <c r="AN13" s="324"/>
      <c r="AO13" s="330"/>
      <c r="AP13" s="144"/>
      <c r="AQ13" s="144"/>
      <c r="AR13" s="327"/>
      <c r="AS13" s="324"/>
      <c r="AT13" s="324"/>
      <c r="AU13" s="324"/>
      <c r="AV13" s="324"/>
      <c r="AW13" s="324"/>
      <c r="AX13" s="324"/>
      <c r="AY13" s="330"/>
      <c r="AZ13"/>
      <c r="BA13"/>
      <c r="BB13" s="327"/>
      <c r="BC13" s="330"/>
      <c r="BE13" s="367"/>
      <c r="BF13" s="364"/>
      <c r="BG13" s="367"/>
      <c r="BH13" s="364"/>
    </row>
    <row r="14" spans="1:60" s="51" customFormat="1" ht="15" customHeight="1" x14ac:dyDescent="0.2">
      <c r="A14"/>
      <c r="C14" s="134"/>
      <c r="D14" s="79"/>
      <c r="E14" s="79"/>
      <c r="F14" s="79"/>
      <c r="G14" s="79"/>
      <c r="H14" s="79"/>
      <c r="J14" s="361">
        <v>100000</v>
      </c>
      <c r="L14" s="136" t="s">
        <v>107</v>
      </c>
      <c r="M14" s="136"/>
      <c r="N14" s="136" t="s">
        <v>108</v>
      </c>
      <c r="O14" s="136" t="s">
        <v>109</v>
      </c>
      <c r="P14" s="136" t="s">
        <v>110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 s="52"/>
      <c r="BB14" s="52"/>
      <c r="BC14" s="52"/>
    </row>
    <row r="15" spans="1:60" s="51" customFormat="1" ht="15" customHeight="1" x14ac:dyDescent="0.2">
      <c r="A15"/>
      <c r="B15" s="195" t="s">
        <v>111</v>
      </c>
      <c r="C15" s="236">
        <f ca="1">over_test_cost</f>
        <v>31466.313458897886</v>
      </c>
      <c r="D15" s="196">
        <f ca="1">over_test_qalys</f>
        <v>20.954782743204778</v>
      </c>
      <c r="E15" s="242">
        <f ca="1">over_notest_cost</f>
        <v>33546.919968463008</v>
      </c>
      <c r="F15" s="196">
        <f ca="1">over_notest_qalys</f>
        <v>20.932605415074452</v>
      </c>
      <c r="G15" s="242">
        <f ca="1">C15-E15</f>
        <v>-2080.6065095651211</v>
      </c>
      <c r="H15" s="196">
        <f ca="1">D15-F15</f>
        <v>2.2177328130325691E-2</v>
      </c>
      <c r="J15" s="136" t="s">
        <v>112</v>
      </c>
      <c r="L15" s="136" t="e">
        <f>AVERAGE(K16:K10015)</f>
        <v>#DIV/0!</v>
      </c>
      <c r="M15" s="136"/>
      <c r="N15" s="137" t="e">
        <f>AVERAGE(N16:N10014)</f>
        <v>#DIV/0!</v>
      </c>
      <c r="O15" s="137" t="e">
        <f>AVERAGE(O16:O10014)</f>
        <v>#DIV/0!</v>
      </c>
      <c r="P15" s="137" t="e">
        <f>AVERAGE(P16:P10014)</f>
        <v>#DIV/0!</v>
      </c>
      <c r="R15" s="223">
        <f>cost_assay</f>
        <v>250</v>
      </c>
      <c r="S15" s="224">
        <f>cost_couns</f>
        <v>62.5</v>
      </c>
      <c r="T15" s="224">
        <f>cost_postc</f>
        <v>250</v>
      </c>
      <c r="U15" s="225">
        <f>cost_review</f>
        <v>95</v>
      </c>
      <c r="V15"/>
      <c r="W15"/>
      <c r="X15" s="223">
        <f>ppn_util_arvc</f>
        <v>0.75</v>
      </c>
      <c r="Y15" s="224">
        <f>ppn_util_fh</f>
        <v>0.75</v>
      </c>
      <c r="Z15" s="224">
        <f>ppn_util_bc</f>
        <v>0.75</v>
      </c>
      <c r="AA15" s="224">
        <f>ppn_util_hc</f>
        <v>0.75</v>
      </c>
      <c r="AB15" s="224">
        <f>ppn_util_LQTS</f>
        <v>0.75</v>
      </c>
      <c r="AC15" s="224">
        <f>ppn_util_ls</f>
        <v>0.75</v>
      </c>
      <c r="AD15" s="224">
        <f>ppn_util_mhyp</f>
        <v>0.75</v>
      </c>
      <c r="AE15" s="225">
        <f>ppn_util_rare</f>
        <v>0.75</v>
      </c>
      <c r="AF15" s="222"/>
      <c r="AG15" s="222"/>
      <c r="AH15" s="223">
        <f>pen_arvc</f>
        <v>0.875</v>
      </c>
      <c r="AI15" s="224">
        <f>pen_fh</f>
        <v>0.875</v>
      </c>
      <c r="AJ15" s="224">
        <f>pen_bc</f>
        <v>0.875</v>
      </c>
      <c r="AK15" s="224">
        <f>pen_hc</f>
        <v>0.875</v>
      </c>
      <c r="AL15" s="224">
        <f>pen_longQT</f>
        <v>0.875</v>
      </c>
      <c r="AM15" s="224">
        <f>pen_ls</f>
        <v>0.875</v>
      </c>
      <c r="AN15" s="224">
        <f>pen_mhyp</f>
        <v>0.875</v>
      </c>
      <c r="AO15" s="225">
        <f>pen_rare</f>
        <v>0.875</v>
      </c>
      <c r="AP15" s="222"/>
      <c r="AQ15" s="222"/>
      <c r="AR15" s="223">
        <f>prev_arvc</f>
        <v>8.8999999999999995E-4</v>
      </c>
      <c r="AS15" s="224">
        <f>prev_fh</f>
        <v>4.4999999999999997E-3</v>
      </c>
      <c r="AT15" s="224">
        <f>prev_bc</f>
        <v>0.1</v>
      </c>
      <c r="AU15" s="224">
        <f>prev_hc</f>
        <v>2E-3</v>
      </c>
      <c r="AV15" s="224">
        <f>prev_LQTS</f>
        <v>2E-3</v>
      </c>
      <c r="AW15" s="224">
        <f>prev_ls</f>
        <v>3.4099999999999998E-3</v>
      </c>
      <c r="AX15" s="224">
        <f>prev_mhyp</f>
        <v>4.0000000000000002E-4</v>
      </c>
      <c r="AY15" s="225">
        <f>prev_rare</f>
        <v>4.4999999999999999E-4</v>
      </c>
      <c r="AZ15" s="8"/>
      <c r="BA15" s="226"/>
      <c r="BB15" s="223">
        <f>avoid_loss</f>
        <v>0.05</v>
      </c>
      <c r="BC15" s="225">
        <f>ppn_avoid</f>
        <v>0.05</v>
      </c>
      <c r="BE15" s="343">
        <f ca="1">boc_test_cost</f>
        <v>31466.313458897886</v>
      </c>
      <c r="BF15" s="344">
        <f ca="1">boc_test_qalys</f>
        <v>20.954782743204778</v>
      </c>
      <c r="BG15" s="343">
        <f ca="1">boc_notest_cost</f>
        <v>33546.919968463008</v>
      </c>
      <c r="BH15" s="344">
        <f ca="1">boc_notest_qalys</f>
        <v>20.932605415074452</v>
      </c>
    </row>
    <row r="16" spans="1:60" ht="15" customHeight="1" x14ac:dyDescent="0.2">
      <c r="C16" s="138">
        <v>29777.518229889843</v>
      </c>
      <c r="D16">
        <v>21.778827801572664</v>
      </c>
      <c r="E16" s="138">
        <v>31733.550426916725</v>
      </c>
      <c r="F16" s="138">
        <v>21.776905090865249</v>
      </c>
      <c r="G16" s="138">
        <v>-1956.0321970268815</v>
      </c>
      <c r="H16" s="138">
        <v>1.9227107074151206E-3</v>
      </c>
      <c r="J16" s="135">
        <v>0</v>
      </c>
      <c r="L16">
        <v>1</v>
      </c>
      <c r="N16" s="138"/>
      <c r="O16" s="138"/>
      <c r="P16" s="138"/>
      <c r="R16">
        <v>168.08882055698987</v>
      </c>
      <c r="S16">
        <v>65.789416298051137</v>
      </c>
      <c r="T16">
        <v>231.94135265303407</v>
      </c>
      <c r="U16">
        <v>100.34621129578021</v>
      </c>
      <c r="X16">
        <v>0.7378509139150945</v>
      </c>
      <c r="Y16">
        <v>0.95332204058316361</v>
      </c>
      <c r="Z16">
        <v>0.72806241303799923</v>
      </c>
      <c r="AA16">
        <v>0.85608673035595106</v>
      </c>
      <c r="AB16">
        <v>0.32302363625760566</v>
      </c>
      <c r="AC16">
        <v>0.85883563686130304</v>
      </c>
      <c r="AD16">
        <v>0.66704204594112826</v>
      </c>
      <c r="AE16">
        <v>0.73659923106000569</v>
      </c>
      <c r="AH16">
        <v>2.8454482616152577E-3</v>
      </c>
      <c r="AI16">
        <v>3.9011386068626752E-2</v>
      </c>
      <c r="AJ16">
        <v>9.135437258946788E-2</v>
      </c>
      <c r="AK16">
        <v>9.0859273271428176E-2</v>
      </c>
      <c r="AL16">
        <v>0.15165625288752838</v>
      </c>
      <c r="AM16">
        <v>8.2744433425742336E-2</v>
      </c>
      <c r="AN16">
        <v>0.11211485310686331</v>
      </c>
      <c r="AO16">
        <v>0.12802741074332702</v>
      </c>
      <c r="AR16">
        <v>9.5020987375327159E-4</v>
      </c>
      <c r="AS16">
        <v>4.740009285067126E-3</v>
      </c>
      <c r="AT16">
        <v>9.9329575506564002E-2</v>
      </c>
      <c r="AU16">
        <v>2.010429591993268E-3</v>
      </c>
      <c r="AV16">
        <v>2.1438236193362936E-3</v>
      </c>
      <c r="AW16">
        <v>3.4076910008935535E-3</v>
      </c>
      <c r="AX16">
        <v>4.2786480942003102E-4</v>
      </c>
      <c r="AY16">
        <v>4.3915719656082092E-4</v>
      </c>
      <c r="AZ16" s="90"/>
      <c r="BA16" s="90"/>
      <c r="BB16" s="51">
        <v>4.9485332811821443E-2</v>
      </c>
      <c r="BC16">
        <v>2.9386288835442875E-2</v>
      </c>
      <c r="BE16">
        <v>29777.518229889843</v>
      </c>
      <c r="BF16">
        <v>21.778827801572664</v>
      </c>
      <c r="BG16">
        <v>31733.550426916725</v>
      </c>
      <c r="BH16">
        <v>21.776905090865249</v>
      </c>
    </row>
    <row r="17" spans="3:60" ht="15" customHeight="1" x14ac:dyDescent="0.2">
      <c r="C17" s="138">
        <v>31014.856210393613</v>
      </c>
      <c r="D17">
        <v>21.395818261647335</v>
      </c>
      <c r="E17" s="138">
        <v>32834.107838173848</v>
      </c>
      <c r="F17" s="138">
        <v>21.417804000406214</v>
      </c>
      <c r="G17" s="138">
        <v>-1819.2516277802351</v>
      </c>
      <c r="H17" s="138">
        <v>-2.1985738758878881E-2</v>
      </c>
      <c r="J17" s="135">
        <v>100</v>
      </c>
      <c r="L17">
        <v>1</v>
      </c>
      <c r="N17" s="138"/>
      <c r="O17" s="138"/>
      <c r="P17" s="138"/>
      <c r="R17">
        <v>241.53176457227147</v>
      </c>
      <c r="S17">
        <v>57.914647027923181</v>
      </c>
      <c r="T17">
        <v>247.4238973689684</v>
      </c>
      <c r="U17">
        <v>98.727968668854686</v>
      </c>
      <c r="X17">
        <v>0.58739648210572271</v>
      </c>
      <c r="Y17">
        <v>0.54821030335012688</v>
      </c>
      <c r="Z17">
        <v>0.63859720734775782</v>
      </c>
      <c r="AA17">
        <v>0.76932578265480722</v>
      </c>
      <c r="AB17">
        <v>0.90953361724108261</v>
      </c>
      <c r="AC17">
        <v>0.70746639502542608</v>
      </c>
      <c r="AD17">
        <v>0.70405583459426346</v>
      </c>
      <c r="AE17">
        <v>0.73288101761344726</v>
      </c>
      <c r="AH17">
        <v>0.14380506282810235</v>
      </c>
      <c r="AI17">
        <v>0.28388657039129628</v>
      </c>
      <c r="AJ17">
        <v>2.4211871967196874E-2</v>
      </c>
      <c r="AK17">
        <v>0.18470694539929355</v>
      </c>
      <c r="AL17">
        <v>6.7758199870472824E-2</v>
      </c>
      <c r="AM17">
        <v>7.448505577271658E-2</v>
      </c>
      <c r="AN17">
        <v>7.0202738182461255E-2</v>
      </c>
      <c r="AO17">
        <v>9.4552921286472857E-2</v>
      </c>
      <c r="AR17">
        <v>8.2490457408542547E-4</v>
      </c>
      <c r="AS17">
        <v>4.8855398907488023E-3</v>
      </c>
      <c r="AT17">
        <v>9.9641797664800191E-2</v>
      </c>
      <c r="AU17">
        <v>1.8304758797260091E-3</v>
      </c>
      <c r="AV17">
        <v>2.1099527944847818E-3</v>
      </c>
      <c r="AW17">
        <v>3.6053481093819562E-3</v>
      </c>
      <c r="AX17">
        <v>3.5043998611597433E-4</v>
      </c>
      <c r="AY17">
        <v>6.0513983294585572E-4</v>
      </c>
      <c r="AZ17" s="90"/>
      <c r="BA17" s="90"/>
      <c r="BB17">
        <v>4.7418581319679062E-2</v>
      </c>
      <c r="BC17">
        <v>5.2923772093194987E-2</v>
      </c>
      <c r="BE17">
        <v>31014.856210393613</v>
      </c>
      <c r="BF17">
        <v>21.395818261647335</v>
      </c>
      <c r="BG17">
        <v>32834.107838173848</v>
      </c>
      <c r="BH17">
        <v>21.417804000406214</v>
      </c>
    </row>
    <row r="18" spans="3:60" ht="15" customHeight="1" x14ac:dyDescent="0.2">
      <c r="C18" s="138">
        <v>30433.084945332521</v>
      </c>
      <c r="D18">
        <v>21.327368356742035</v>
      </c>
      <c r="E18" s="138">
        <v>32167.759165566233</v>
      </c>
      <c r="F18" s="138">
        <v>21.29912342620905</v>
      </c>
      <c r="G18" s="138">
        <v>-1734.6742202337118</v>
      </c>
      <c r="H18" s="138">
        <v>2.8244930532984824E-2</v>
      </c>
      <c r="J18" s="135">
        <v>200</v>
      </c>
      <c r="L18">
        <v>1</v>
      </c>
      <c r="N18" s="138"/>
      <c r="O18" s="138"/>
      <c r="P18" s="138"/>
      <c r="R18">
        <v>229.82507309330921</v>
      </c>
      <c r="S18">
        <v>59.437795562868267</v>
      </c>
      <c r="T18">
        <v>305.58449608645185</v>
      </c>
      <c r="U18">
        <v>103.95687801982346</v>
      </c>
      <c r="X18">
        <v>0.96603438573527733</v>
      </c>
      <c r="Y18">
        <v>0.74225488827543507</v>
      </c>
      <c r="Z18">
        <v>0.8307592614191015</v>
      </c>
      <c r="AA18">
        <v>0.75914486497140388</v>
      </c>
      <c r="AB18">
        <v>0.72482944100455637</v>
      </c>
      <c r="AC18">
        <v>0.61712906146252933</v>
      </c>
      <c r="AD18">
        <v>0.49876288429401217</v>
      </c>
      <c r="AE18">
        <v>0.60509049413509752</v>
      </c>
      <c r="AH18">
        <v>0.12281814778495326</v>
      </c>
      <c r="AI18">
        <v>2.9153274941097762E-2</v>
      </c>
      <c r="AJ18">
        <v>0.19684435923592047</v>
      </c>
      <c r="AK18">
        <v>8.5376501545910477E-2</v>
      </c>
      <c r="AL18">
        <v>3.5137494794610369E-2</v>
      </c>
      <c r="AM18">
        <v>0.14097945722481109</v>
      </c>
      <c r="AN18">
        <v>6.1171539290767685E-2</v>
      </c>
      <c r="AO18">
        <v>0.26354302616419412</v>
      </c>
      <c r="AR18">
        <v>1.015157361685004E-3</v>
      </c>
      <c r="AS18">
        <v>4.9073121313194523E-3</v>
      </c>
      <c r="AT18">
        <v>9.9130703570364492E-2</v>
      </c>
      <c r="AU18">
        <v>1.9928072198251369E-3</v>
      </c>
      <c r="AV18">
        <v>2.1227202512398291E-3</v>
      </c>
      <c r="AW18">
        <v>3.4661638143617113E-3</v>
      </c>
      <c r="AX18">
        <v>5.4024940199903781E-4</v>
      </c>
      <c r="AY18">
        <v>4.2222599706557168E-4</v>
      </c>
      <c r="AZ18" s="90"/>
      <c r="BA18" s="90"/>
      <c r="BB18">
        <v>4.9017938495871334E-2</v>
      </c>
      <c r="BC18">
        <v>4.5480702467552772E-2</v>
      </c>
      <c r="BE18">
        <v>30433.084945332521</v>
      </c>
      <c r="BF18">
        <v>21.327368356742035</v>
      </c>
      <c r="BG18">
        <v>32167.759165566233</v>
      </c>
      <c r="BH18">
        <v>21.29912342620905</v>
      </c>
    </row>
    <row r="19" spans="3:60" ht="15" customHeight="1" x14ac:dyDescent="0.2">
      <c r="C19" s="138">
        <v>37380.760156140626</v>
      </c>
      <c r="D19">
        <v>20.331232224478811</v>
      </c>
      <c r="E19" s="138">
        <v>39495.284393008544</v>
      </c>
      <c r="F19" s="138">
        <v>20.268734711165795</v>
      </c>
      <c r="G19" s="138">
        <v>-2114.5242368679174</v>
      </c>
      <c r="H19" s="138">
        <v>6.2497513313015673E-2</v>
      </c>
      <c r="J19" s="135">
        <v>300</v>
      </c>
      <c r="L19">
        <v>1</v>
      </c>
      <c r="N19" s="138"/>
      <c r="O19" s="138"/>
      <c r="P19" s="138"/>
      <c r="R19">
        <v>316.65688703493817</v>
      </c>
      <c r="S19">
        <v>51.791765276102772</v>
      </c>
      <c r="T19">
        <v>208.52577299096026</v>
      </c>
      <c r="U19">
        <v>91.981986436130867</v>
      </c>
      <c r="X19">
        <v>0.83676900639685914</v>
      </c>
      <c r="Y19">
        <v>0.78584573275976355</v>
      </c>
      <c r="Z19">
        <v>0.87277084857050202</v>
      </c>
      <c r="AA19">
        <v>0.63147827143505242</v>
      </c>
      <c r="AB19">
        <v>0.85282749531160906</v>
      </c>
      <c r="AC19">
        <v>0.73793176513254932</v>
      </c>
      <c r="AD19">
        <v>0.61008544471336779</v>
      </c>
      <c r="AE19">
        <v>0.89279517774903805</v>
      </c>
      <c r="AH19">
        <v>0.16996541923335318</v>
      </c>
      <c r="AI19">
        <v>2.7168771175340112E-2</v>
      </c>
      <c r="AJ19">
        <v>0.32781051522649851</v>
      </c>
      <c r="AK19">
        <v>9.3456236929030156E-2</v>
      </c>
      <c r="AL19">
        <v>0.20359293250432664</v>
      </c>
      <c r="AM19">
        <v>3.8103898628697674E-2</v>
      </c>
      <c r="AN19">
        <v>8.6083566078984486E-2</v>
      </c>
      <c r="AO19">
        <v>6.8947954288986812E-2</v>
      </c>
      <c r="AR19">
        <v>9.4702655929834734E-4</v>
      </c>
      <c r="AS19">
        <v>4.4174307068366395E-3</v>
      </c>
      <c r="AT19">
        <v>0.10011131812231777</v>
      </c>
      <c r="AU19">
        <v>2.1071664910096155E-3</v>
      </c>
      <c r="AV19">
        <v>2.0292842525124755E-3</v>
      </c>
      <c r="AW19">
        <v>3.4219729389236564E-3</v>
      </c>
      <c r="AX19">
        <v>4.0584596102488657E-4</v>
      </c>
      <c r="AY19">
        <v>3.9447949926364837E-4</v>
      </c>
      <c r="AZ19" s="90"/>
      <c r="BA19" s="90"/>
      <c r="BB19">
        <v>5.4509653363611243E-2</v>
      </c>
      <c r="BC19">
        <v>7.6001035365447445E-2</v>
      </c>
      <c r="BE19">
        <v>37380.760156140626</v>
      </c>
      <c r="BF19">
        <v>20.331232224478811</v>
      </c>
      <c r="BG19">
        <v>39495.284393008544</v>
      </c>
      <c r="BH19">
        <v>20.268734711165795</v>
      </c>
    </row>
    <row r="20" spans="3:60" ht="15" customHeight="1" x14ac:dyDescent="0.2">
      <c r="C20" s="138">
        <v>35193.910160291292</v>
      </c>
      <c r="D20">
        <v>21.011544593861817</v>
      </c>
      <c r="E20" s="138">
        <v>37616.276196385035</v>
      </c>
      <c r="F20" s="138">
        <v>20.985786485640833</v>
      </c>
      <c r="G20" s="138">
        <v>-2422.3660360937429</v>
      </c>
      <c r="H20" s="138">
        <v>2.57581082209839E-2</v>
      </c>
      <c r="J20" s="135">
        <v>400</v>
      </c>
      <c r="L20">
        <v>1</v>
      </c>
      <c r="N20" s="138"/>
      <c r="O20" s="138"/>
      <c r="P20" s="138"/>
      <c r="R20">
        <v>290.56593712697526</v>
      </c>
      <c r="S20">
        <v>64.035665854583229</v>
      </c>
      <c r="T20">
        <v>239.78878994657728</v>
      </c>
      <c r="U20">
        <v>80.964215446103125</v>
      </c>
      <c r="X20">
        <v>0.48792024306719045</v>
      </c>
      <c r="Y20">
        <v>0.77766485892598658</v>
      </c>
      <c r="Z20">
        <v>0.71315156874080365</v>
      </c>
      <c r="AA20">
        <v>0.79362944834731175</v>
      </c>
      <c r="AB20">
        <v>0.81598836430201216</v>
      </c>
      <c r="AC20">
        <v>0.54493910146854974</v>
      </c>
      <c r="AD20">
        <v>0.93088956075011364</v>
      </c>
      <c r="AE20">
        <v>0.60912644018545103</v>
      </c>
      <c r="AH20">
        <v>4.6193973542070998E-2</v>
      </c>
      <c r="AI20">
        <v>1.0162304636669561E-2</v>
      </c>
      <c r="AJ20">
        <v>0.15817034367755756</v>
      </c>
      <c r="AK20">
        <v>0.17286559008911084</v>
      </c>
      <c r="AL20">
        <v>0.35768237928576641</v>
      </c>
      <c r="AM20">
        <v>8.4283869546766477E-2</v>
      </c>
      <c r="AN20">
        <v>0.13356097171051728</v>
      </c>
      <c r="AO20">
        <v>0.16521113393076925</v>
      </c>
      <c r="AR20">
        <v>9.0264089780978107E-4</v>
      </c>
      <c r="AS20">
        <v>4.3694426756799186E-3</v>
      </c>
      <c r="AT20">
        <v>9.8549945899859465E-2</v>
      </c>
      <c r="AU20">
        <v>1.8865176949610721E-3</v>
      </c>
      <c r="AV20">
        <v>2.1711341793377859E-3</v>
      </c>
      <c r="AW20">
        <v>3.6875574936644506E-3</v>
      </c>
      <c r="AX20">
        <v>3.8010473739342944E-4</v>
      </c>
      <c r="AY20">
        <v>4.7581711496647028E-4</v>
      </c>
      <c r="AZ20" s="90"/>
      <c r="BA20" s="90"/>
      <c r="BB20">
        <v>4.4254155124627902E-2</v>
      </c>
      <c r="BC20">
        <v>7.9188115578549434E-2</v>
      </c>
      <c r="BE20">
        <v>35193.910160291292</v>
      </c>
      <c r="BF20">
        <v>21.011544593861817</v>
      </c>
      <c r="BG20">
        <v>37616.276196385035</v>
      </c>
      <c r="BH20">
        <v>20.985786485640833</v>
      </c>
    </row>
    <row r="21" spans="3:60" ht="15" customHeight="1" x14ac:dyDescent="0.2">
      <c r="C21" s="138">
        <v>30331.682845522759</v>
      </c>
      <c r="D21">
        <v>20.874935119821881</v>
      </c>
      <c r="E21" s="138">
        <v>32045.242479152646</v>
      </c>
      <c r="F21" s="138">
        <v>20.820220548719409</v>
      </c>
      <c r="G21" s="138">
        <v>-1713.5596336298877</v>
      </c>
      <c r="H21" s="138">
        <v>5.4714571102472576E-2</v>
      </c>
      <c r="J21" s="135">
        <v>500</v>
      </c>
      <c r="L21">
        <v>1</v>
      </c>
      <c r="N21" s="138"/>
      <c r="O21" s="138"/>
      <c r="P21" s="138"/>
      <c r="R21">
        <v>223.98943756465917</v>
      </c>
      <c r="S21">
        <v>59.239124558966594</v>
      </c>
      <c r="T21">
        <v>221.39981731957587</v>
      </c>
      <c r="U21">
        <v>90.615504218792282</v>
      </c>
      <c r="X21">
        <v>0.76737405543134907</v>
      </c>
      <c r="Y21">
        <v>0.86616446327549734</v>
      </c>
      <c r="Z21">
        <v>0.74806085472119888</v>
      </c>
      <c r="AA21">
        <v>0.71012015534026207</v>
      </c>
      <c r="AB21">
        <v>0.57816370380474202</v>
      </c>
      <c r="AC21">
        <v>0.84316666606934332</v>
      </c>
      <c r="AD21">
        <v>0.65810726586045176</v>
      </c>
      <c r="AE21">
        <v>0.74447268327904825</v>
      </c>
      <c r="AH21">
        <v>1.3692423079144977E-2</v>
      </c>
      <c r="AI21">
        <v>0.26192776477931712</v>
      </c>
      <c r="AJ21">
        <v>9.870193144429229E-2</v>
      </c>
      <c r="AK21">
        <v>8.016941661110466E-2</v>
      </c>
      <c r="AL21">
        <v>6.7824454263193612E-2</v>
      </c>
      <c r="AM21">
        <v>6.8528910534073839E-2</v>
      </c>
      <c r="AN21">
        <v>0.13371717176515041</v>
      </c>
      <c r="AO21">
        <v>0.16650361140605774</v>
      </c>
      <c r="AR21">
        <v>9.5311505615247594E-4</v>
      </c>
      <c r="AS21">
        <v>4.6742865932587474E-3</v>
      </c>
      <c r="AT21">
        <v>0.10020422212701474</v>
      </c>
      <c r="AU21">
        <v>2.0936085329527065E-3</v>
      </c>
      <c r="AV21">
        <v>2.1471399740137231E-3</v>
      </c>
      <c r="AW21">
        <v>3.8293042438690694E-3</v>
      </c>
      <c r="AX21">
        <v>3.7490968744550253E-4</v>
      </c>
      <c r="AY21">
        <v>4.219535706725063E-4</v>
      </c>
      <c r="BB21">
        <v>5.2232105864987499E-2</v>
      </c>
      <c r="BC21">
        <v>7.6028391920767935E-2</v>
      </c>
      <c r="BE21">
        <v>30331.682845522759</v>
      </c>
      <c r="BF21">
        <v>20.874935119821881</v>
      </c>
      <c r="BG21">
        <v>32045.242479152646</v>
      </c>
      <c r="BH21">
        <v>20.820220548719409</v>
      </c>
    </row>
    <row r="22" spans="3:60" ht="15" customHeight="1" x14ac:dyDescent="0.2">
      <c r="C22" s="138">
        <v>32761.266240969646</v>
      </c>
      <c r="D22">
        <v>21.330033900164974</v>
      </c>
      <c r="E22" s="138">
        <v>34828.470195851965</v>
      </c>
      <c r="F22" s="138">
        <v>21.326647224542903</v>
      </c>
      <c r="G22" s="138">
        <v>-2067.2039548823195</v>
      </c>
      <c r="H22" s="138">
        <v>3.386675622071067E-3</v>
      </c>
      <c r="J22" s="135">
        <v>600</v>
      </c>
      <c r="L22">
        <v>1</v>
      </c>
      <c r="N22" s="135"/>
      <c r="O22" s="139"/>
      <c r="P22" s="138"/>
      <c r="R22">
        <v>250.66878355737106</v>
      </c>
      <c r="S22">
        <v>70.141013387056375</v>
      </c>
      <c r="T22">
        <v>276.03359249793698</v>
      </c>
      <c r="U22">
        <v>113.34765500658992</v>
      </c>
      <c r="X22">
        <v>0.8629882417037078</v>
      </c>
      <c r="Y22">
        <v>0.66382199118586049</v>
      </c>
      <c r="Z22">
        <v>0.96102966832651071</v>
      </c>
      <c r="AA22">
        <v>0.77250033749388614</v>
      </c>
      <c r="AB22">
        <v>0.86930909963316938</v>
      </c>
      <c r="AC22">
        <v>0.64388475144630586</v>
      </c>
      <c r="AD22">
        <v>0.58369025904847605</v>
      </c>
      <c r="AE22">
        <v>0.7321510648083227</v>
      </c>
      <c r="AH22">
        <v>0.19957449239363567</v>
      </c>
      <c r="AI22">
        <v>0.19094778054588424</v>
      </c>
      <c r="AJ22">
        <v>1.0820811775942074E-2</v>
      </c>
      <c r="AK22">
        <v>2.2502433798117338E-2</v>
      </c>
      <c r="AL22">
        <v>2.0064075414883975E-2</v>
      </c>
      <c r="AM22">
        <v>7.5011471658130935E-2</v>
      </c>
      <c r="AN22">
        <v>0.23485633653857663</v>
      </c>
      <c r="AO22">
        <v>7.9911334756824548E-2</v>
      </c>
      <c r="AR22">
        <v>6.6088286124210357E-4</v>
      </c>
      <c r="AS22">
        <v>4.4599817670142646E-3</v>
      </c>
      <c r="AT22">
        <v>9.982711692443301E-2</v>
      </c>
      <c r="AU22">
        <v>1.9879499539267476E-3</v>
      </c>
      <c r="AV22">
        <v>2.0802538677540117E-3</v>
      </c>
      <c r="AW22">
        <v>3.6294875055676856E-3</v>
      </c>
      <c r="AX22">
        <v>4.79768588900642E-4</v>
      </c>
      <c r="AY22">
        <v>3.8176409467351446E-4</v>
      </c>
      <c r="BB22">
        <v>4.3504645748557516E-2</v>
      </c>
      <c r="BC22">
        <v>4.3326293532106985E-2</v>
      </c>
      <c r="BE22">
        <v>32761.266240969646</v>
      </c>
      <c r="BF22">
        <v>21.330033900164974</v>
      </c>
      <c r="BG22">
        <v>34828.470195851965</v>
      </c>
      <c r="BH22">
        <v>21.326647224542903</v>
      </c>
    </row>
    <row r="23" spans="3:60" ht="15" customHeight="1" x14ac:dyDescent="0.2">
      <c r="C23" s="138">
        <v>34024.186073932658</v>
      </c>
      <c r="D23">
        <v>21.089891281586958</v>
      </c>
      <c r="E23" s="138">
        <v>36225.510226240003</v>
      </c>
      <c r="F23" s="138">
        <v>21.061715870318213</v>
      </c>
      <c r="G23" s="138">
        <v>-2201.3241523073448</v>
      </c>
      <c r="H23" s="138">
        <v>2.8175411268744455E-2</v>
      </c>
      <c r="J23" s="135">
        <v>700</v>
      </c>
      <c r="L23">
        <v>1</v>
      </c>
      <c r="N23" s="135"/>
      <c r="O23" s="139"/>
      <c r="P23" s="138"/>
      <c r="R23">
        <v>310.95040280886855</v>
      </c>
      <c r="S23">
        <v>55.86304905566157</v>
      </c>
      <c r="T23">
        <v>251.47537759147463</v>
      </c>
      <c r="U23">
        <v>94.287561018374717</v>
      </c>
      <c r="X23">
        <v>0.85129316371905572</v>
      </c>
      <c r="Y23">
        <v>0.62502288954522722</v>
      </c>
      <c r="Z23">
        <v>0.70769065086002014</v>
      </c>
      <c r="AA23">
        <v>0.80364942146163187</v>
      </c>
      <c r="AB23">
        <v>0.62653201844118933</v>
      </c>
      <c r="AC23">
        <v>0.74181448890705581</v>
      </c>
      <c r="AD23">
        <v>0.70181484419408124</v>
      </c>
      <c r="AE23">
        <v>0.73326670721182219</v>
      </c>
      <c r="AH23">
        <v>0.17093059536772903</v>
      </c>
      <c r="AI23">
        <v>6.0799956895802532E-2</v>
      </c>
      <c r="AJ23">
        <v>0.26417011822552328</v>
      </c>
      <c r="AK23">
        <v>9.9703994488412606E-2</v>
      </c>
      <c r="AL23">
        <v>0.29013016477507869</v>
      </c>
      <c r="AM23">
        <v>4.9950391749839951E-2</v>
      </c>
      <c r="AN23">
        <v>0.37219204623567004</v>
      </c>
      <c r="AO23">
        <v>0.10054191329375606</v>
      </c>
      <c r="AR23">
        <v>9.7692707226992859E-4</v>
      </c>
      <c r="AS23">
        <v>4.8009722409848576E-3</v>
      </c>
      <c r="AT23">
        <v>9.9388688357466143E-2</v>
      </c>
      <c r="AU23">
        <v>2.0474818555623608E-3</v>
      </c>
      <c r="AV23">
        <v>1.9741674748774635E-3</v>
      </c>
      <c r="AW23">
        <v>3.087441136151049E-3</v>
      </c>
      <c r="AX23">
        <v>3.5039278488730818E-4</v>
      </c>
      <c r="AY23">
        <v>4.0197642677259021E-4</v>
      </c>
      <c r="BB23">
        <v>5.8305924224368422E-2</v>
      </c>
      <c r="BC23">
        <v>8.5095498757033927E-2</v>
      </c>
      <c r="BE23">
        <v>34024.186073932658</v>
      </c>
      <c r="BF23">
        <v>21.089891281586958</v>
      </c>
      <c r="BG23">
        <v>36225.510226240003</v>
      </c>
      <c r="BH23">
        <v>21.061715870318213</v>
      </c>
    </row>
    <row r="24" spans="3:60" ht="15" customHeight="1" x14ac:dyDescent="0.2">
      <c r="C24" s="138">
        <v>27221.031724960441</v>
      </c>
      <c r="D24">
        <v>21.010108206028526</v>
      </c>
      <c r="E24" s="138">
        <v>29494.614936896971</v>
      </c>
      <c r="F24" s="138">
        <v>20.996650381930554</v>
      </c>
      <c r="G24" s="138">
        <v>-2273.5832119365296</v>
      </c>
      <c r="H24" s="138">
        <v>1.3457824097972804E-2</v>
      </c>
      <c r="J24" s="135">
        <v>800</v>
      </c>
      <c r="L24">
        <v>1</v>
      </c>
      <c r="N24" s="135"/>
      <c r="O24" s="139"/>
      <c r="P24" s="138"/>
      <c r="R24">
        <v>181.76357730144312</v>
      </c>
      <c r="S24">
        <v>63.938906286131228</v>
      </c>
      <c r="T24">
        <v>236.6546049160666</v>
      </c>
      <c r="U24">
        <v>103.52279835692509</v>
      </c>
      <c r="X24">
        <v>0.58131967987191357</v>
      </c>
      <c r="Y24">
        <v>0.83410740565809827</v>
      </c>
      <c r="Z24">
        <v>0.76562872661971282</v>
      </c>
      <c r="AA24">
        <v>0.46592140839078067</v>
      </c>
      <c r="AB24">
        <v>0.7280898273566565</v>
      </c>
      <c r="AC24">
        <v>0.77489781577683514</v>
      </c>
      <c r="AD24">
        <v>0.66653753903643909</v>
      </c>
      <c r="AE24">
        <v>0.75186384368278381</v>
      </c>
      <c r="AH24">
        <v>0.25032035161304733</v>
      </c>
      <c r="AI24">
        <v>7.1414398179386662E-2</v>
      </c>
      <c r="AJ24">
        <v>2.7519332862962154E-2</v>
      </c>
      <c r="AK24">
        <v>0.31503700619041763</v>
      </c>
      <c r="AL24">
        <v>0.11671093856848358</v>
      </c>
      <c r="AM24">
        <v>0.12236135131594039</v>
      </c>
      <c r="AN24">
        <v>0.18485646036808767</v>
      </c>
      <c r="AO24">
        <v>0.18296705593069962</v>
      </c>
      <c r="AR24">
        <v>8.0579954817071601E-4</v>
      </c>
      <c r="AS24">
        <v>4.7213970139321493E-3</v>
      </c>
      <c r="AT24">
        <v>9.9734295056855424E-2</v>
      </c>
      <c r="AU24">
        <v>2.2403469400628095E-3</v>
      </c>
      <c r="AV24">
        <v>2.0739056418165314E-3</v>
      </c>
      <c r="AW24">
        <v>3.6365768287069944E-3</v>
      </c>
      <c r="AX24">
        <v>4.2118974225124894E-4</v>
      </c>
      <c r="AY24">
        <v>3.8952620039594356E-4</v>
      </c>
      <c r="BB24">
        <v>5.4379559258458832E-2</v>
      </c>
      <c r="BC24">
        <v>3.5753268002856976E-2</v>
      </c>
      <c r="BE24">
        <v>27221.031724960441</v>
      </c>
      <c r="BF24">
        <v>21.010108206028526</v>
      </c>
      <c r="BG24">
        <v>29494.614936896971</v>
      </c>
      <c r="BH24">
        <v>20.996650381930554</v>
      </c>
    </row>
    <row r="25" spans="3:60" ht="15" customHeight="1" x14ac:dyDescent="0.2">
      <c r="C25" s="138">
        <v>30230.510848574275</v>
      </c>
      <c r="D25">
        <v>20.392251774795273</v>
      </c>
      <c r="E25" s="138">
        <v>32454.328695492331</v>
      </c>
      <c r="F25" s="138">
        <v>20.354467392904251</v>
      </c>
      <c r="G25" s="138">
        <v>-2223.8178469180566</v>
      </c>
      <c r="H25" s="138">
        <v>3.7784381891022178E-2</v>
      </c>
      <c r="J25" s="135">
        <v>900</v>
      </c>
      <c r="L25">
        <v>1</v>
      </c>
      <c r="N25" s="135"/>
      <c r="O25" s="139"/>
      <c r="P25" s="138"/>
      <c r="R25">
        <v>189.53564887164978</v>
      </c>
      <c r="S25">
        <v>56.474969691922993</v>
      </c>
      <c r="T25">
        <v>238.00941480166924</v>
      </c>
      <c r="U25">
        <v>72.321974761610704</v>
      </c>
      <c r="X25">
        <v>0.534307323329684</v>
      </c>
      <c r="Y25">
        <v>0.62266777451517541</v>
      </c>
      <c r="Z25">
        <v>0.64581590225624075</v>
      </c>
      <c r="AA25">
        <v>0.83871151499090213</v>
      </c>
      <c r="AB25">
        <v>0.91045012473930398</v>
      </c>
      <c r="AC25">
        <v>0.74283676498934736</v>
      </c>
      <c r="AD25">
        <v>0.56725080791574745</v>
      </c>
      <c r="AE25">
        <v>0.64105003278967732</v>
      </c>
      <c r="AH25">
        <v>0.13582717218537432</v>
      </c>
      <c r="AI25">
        <v>0.2137246866577367</v>
      </c>
      <c r="AJ25">
        <v>6.6499116849289219E-2</v>
      </c>
      <c r="AK25">
        <v>0.16358889178604286</v>
      </c>
      <c r="AL25">
        <v>8.9370055046603003E-2</v>
      </c>
      <c r="AM25">
        <v>7.677864138353574E-2</v>
      </c>
      <c r="AN25">
        <v>0.14004193544512133</v>
      </c>
      <c r="AO25">
        <v>4.6424597588688998E-2</v>
      </c>
      <c r="AR25">
        <v>9.1078108276543279E-4</v>
      </c>
      <c r="AS25">
        <v>4.8183346227649304E-3</v>
      </c>
      <c r="AT25">
        <v>0.10036429468534436</v>
      </c>
      <c r="AU25">
        <v>2.0240802396145341E-3</v>
      </c>
      <c r="AV25">
        <v>1.9759722442886157E-3</v>
      </c>
      <c r="AW25">
        <v>3.4154799101637767E-3</v>
      </c>
      <c r="AX25">
        <v>4.5256246383440502E-4</v>
      </c>
      <c r="AY25">
        <v>3.2668235623708124E-4</v>
      </c>
      <c r="BB25">
        <v>5.5392257910032661E-2</v>
      </c>
      <c r="BC25">
        <v>5.0938117593872234E-2</v>
      </c>
      <c r="BE25">
        <v>30230.510848574275</v>
      </c>
      <c r="BF25">
        <v>20.392251774795273</v>
      </c>
      <c r="BG25">
        <v>32454.328695492331</v>
      </c>
      <c r="BH25">
        <v>20.354467392904251</v>
      </c>
    </row>
    <row r="26" spans="3:60" ht="15" customHeight="1" x14ac:dyDescent="0.2">
      <c r="C26" s="138">
        <v>37173.806453978992</v>
      </c>
      <c r="D26">
        <v>21.496992766629571</v>
      </c>
      <c r="E26" s="138">
        <v>39707.575075181463</v>
      </c>
      <c r="F26" s="138">
        <v>21.472002127506432</v>
      </c>
      <c r="G26" s="138">
        <v>-2533.768621202471</v>
      </c>
      <c r="H26" s="138">
        <v>2.4990639123139147E-2</v>
      </c>
      <c r="J26" s="135">
        <v>1000</v>
      </c>
      <c r="L26">
        <v>1</v>
      </c>
      <c r="N26" s="135"/>
      <c r="O26" s="139"/>
      <c r="P26" s="138"/>
      <c r="R26">
        <v>198.36629681082954</v>
      </c>
      <c r="S26">
        <v>65.494830587315278</v>
      </c>
      <c r="T26">
        <v>207.19847928848819</v>
      </c>
      <c r="U26">
        <v>95.589500937263892</v>
      </c>
      <c r="X26">
        <v>0.70367360250558697</v>
      </c>
      <c r="Y26">
        <v>0.75785298275017676</v>
      </c>
      <c r="Z26">
        <v>0.9235112252396529</v>
      </c>
      <c r="AA26">
        <v>0.6021058534851994</v>
      </c>
      <c r="AB26">
        <v>0.76668550729597351</v>
      </c>
      <c r="AC26">
        <v>0.68506936641179594</v>
      </c>
      <c r="AD26">
        <v>0.75744706693170238</v>
      </c>
      <c r="AE26">
        <v>0.83563329601339731</v>
      </c>
      <c r="AH26">
        <v>8.5673027482691677E-2</v>
      </c>
      <c r="AI26">
        <v>4.3030977645375224E-3</v>
      </c>
      <c r="AJ26">
        <v>6.3100819876952485E-2</v>
      </c>
      <c r="AK26">
        <v>0.19975776871262862</v>
      </c>
      <c r="AL26">
        <v>0.20531683339505602</v>
      </c>
      <c r="AM26">
        <v>0.13988210904844633</v>
      </c>
      <c r="AN26">
        <v>0.1104071847810878</v>
      </c>
      <c r="AO26">
        <v>0.21936960863215715</v>
      </c>
      <c r="AR26">
        <v>8.2780387099748475E-4</v>
      </c>
      <c r="AS26">
        <v>4.4130027487709941E-3</v>
      </c>
      <c r="AT26">
        <v>0.10085081814507002</v>
      </c>
      <c r="AU26">
        <v>1.8167170597136518E-3</v>
      </c>
      <c r="AV26">
        <v>2.0170063915346814E-3</v>
      </c>
      <c r="AW26">
        <v>3.5495395204843128E-3</v>
      </c>
      <c r="AX26">
        <v>3.7036945448107555E-4</v>
      </c>
      <c r="AY26">
        <v>4.8762977199445778E-4</v>
      </c>
      <c r="BB26">
        <v>5.4716320592453016E-2</v>
      </c>
      <c r="BC26">
        <v>1.8986101011458902E-2</v>
      </c>
      <c r="BE26">
        <v>37173.806453978992</v>
      </c>
      <c r="BF26">
        <v>21.496992766629571</v>
      </c>
      <c r="BG26">
        <v>39707.575075181463</v>
      </c>
      <c r="BH26">
        <v>21.472002127506432</v>
      </c>
    </row>
    <row r="27" spans="3:60" ht="15" customHeight="1" x14ac:dyDescent="0.2">
      <c r="C27" s="138">
        <v>40724.657175829001</v>
      </c>
      <c r="D27">
        <v>21.337875682748635</v>
      </c>
      <c r="E27" s="138">
        <v>43378.190936480634</v>
      </c>
      <c r="F27" s="138">
        <v>21.322564478067118</v>
      </c>
      <c r="G27" s="138">
        <v>-2653.5337606516332</v>
      </c>
      <c r="H27" s="138">
        <v>1.5311204681516699E-2</v>
      </c>
      <c r="J27" s="135">
        <v>1100</v>
      </c>
      <c r="L27">
        <v>1</v>
      </c>
      <c r="N27" s="138"/>
      <c r="O27" s="138"/>
      <c r="P27" s="138"/>
      <c r="R27">
        <v>273.99000935246761</v>
      </c>
      <c r="S27">
        <v>65.416707696103273</v>
      </c>
      <c r="T27">
        <v>211.94572902788144</v>
      </c>
      <c r="U27">
        <v>93.281102023158155</v>
      </c>
      <c r="X27">
        <v>0.6478085835155668</v>
      </c>
      <c r="Y27">
        <v>0.91852771126304067</v>
      </c>
      <c r="Z27">
        <v>0.87810355343941693</v>
      </c>
      <c r="AA27">
        <v>0.95464505457023763</v>
      </c>
      <c r="AB27">
        <v>0.80950547704444875</v>
      </c>
      <c r="AC27">
        <v>0.80687945633075553</v>
      </c>
      <c r="AD27">
        <v>0.72276255250988652</v>
      </c>
      <c r="AE27">
        <v>0.70616212138453072</v>
      </c>
      <c r="AH27">
        <v>7.3832906034550283E-2</v>
      </c>
      <c r="AI27">
        <v>7.7152431107916586E-2</v>
      </c>
      <c r="AJ27">
        <v>0.29740436154448102</v>
      </c>
      <c r="AK27">
        <v>3.9113799609422406E-2</v>
      </c>
      <c r="AL27">
        <v>0.10795596454536516</v>
      </c>
      <c r="AM27">
        <v>0.19335948841397455</v>
      </c>
      <c r="AN27">
        <v>0.24591396260199139</v>
      </c>
      <c r="AO27">
        <v>8.1449950134807159E-2</v>
      </c>
      <c r="AR27">
        <v>1.0431704682837273E-3</v>
      </c>
      <c r="AS27">
        <v>4.5768732978004323E-3</v>
      </c>
      <c r="AT27">
        <v>9.9681600603482676E-2</v>
      </c>
      <c r="AU27">
        <v>1.7688063335483807E-3</v>
      </c>
      <c r="AV27">
        <v>1.9947429505922376E-3</v>
      </c>
      <c r="AW27">
        <v>3.557854573641106E-3</v>
      </c>
      <c r="AX27">
        <v>4.0541371690494543E-4</v>
      </c>
      <c r="AY27">
        <v>4.2946538868053624E-4</v>
      </c>
      <c r="BB27">
        <v>4.6242999559733877E-2</v>
      </c>
      <c r="BC27">
        <v>6.4851107041237421E-2</v>
      </c>
      <c r="BE27">
        <v>40724.657175829001</v>
      </c>
      <c r="BF27">
        <v>21.337875682748635</v>
      </c>
      <c r="BG27">
        <v>43378.190936480634</v>
      </c>
      <c r="BH27">
        <v>21.322564478067118</v>
      </c>
    </row>
    <row r="28" spans="3:60" ht="15" customHeight="1" x14ac:dyDescent="0.2">
      <c r="C28" s="138">
        <v>30850.376053217653</v>
      </c>
      <c r="D28">
        <v>21.268579534175757</v>
      </c>
      <c r="E28" s="138">
        <v>32713.383577321827</v>
      </c>
      <c r="F28" s="138">
        <v>21.278213149034187</v>
      </c>
      <c r="G28" s="138">
        <v>-1863.0075241041741</v>
      </c>
      <c r="H28" s="138">
        <v>-9.6336148584299508E-3</v>
      </c>
      <c r="J28" s="135">
        <v>1200</v>
      </c>
      <c r="L28">
        <v>1</v>
      </c>
      <c r="N28" s="135"/>
      <c r="O28" s="138"/>
      <c r="P28" s="138"/>
      <c r="R28">
        <v>238.06809787241838</v>
      </c>
      <c r="S28">
        <v>49.344113803235011</v>
      </c>
      <c r="T28">
        <v>271.08935321674505</v>
      </c>
      <c r="U28">
        <v>89.938255873690963</v>
      </c>
      <c r="X28">
        <v>0.83659238104653633</v>
      </c>
      <c r="Y28">
        <v>0.70216930706946312</v>
      </c>
      <c r="Z28">
        <v>0.79359571188787736</v>
      </c>
      <c r="AA28">
        <v>0.7286587399153861</v>
      </c>
      <c r="AB28">
        <v>0.76765318861103804</v>
      </c>
      <c r="AC28">
        <v>0.74188712655532463</v>
      </c>
      <c r="AD28">
        <v>0.59893154584144559</v>
      </c>
      <c r="AE28">
        <v>0.80344350393443198</v>
      </c>
      <c r="AH28">
        <v>8.2044515931351092E-2</v>
      </c>
      <c r="AI28">
        <v>0.20395886865934543</v>
      </c>
      <c r="AJ28">
        <v>0.13106535543624087</v>
      </c>
      <c r="AK28">
        <v>7.8978261735874966E-2</v>
      </c>
      <c r="AL28">
        <v>5.798665353801169E-2</v>
      </c>
      <c r="AM28">
        <v>0.16238136150218652</v>
      </c>
      <c r="AN28">
        <v>0.15186815099096396</v>
      </c>
      <c r="AO28">
        <v>0.28284647564037602</v>
      </c>
      <c r="AR28">
        <v>8.3277677216011322E-4</v>
      </c>
      <c r="AS28">
        <v>4.4079376475374705E-3</v>
      </c>
      <c r="AT28">
        <v>9.9844359280793493E-2</v>
      </c>
      <c r="AU28">
        <v>1.9845043670515322E-3</v>
      </c>
      <c r="AV28">
        <v>2.1928471844641084E-3</v>
      </c>
      <c r="AW28">
        <v>3.6115456616687691E-3</v>
      </c>
      <c r="AX28">
        <v>5.579121105030449E-4</v>
      </c>
      <c r="AY28">
        <v>4.2660833823898888E-4</v>
      </c>
      <c r="BB28">
        <v>4.7748069554519157E-2</v>
      </c>
      <c r="BC28">
        <v>6.2425348035505812E-2</v>
      </c>
      <c r="BE28">
        <v>30850.376053217653</v>
      </c>
      <c r="BF28">
        <v>21.268579534175757</v>
      </c>
      <c r="BG28">
        <v>32713.383577321827</v>
      </c>
      <c r="BH28">
        <v>21.278213149034187</v>
      </c>
    </row>
    <row r="29" spans="3:60" ht="15" customHeight="1" x14ac:dyDescent="0.2">
      <c r="C29" s="138">
        <v>26607.024313948612</v>
      </c>
      <c r="D29">
        <v>20.733825441710383</v>
      </c>
      <c r="E29" s="138">
        <v>28134.894817998076</v>
      </c>
      <c r="F29" s="138">
        <v>20.733015848297775</v>
      </c>
      <c r="G29" s="138">
        <v>-1527.8705040494642</v>
      </c>
      <c r="H29" s="138">
        <v>8.0959341260822271E-4</v>
      </c>
      <c r="J29" s="135">
        <v>1300</v>
      </c>
      <c r="L29">
        <v>1</v>
      </c>
      <c r="N29" s="135"/>
      <c r="O29" s="138"/>
      <c r="P29" s="138"/>
      <c r="R29">
        <v>276.83998310806237</v>
      </c>
      <c r="S29">
        <v>71.017127506436239</v>
      </c>
      <c r="T29">
        <v>294.32878909955286</v>
      </c>
      <c r="U29">
        <v>95.012768372639897</v>
      </c>
      <c r="X29">
        <v>0.85333768120416353</v>
      </c>
      <c r="Y29">
        <v>0.74528435850155061</v>
      </c>
      <c r="Z29">
        <v>0.78496548323463167</v>
      </c>
      <c r="AA29">
        <v>0.88902533754069268</v>
      </c>
      <c r="AB29">
        <v>0.70117808991899933</v>
      </c>
      <c r="AC29">
        <v>0.83872501708750824</v>
      </c>
      <c r="AD29">
        <v>0.79110856026551235</v>
      </c>
      <c r="AE29">
        <v>0.93697154744802891</v>
      </c>
      <c r="AH29">
        <v>0.17104471048341729</v>
      </c>
      <c r="AI29">
        <v>3.8093187887966229E-2</v>
      </c>
      <c r="AJ29">
        <v>7.3197393286823953E-2</v>
      </c>
      <c r="AK29">
        <v>0.1046569663985808</v>
      </c>
      <c r="AL29">
        <v>2.0632577683668107E-2</v>
      </c>
      <c r="AM29">
        <v>0.14983165666264986</v>
      </c>
      <c r="AN29">
        <v>3.2148995903405586E-2</v>
      </c>
      <c r="AO29">
        <v>0.15995376141356887</v>
      </c>
      <c r="AR29">
        <v>9.6388367770372518E-4</v>
      </c>
      <c r="AS29">
        <v>4.4790403492378783E-3</v>
      </c>
      <c r="AT29">
        <v>0.10071613960685566</v>
      </c>
      <c r="AU29">
        <v>1.8361939703468156E-3</v>
      </c>
      <c r="AV29">
        <v>2.2743504146456317E-3</v>
      </c>
      <c r="AW29">
        <v>3.3187328269171268E-3</v>
      </c>
      <c r="AX29">
        <v>3.340709110041603E-4</v>
      </c>
      <c r="AY29">
        <v>4.0125084527953199E-4</v>
      </c>
      <c r="BB29">
        <v>5.8039299689922497E-2</v>
      </c>
      <c r="BC29">
        <v>8.7245193830928769E-2</v>
      </c>
      <c r="BE29">
        <v>26607.024313948612</v>
      </c>
      <c r="BF29">
        <v>20.733825441710383</v>
      </c>
      <c r="BG29">
        <v>28134.894817998076</v>
      </c>
      <c r="BH29">
        <v>20.733015848297775</v>
      </c>
    </row>
    <row r="30" spans="3:60" x14ac:dyDescent="0.2">
      <c r="C30" s="138">
        <v>31942.270200784089</v>
      </c>
      <c r="D30">
        <v>21.560496275047822</v>
      </c>
      <c r="E30" s="138">
        <v>34191.293281488041</v>
      </c>
      <c r="F30" s="138">
        <v>21.542760144286458</v>
      </c>
      <c r="G30" s="138">
        <v>-2249.0230807039516</v>
      </c>
      <c r="H30" s="138">
        <v>1.7736130761363711E-2</v>
      </c>
      <c r="J30" s="135">
        <v>1400</v>
      </c>
      <c r="L30">
        <v>1</v>
      </c>
      <c r="N30" s="135"/>
      <c r="O30" s="138"/>
      <c r="P30" s="138"/>
      <c r="R30">
        <v>183.8949500745222</v>
      </c>
      <c r="S30">
        <v>63.933772420960153</v>
      </c>
      <c r="T30">
        <v>267.77486413568283</v>
      </c>
      <c r="U30">
        <v>88.992725068633021</v>
      </c>
      <c r="X30">
        <v>0.74325015445115095</v>
      </c>
      <c r="Y30">
        <v>0.69386645800544922</v>
      </c>
      <c r="Z30">
        <v>0.80447874837100708</v>
      </c>
      <c r="AA30">
        <v>0.7525853838834059</v>
      </c>
      <c r="AB30">
        <v>0.84331394456391284</v>
      </c>
      <c r="AC30">
        <v>0.90865413774223236</v>
      </c>
      <c r="AD30">
        <v>0.89788584658811188</v>
      </c>
      <c r="AE30">
        <v>0.75109366207399664</v>
      </c>
      <c r="AH30">
        <v>0.27004307158627128</v>
      </c>
      <c r="AI30">
        <v>2.8266658009417855E-2</v>
      </c>
      <c r="AJ30">
        <v>0.25211414693712908</v>
      </c>
      <c r="AK30">
        <v>0.22214016830219052</v>
      </c>
      <c r="AL30">
        <v>0.21738045343019174</v>
      </c>
      <c r="AM30">
        <v>4.1966278711797589E-2</v>
      </c>
      <c r="AN30">
        <v>8.865143284337218E-2</v>
      </c>
      <c r="AO30">
        <v>0.20088022772394654</v>
      </c>
      <c r="AR30">
        <v>8.7253796296733342E-4</v>
      </c>
      <c r="AS30">
        <v>4.2130423349125675E-3</v>
      </c>
      <c r="AT30">
        <v>0.10030798457203249</v>
      </c>
      <c r="AU30">
        <v>1.7954598357587893E-3</v>
      </c>
      <c r="AV30">
        <v>2.0312256065392331E-3</v>
      </c>
      <c r="AW30">
        <v>3.527753941913736E-3</v>
      </c>
      <c r="AX30">
        <v>3.7911545495078296E-4</v>
      </c>
      <c r="AY30">
        <v>3.9459550844175097E-4</v>
      </c>
      <c r="BB30">
        <v>5.1897089249591244E-2</v>
      </c>
      <c r="BC30">
        <v>8.103200141116762E-2</v>
      </c>
      <c r="BE30">
        <v>31942.270200784089</v>
      </c>
      <c r="BF30">
        <v>21.560496275047822</v>
      </c>
      <c r="BG30">
        <v>34191.293281488041</v>
      </c>
      <c r="BH30">
        <v>21.542760144286458</v>
      </c>
    </row>
    <row r="31" spans="3:60" x14ac:dyDescent="0.2">
      <c r="C31" s="138">
        <v>32295.383615921815</v>
      </c>
      <c r="D31">
        <v>20.318423417286265</v>
      </c>
      <c r="E31" s="138">
        <v>34166.812845338485</v>
      </c>
      <c r="F31" s="138">
        <v>20.287424558729736</v>
      </c>
      <c r="G31" s="138">
        <v>-1871.4292294166698</v>
      </c>
      <c r="H31" s="138">
        <v>3.0998858556529285E-2</v>
      </c>
      <c r="J31" s="135">
        <v>1500</v>
      </c>
      <c r="L31">
        <v>1</v>
      </c>
      <c r="N31" s="138"/>
      <c r="O31" s="138"/>
      <c r="P31" s="138"/>
      <c r="R31">
        <v>376.57454823530247</v>
      </c>
      <c r="S31">
        <v>57.294704796554626</v>
      </c>
      <c r="T31">
        <v>264.02531244322319</v>
      </c>
      <c r="U31">
        <v>79.584998786459309</v>
      </c>
      <c r="X31">
        <v>0.85414699241676029</v>
      </c>
      <c r="Y31">
        <v>0.75119830929339571</v>
      </c>
      <c r="Z31">
        <v>0.85820055070519363</v>
      </c>
      <c r="AA31">
        <v>0.78099680845960151</v>
      </c>
      <c r="AB31">
        <v>0.63079893861313119</v>
      </c>
      <c r="AC31">
        <v>0.77445458943807433</v>
      </c>
      <c r="AD31">
        <v>0.79472975232142085</v>
      </c>
      <c r="AE31">
        <v>0.69081095590005692</v>
      </c>
      <c r="AH31">
        <v>0.15968593017742372</v>
      </c>
      <c r="AI31">
        <v>5.6717072759107534E-2</v>
      </c>
      <c r="AJ31">
        <v>8.3600886767904448E-2</v>
      </c>
      <c r="AK31">
        <v>0.16773012100613438</v>
      </c>
      <c r="AL31">
        <v>0.11654146202455373</v>
      </c>
      <c r="AM31">
        <v>4.669756519783419E-2</v>
      </c>
      <c r="AN31">
        <v>0.2094655936979537</v>
      </c>
      <c r="AO31">
        <v>0.21452029007367712</v>
      </c>
      <c r="AR31">
        <v>9.4017014876612848E-4</v>
      </c>
      <c r="AS31">
        <v>4.6808461269812751E-3</v>
      </c>
      <c r="AT31">
        <v>9.8936659756067899E-2</v>
      </c>
      <c r="AU31">
        <v>1.8340916533167951E-3</v>
      </c>
      <c r="AV31">
        <v>2.3235009409154905E-3</v>
      </c>
      <c r="AW31">
        <v>3.5020984446610948E-3</v>
      </c>
      <c r="AX31">
        <v>3.0997241489197927E-4</v>
      </c>
      <c r="AY31">
        <v>4.179930604640498E-4</v>
      </c>
      <c r="BB31">
        <v>4.9874487909161602E-2</v>
      </c>
      <c r="BC31">
        <v>3.1261956860589711E-2</v>
      </c>
      <c r="BE31">
        <v>32295.383615921815</v>
      </c>
      <c r="BF31">
        <v>20.318423417286265</v>
      </c>
      <c r="BG31">
        <v>34166.812845338485</v>
      </c>
      <c r="BH31">
        <v>20.287424558729736</v>
      </c>
    </row>
    <row r="32" spans="3:60" x14ac:dyDescent="0.2">
      <c r="C32" s="138">
        <v>29949.384045911054</v>
      </c>
      <c r="D32">
        <v>20.712544704869341</v>
      </c>
      <c r="E32" s="138">
        <v>32266.54020596289</v>
      </c>
      <c r="F32" s="138">
        <v>20.675066006305471</v>
      </c>
      <c r="G32" s="138">
        <v>-2317.1561600518362</v>
      </c>
      <c r="H32" s="138">
        <v>3.7478698563869983E-2</v>
      </c>
      <c r="J32" s="135">
        <v>1600</v>
      </c>
      <c r="L32">
        <v>1</v>
      </c>
      <c r="N32" s="138"/>
      <c r="O32" s="138"/>
      <c r="P32" s="138"/>
      <c r="R32">
        <v>228.63799232809885</v>
      </c>
      <c r="S32">
        <v>50.028760486736516</v>
      </c>
      <c r="T32">
        <v>260.69326558298138</v>
      </c>
      <c r="U32">
        <v>78.336133005768062</v>
      </c>
      <c r="X32">
        <v>0.8261658300790693</v>
      </c>
      <c r="Y32">
        <v>0.78526158472449559</v>
      </c>
      <c r="Z32">
        <v>0.67567777973291243</v>
      </c>
      <c r="AA32">
        <v>0.6964386238917899</v>
      </c>
      <c r="AB32">
        <v>0.84389111933742911</v>
      </c>
      <c r="AC32">
        <v>0.76335540727350992</v>
      </c>
      <c r="AD32">
        <v>0.65884602868803788</v>
      </c>
      <c r="AE32">
        <v>0.5909767822619133</v>
      </c>
      <c r="AH32">
        <v>3.5116274315986851E-2</v>
      </c>
      <c r="AI32">
        <v>5.6262212749019214E-2</v>
      </c>
      <c r="AJ32">
        <v>1.2605720702484335E-2</v>
      </c>
      <c r="AK32">
        <v>0.1372164716236981</v>
      </c>
      <c r="AL32">
        <v>5.6972912964922351E-2</v>
      </c>
      <c r="AM32">
        <v>0.18751741033777269</v>
      </c>
      <c r="AN32">
        <v>0.10898639739492344</v>
      </c>
      <c r="AO32">
        <v>0.23250481986474325</v>
      </c>
      <c r="AR32">
        <v>8.7108069876528976E-4</v>
      </c>
      <c r="AS32">
        <v>4.402423912116162E-3</v>
      </c>
      <c r="AT32">
        <v>0.10032135660319452</v>
      </c>
      <c r="AU32">
        <v>2.2651761678937898E-3</v>
      </c>
      <c r="AV32">
        <v>2.056147168415734E-3</v>
      </c>
      <c r="AW32">
        <v>3.1259650751266316E-3</v>
      </c>
      <c r="AX32">
        <v>5.6235010211713732E-4</v>
      </c>
      <c r="AY32">
        <v>3.9514176448212247E-4</v>
      </c>
      <c r="BB32">
        <v>5.2980800311286602E-2</v>
      </c>
      <c r="BC32">
        <v>4.292114980740995E-2</v>
      </c>
      <c r="BE32">
        <v>29949.384045911054</v>
      </c>
      <c r="BF32">
        <v>20.712544704869341</v>
      </c>
      <c r="BG32">
        <v>32266.54020596289</v>
      </c>
      <c r="BH32">
        <v>20.675066006305471</v>
      </c>
    </row>
    <row r="33" spans="3:60" x14ac:dyDescent="0.2">
      <c r="C33" s="138">
        <v>37054.429521690094</v>
      </c>
      <c r="D33">
        <v>20.493762766840959</v>
      </c>
      <c r="E33" s="138">
        <v>39395.607777212688</v>
      </c>
      <c r="F33" s="138">
        <v>20.452670422665776</v>
      </c>
      <c r="G33" s="138">
        <v>-2341.1782555225946</v>
      </c>
      <c r="H33" s="138">
        <v>4.1092344175183371E-2</v>
      </c>
      <c r="J33" s="135">
        <v>1700</v>
      </c>
      <c r="L33">
        <v>1</v>
      </c>
      <c r="N33" s="138"/>
      <c r="O33" s="138"/>
      <c r="P33" s="138"/>
      <c r="R33">
        <v>372.14553202419512</v>
      </c>
      <c r="S33">
        <v>59.704455865709811</v>
      </c>
      <c r="T33">
        <v>206.22617801114538</v>
      </c>
      <c r="U33">
        <v>96.820722723543838</v>
      </c>
      <c r="X33">
        <v>0.3805297602393386</v>
      </c>
      <c r="Y33">
        <v>0.68072796394418722</v>
      </c>
      <c r="Z33">
        <v>0.46823961559597316</v>
      </c>
      <c r="AA33">
        <v>0.73598523461310938</v>
      </c>
      <c r="AB33">
        <v>0.62129389118622036</v>
      </c>
      <c r="AC33">
        <v>0.92014528414524799</v>
      </c>
      <c r="AD33">
        <v>0.77219891499539872</v>
      </c>
      <c r="AE33">
        <v>0.69833382913192621</v>
      </c>
      <c r="AH33">
        <v>8.7518404632771052E-2</v>
      </c>
      <c r="AI33">
        <v>0.12255145003942514</v>
      </c>
      <c r="AJ33">
        <v>0.195360762092883</v>
      </c>
      <c r="AK33">
        <v>7.921136640260118E-2</v>
      </c>
      <c r="AL33">
        <v>6.1112618220462211E-2</v>
      </c>
      <c r="AM33">
        <v>0.14409360191035214</v>
      </c>
      <c r="AN33">
        <v>3.1390623122057981E-2</v>
      </c>
      <c r="AO33">
        <v>4.031293828075877E-2</v>
      </c>
      <c r="AR33">
        <v>9.6499577823283555E-4</v>
      </c>
      <c r="AS33">
        <v>4.4486386040650189E-3</v>
      </c>
      <c r="AT33">
        <v>9.9464882039021443E-2</v>
      </c>
      <c r="AU33">
        <v>2.1378658005545281E-3</v>
      </c>
      <c r="AV33">
        <v>1.9816601704228894E-3</v>
      </c>
      <c r="AW33">
        <v>3.2257048531869653E-3</v>
      </c>
      <c r="AX33">
        <v>5.2419107966528156E-4</v>
      </c>
      <c r="AY33">
        <v>3.9007614535752343E-4</v>
      </c>
      <c r="BB33">
        <v>4.9396709083468375E-2</v>
      </c>
      <c r="BC33">
        <v>5.0306613891071494E-2</v>
      </c>
      <c r="BE33">
        <v>37054.429521690094</v>
      </c>
      <c r="BF33">
        <v>20.493762766840959</v>
      </c>
      <c r="BG33">
        <v>39395.607777212688</v>
      </c>
      <c r="BH33">
        <v>20.452670422665776</v>
      </c>
    </row>
    <row r="34" spans="3:60" x14ac:dyDescent="0.2">
      <c r="C34" s="138">
        <v>35965.821112257028</v>
      </c>
      <c r="D34">
        <v>21.749388929145901</v>
      </c>
      <c r="E34" s="138">
        <v>38123.756328286392</v>
      </c>
      <c r="F34" s="138">
        <v>21.735614796403315</v>
      </c>
      <c r="G34" s="138">
        <v>-2157.9352160293638</v>
      </c>
      <c r="H34" s="138">
        <v>1.3774132742586431E-2</v>
      </c>
      <c r="J34" s="135">
        <v>1800</v>
      </c>
      <c r="L34">
        <v>1</v>
      </c>
      <c r="N34" s="138"/>
      <c r="O34" s="138"/>
      <c r="P34" s="138"/>
      <c r="R34">
        <v>379.10947244404917</v>
      </c>
      <c r="S34">
        <v>65.498340938468175</v>
      </c>
      <c r="T34">
        <v>262.42330023732802</v>
      </c>
      <c r="U34">
        <v>86.401775138783705</v>
      </c>
      <c r="X34">
        <v>0.81787226230214616</v>
      </c>
      <c r="Y34">
        <v>0.84963341413793969</v>
      </c>
      <c r="Z34">
        <v>0.53242113233611243</v>
      </c>
      <c r="AA34">
        <v>0.91909319074503126</v>
      </c>
      <c r="AB34">
        <v>0.8178256866149074</v>
      </c>
      <c r="AC34">
        <v>0.8975676506920891</v>
      </c>
      <c r="AD34">
        <v>0.8654501723697432</v>
      </c>
      <c r="AE34">
        <v>0.83569153410725816</v>
      </c>
      <c r="AH34">
        <v>6.4578147668209462E-2</v>
      </c>
      <c r="AI34">
        <v>0.14894073366896665</v>
      </c>
      <c r="AJ34">
        <v>7.6184803824033032E-2</v>
      </c>
      <c r="AK34">
        <v>4.1538688583878436E-2</v>
      </c>
      <c r="AL34">
        <v>0.11220304967182126</v>
      </c>
      <c r="AM34">
        <v>9.2057200396459704E-2</v>
      </c>
      <c r="AN34">
        <v>0.1347113573327885</v>
      </c>
      <c r="AO34">
        <v>7.7897576591640649E-2</v>
      </c>
      <c r="AR34">
        <v>8.4538235690292615E-4</v>
      </c>
      <c r="AS34">
        <v>4.6351323473172723E-3</v>
      </c>
      <c r="AT34">
        <v>9.8950069549100433E-2</v>
      </c>
      <c r="AU34">
        <v>1.9753471350608051E-3</v>
      </c>
      <c r="AV34">
        <v>2.1616101044071856E-3</v>
      </c>
      <c r="AW34">
        <v>3.3455064264324213E-3</v>
      </c>
      <c r="AX34">
        <v>4.7040995143177167E-4</v>
      </c>
      <c r="AY34">
        <v>4.6638314307034801E-4</v>
      </c>
      <c r="BB34">
        <v>3.9308809284943527E-2</v>
      </c>
      <c r="BC34">
        <v>3.563547819227663E-2</v>
      </c>
      <c r="BE34">
        <v>35965.821112257028</v>
      </c>
      <c r="BF34">
        <v>21.749388929145901</v>
      </c>
      <c r="BG34">
        <v>38123.756328286392</v>
      </c>
      <c r="BH34">
        <v>21.735614796403315</v>
      </c>
    </row>
    <row r="35" spans="3:60" x14ac:dyDescent="0.2">
      <c r="C35" s="138">
        <v>29187.537832984683</v>
      </c>
      <c r="D35">
        <v>21.306136927069367</v>
      </c>
      <c r="E35" s="138">
        <v>31141.558586748284</v>
      </c>
      <c r="F35" s="138">
        <v>21.301328830833143</v>
      </c>
      <c r="G35" s="138">
        <v>-1954.0207537636015</v>
      </c>
      <c r="H35" s="138">
        <v>4.8080962362249124E-3</v>
      </c>
      <c r="J35" s="135">
        <v>1900</v>
      </c>
      <c r="L35">
        <v>1</v>
      </c>
      <c r="N35" s="138"/>
      <c r="O35" s="138"/>
      <c r="P35" s="138"/>
      <c r="R35">
        <v>370.8054077107322</v>
      </c>
      <c r="S35">
        <v>57.626362773193719</v>
      </c>
      <c r="T35">
        <v>273.73554890138723</v>
      </c>
      <c r="U35">
        <v>102.10305812919805</v>
      </c>
      <c r="X35">
        <v>0.87368976754128791</v>
      </c>
      <c r="Y35">
        <v>0.8534607181555276</v>
      </c>
      <c r="Z35">
        <v>0.63122329286808398</v>
      </c>
      <c r="AA35">
        <v>0.50599280651076761</v>
      </c>
      <c r="AB35">
        <v>0.54968860477124803</v>
      </c>
      <c r="AC35">
        <v>0.56626146322991022</v>
      </c>
      <c r="AD35">
        <v>0.73923237671557218</v>
      </c>
      <c r="AE35">
        <v>0.66965442469509073</v>
      </c>
      <c r="AH35">
        <v>0.23147959465638013</v>
      </c>
      <c r="AI35">
        <v>0.32493853318692201</v>
      </c>
      <c r="AJ35">
        <v>7.3069986075970483E-2</v>
      </c>
      <c r="AK35">
        <v>0.16976258586630644</v>
      </c>
      <c r="AL35">
        <v>4.4488481448402117E-2</v>
      </c>
      <c r="AM35">
        <v>2.4217047683148918E-2</v>
      </c>
      <c r="AN35">
        <v>8.4791120541701126E-2</v>
      </c>
      <c r="AO35">
        <v>0.1768121015456825</v>
      </c>
      <c r="AR35">
        <v>9.6715083290366266E-4</v>
      </c>
      <c r="AS35">
        <v>4.4524879982881906E-3</v>
      </c>
      <c r="AT35">
        <v>0.10132635911983212</v>
      </c>
      <c r="AU35">
        <v>1.9648008195698777E-3</v>
      </c>
      <c r="AV35">
        <v>1.8569078805874076E-3</v>
      </c>
      <c r="AW35">
        <v>3.7022575027851889E-3</v>
      </c>
      <c r="AX35">
        <v>3.5377112926512103E-4</v>
      </c>
      <c r="AY35">
        <v>4.4122704303455919E-4</v>
      </c>
      <c r="BB35">
        <v>4.9630210354013618E-2</v>
      </c>
      <c r="BC35">
        <v>4.3395703773818135E-2</v>
      </c>
      <c r="BE35">
        <v>29187.537832984683</v>
      </c>
      <c r="BF35">
        <v>21.306136927069367</v>
      </c>
      <c r="BG35">
        <v>31141.558586748284</v>
      </c>
      <c r="BH35">
        <v>21.301328830833143</v>
      </c>
    </row>
    <row r="36" spans="3:60" x14ac:dyDescent="0.2">
      <c r="C36" s="138">
        <v>30084.15652779751</v>
      </c>
      <c r="D36">
        <v>20.290569470038871</v>
      </c>
      <c r="E36" s="138">
        <v>31599.269914586595</v>
      </c>
      <c r="F36" s="138">
        <v>20.263742488149109</v>
      </c>
      <c r="G36" s="138">
        <v>-1515.1133867890858</v>
      </c>
      <c r="H36" s="138">
        <v>2.682698188976218E-2</v>
      </c>
      <c r="J36" s="135">
        <v>2000</v>
      </c>
      <c r="L36">
        <v>1</v>
      </c>
      <c r="N36" s="138"/>
      <c r="O36" s="138"/>
      <c r="P36" s="138"/>
      <c r="R36">
        <v>297.077679769101</v>
      </c>
      <c r="S36">
        <v>67.978969202069862</v>
      </c>
      <c r="T36">
        <v>244.29684103741656</v>
      </c>
      <c r="U36">
        <v>126.62646781118777</v>
      </c>
      <c r="X36">
        <v>0.45785494241617442</v>
      </c>
      <c r="Y36">
        <v>0.66972936502184444</v>
      </c>
      <c r="Z36">
        <v>0.81239593736441451</v>
      </c>
      <c r="AA36">
        <v>0.69388883009408475</v>
      </c>
      <c r="AB36">
        <v>0.69645800594357032</v>
      </c>
      <c r="AC36">
        <v>0.59282032777874838</v>
      </c>
      <c r="AD36">
        <v>0.79641454484235963</v>
      </c>
      <c r="AE36">
        <v>0.78964539275514478</v>
      </c>
      <c r="AH36">
        <v>3.625790643523974E-2</v>
      </c>
      <c r="AI36">
        <v>4.6463143435054199E-2</v>
      </c>
      <c r="AJ36">
        <v>7.2616250050661857E-2</v>
      </c>
      <c r="AK36">
        <v>0.237737667332517</v>
      </c>
      <c r="AL36">
        <v>0.25405136255147331</v>
      </c>
      <c r="AM36">
        <v>0.15723279066970663</v>
      </c>
      <c r="AN36">
        <v>9.8483889237645394E-2</v>
      </c>
      <c r="AO36">
        <v>0.15211525411788396</v>
      </c>
      <c r="AR36">
        <v>8.1388338450828096E-4</v>
      </c>
      <c r="AS36">
        <v>4.3153964540677044E-3</v>
      </c>
      <c r="AT36">
        <v>9.8477015177796695E-2</v>
      </c>
      <c r="AU36">
        <v>2.1471650178422896E-3</v>
      </c>
      <c r="AV36">
        <v>2.1559952344801792E-3</v>
      </c>
      <c r="AW36">
        <v>3.2540979695084215E-3</v>
      </c>
      <c r="AX36">
        <v>3.7242798223875012E-4</v>
      </c>
      <c r="AY36">
        <v>4.3853717721704482E-4</v>
      </c>
      <c r="BB36">
        <v>5.0935511574692449E-2</v>
      </c>
      <c r="BC36">
        <v>3.8680436434201049E-2</v>
      </c>
      <c r="BE36">
        <v>30084.15652779751</v>
      </c>
      <c r="BF36">
        <v>20.290569470038871</v>
      </c>
      <c r="BG36">
        <v>31599.269914586595</v>
      </c>
      <c r="BH36">
        <v>20.263742488149109</v>
      </c>
    </row>
    <row r="37" spans="3:60" x14ac:dyDescent="0.2">
      <c r="C37" s="138">
        <v>29226.050846977778</v>
      </c>
      <c r="D37">
        <v>20.866811719959649</v>
      </c>
      <c r="E37" s="138">
        <v>30996.351963982404</v>
      </c>
      <c r="F37" s="138">
        <v>20.832904742970793</v>
      </c>
      <c r="G37" s="138">
        <v>-1770.3011170046266</v>
      </c>
      <c r="H37" s="138">
        <v>3.390697698885603E-2</v>
      </c>
      <c r="J37" s="135">
        <v>2100</v>
      </c>
      <c r="L37">
        <v>1</v>
      </c>
      <c r="N37" s="138"/>
      <c r="O37" s="138"/>
      <c r="P37" s="138"/>
      <c r="R37">
        <v>278.08873834796111</v>
      </c>
      <c r="S37">
        <v>73.532217978755185</v>
      </c>
      <c r="T37">
        <v>249.23042107530119</v>
      </c>
      <c r="U37">
        <v>111.65655338658527</v>
      </c>
      <c r="X37">
        <v>0.91197265930195992</v>
      </c>
      <c r="Y37">
        <v>0.65895010397508602</v>
      </c>
      <c r="Z37">
        <v>0.63770501081599373</v>
      </c>
      <c r="AA37">
        <v>0.58964395364513078</v>
      </c>
      <c r="AB37">
        <v>0.72679119715005669</v>
      </c>
      <c r="AC37">
        <v>0.9530225391848004</v>
      </c>
      <c r="AD37">
        <v>0.88408407275428469</v>
      </c>
      <c r="AE37">
        <v>0.79027929977184841</v>
      </c>
      <c r="AH37">
        <v>4.7760494869408476E-2</v>
      </c>
      <c r="AI37">
        <v>0.13312164861716247</v>
      </c>
      <c r="AJ37">
        <v>9.6203679458059077E-2</v>
      </c>
      <c r="AK37">
        <v>7.8896458698257788E-2</v>
      </c>
      <c r="AL37">
        <v>9.6274640566245795E-2</v>
      </c>
      <c r="AM37">
        <v>0.11626532256959143</v>
      </c>
      <c r="AN37">
        <v>0.20248258339144365</v>
      </c>
      <c r="AO37">
        <v>9.2171178483968497E-2</v>
      </c>
      <c r="AR37">
        <v>9.0257813061411785E-4</v>
      </c>
      <c r="AS37">
        <v>4.4701837464449249E-3</v>
      </c>
      <c r="AT37">
        <v>9.9659676158274133E-2</v>
      </c>
      <c r="AU37">
        <v>1.9960192780426383E-3</v>
      </c>
      <c r="AV37">
        <v>1.9249974463276397E-3</v>
      </c>
      <c r="AW37">
        <v>3.281836475919305E-3</v>
      </c>
      <c r="AX37">
        <v>4.1794514038206998E-4</v>
      </c>
      <c r="AY37">
        <v>4.6321909124935612E-4</v>
      </c>
      <c r="BB37">
        <v>4.8007158486821591E-2</v>
      </c>
      <c r="BC37">
        <v>8.1526608019486746E-2</v>
      </c>
      <c r="BE37">
        <v>29226.050846977778</v>
      </c>
      <c r="BF37">
        <v>20.866811719959649</v>
      </c>
      <c r="BG37">
        <v>30996.351963982404</v>
      </c>
      <c r="BH37">
        <v>20.832904742970793</v>
      </c>
    </row>
    <row r="38" spans="3:60" x14ac:dyDescent="0.2">
      <c r="C38" s="138">
        <v>33317.534030645947</v>
      </c>
      <c r="D38">
        <v>21.620936204253649</v>
      </c>
      <c r="E38" s="138">
        <v>35318.617106487065</v>
      </c>
      <c r="F38" s="138">
        <v>21.613765908142</v>
      </c>
      <c r="G38" s="138">
        <v>-2001.0830758411175</v>
      </c>
      <c r="H38" s="138">
        <v>7.1702961116493213E-3</v>
      </c>
      <c r="J38" s="135">
        <v>2200</v>
      </c>
      <c r="L38">
        <v>1</v>
      </c>
      <c r="N38" s="138"/>
      <c r="O38" s="138"/>
      <c r="P38" s="138"/>
      <c r="R38">
        <v>99.72431407047867</v>
      </c>
      <c r="S38">
        <v>68.108048328750613</v>
      </c>
      <c r="T38">
        <v>239.83150147500251</v>
      </c>
      <c r="U38">
        <v>101.71322526163253</v>
      </c>
      <c r="X38">
        <v>0.54584829516766065</v>
      </c>
      <c r="Y38">
        <v>0.56688522350838899</v>
      </c>
      <c r="Z38">
        <v>0.89818359678006909</v>
      </c>
      <c r="AA38">
        <v>0.67494668038925065</v>
      </c>
      <c r="AB38">
        <v>0.68561620352832497</v>
      </c>
      <c r="AC38">
        <v>0.7248157198128341</v>
      </c>
      <c r="AD38">
        <v>0.92635505540506557</v>
      </c>
      <c r="AE38">
        <v>0.73454604437045767</v>
      </c>
      <c r="AH38">
        <v>6.5940816826179138E-2</v>
      </c>
      <c r="AI38">
        <v>0.2211463260257992</v>
      </c>
      <c r="AJ38">
        <v>5.3280308550575195E-2</v>
      </c>
      <c r="AK38">
        <v>0.1191984654041689</v>
      </c>
      <c r="AL38">
        <v>9.3649086117235658E-2</v>
      </c>
      <c r="AM38">
        <v>0.10348477620990182</v>
      </c>
      <c r="AN38">
        <v>9.4084599358484677E-2</v>
      </c>
      <c r="AO38">
        <v>0.1109857018827749</v>
      </c>
      <c r="AR38">
        <v>8.6901973992866517E-4</v>
      </c>
      <c r="AS38">
        <v>4.5740374360143665E-3</v>
      </c>
      <c r="AT38">
        <v>9.9662415935309306E-2</v>
      </c>
      <c r="AU38">
        <v>2.2097158466990452E-3</v>
      </c>
      <c r="AV38">
        <v>1.727750659334888E-3</v>
      </c>
      <c r="AW38">
        <v>2.9965834152779923E-3</v>
      </c>
      <c r="AX38">
        <v>6.0401089439177102E-4</v>
      </c>
      <c r="AY38">
        <v>5.2650272608834037E-4</v>
      </c>
      <c r="BB38">
        <v>5.3281456520501536E-2</v>
      </c>
      <c r="BC38">
        <v>5.5531557725307934E-2</v>
      </c>
      <c r="BE38">
        <v>33317.534030645947</v>
      </c>
      <c r="BF38">
        <v>21.620936204253649</v>
      </c>
      <c r="BG38">
        <v>35318.617106487065</v>
      </c>
      <c r="BH38">
        <v>21.613765908142</v>
      </c>
    </row>
    <row r="39" spans="3:60" x14ac:dyDescent="0.2">
      <c r="C39" s="138">
        <v>28582.828427273376</v>
      </c>
      <c r="D39">
        <v>21.316436224062226</v>
      </c>
      <c r="E39" s="138">
        <v>30841.920005146691</v>
      </c>
      <c r="F39" s="138">
        <v>21.308111741683199</v>
      </c>
      <c r="G39" s="138">
        <v>-2259.0915778733142</v>
      </c>
      <c r="H39" s="138">
        <v>8.324482379027387E-3</v>
      </c>
      <c r="J39" s="135">
        <v>2300</v>
      </c>
      <c r="L39">
        <v>1</v>
      </c>
      <c r="N39" s="138"/>
      <c r="O39" s="138"/>
      <c r="P39" s="138"/>
      <c r="R39">
        <v>228.8755110479313</v>
      </c>
      <c r="S39">
        <v>53.980519218780174</v>
      </c>
      <c r="T39">
        <v>221.37241968898937</v>
      </c>
      <c r="U39">
        <v>87.853263675953357</v>
      </c>
      <c r="X39">
        <v>0.45647370116013442</v>
      </c>
      <c r="Y39">
        <v>0.71079839970253922</v>
      </c>
      <c r="Z39">
        <v>0.41653599446408412</v>
      </c>
      <c r="AA39">
        <v>0.84795598276655659</v>
      </c>
      <c r="AB39">
        <v>0.74541820064920106</v>
      </c>
      <c r="AC39">
        <v>0.81262679541330896</v>
      </c>
      <c r="AD39">
        <v>0.55516989236275127</v>
      </c>
      <c r="AE39">
        <v>0.92229638905682521</v>
      </c>
      <c r="AH39">
        <v>2.6993974911011964E-2</v>
      </c>
      <c r="AI39">
        <v>0.17002521174339191</v>
      </c>
      <c r="AJ39">
        <v>0.16542583905727737</v>
      </c>
      <c r="AK39">
        <v>0.18764140773180915</v>
      </c>
      <c r="AL39">
        <v>0.10986910322633425</v>
      </c>
      <c r="AM39">
        <v>8.4186922566182654E-2</v>
      </c>
      <c r="AN39">
        <v>5.9337631701607996E-2</v>
      </c>
      <c r="AO39">
        <v>0.12536300398275524</v>
      </c>
      <c r="AR39">
        <v>9.9977117354588252E-4</v>
      </c>
      <c r="AS39">
        <v>4.5272827211220168E-3</v>
      </c>
      <c r="AT39">
        <v>9.912586635761296E-2</v>
      </c>
      <c r="AU39">
        <v>2.2853049058925157E-3</v>
      </c>
      <c r="AV39">
        <v>2.0120638713028161E-3</v>
      </c>
      <c r="AW39">
        <v>3.547129798614157E-3</v>
      </c>
      <c r="AX39">
        <v>3.7338520716654629E-4</v>
      </c>
      <c r="AY39">
        <v>4.3152191861726058E-4</v>
      </c>
      <c r="BB39">
        <v>4.3623101380680498E-2</v>
      </c>
      <c r="BC39">
        <v>4.3764540453019377E-2</v>
      </c>
      <c r="BE39">
        <v>28582.828427273376</v>
      </c>
      <c r="BF39">
        <v>21.316436224062226</v>
      </c>
      <c r="BG39">
        <v>30841.920005146691</v>
      </c>
      <c r="BH39">
        <v>21.308111741683199</v>
      </c>
    </row>
    <row r="40" spans="3:60" x14ac:dyDescent="0.2">
      <c r="C40" s="138">
        <v>33134.69974047866</v>
      </c>
      <c r="D40">
        <v>21.465245120042535</v>
      </c>
      <c r="E40" s="138">
        <v>35143.086033367057</v>
      </c>
      <c r="F40" s="138">
        <v>21.455421260760186</v>
      </c>
      <c r="G40" s="138">
        <v>-2008.3862928883973</v>
      </c>
      <c r="H40" s="138">
        <v>9.8238592823491899E-3</v>
      </c>
      <c r="J40" s="135">
        <v>2400</v>
      </c>
      <c r="L40">
        <v>1</v>
      </c>
      <c r="N40" s="138"/>
      <c r="O40" s="138"/>
      <c r="P40" s="138"/>
      <c r="R40">
        <v>188.20395319483623</v>
      </c>
      <c r="S40">
        <v>69.576224884952424</v>
      </c>
      <c r="T40">
        <v>264.43956846753156</v>
      </c>
      <c r="U40">
        <v>97.979248763761191</v>
      </c>
      <c r="X40">
        <v>0.63173832215236425</v>
      </c>
      <c r="Y40">
        <v>0.78723069468638662</v>
      </c>
      <c r="Z40">
        <v>0.85327191658625434</v>
      </c>
      <c r="AA40">
        <v>0.61085775615440863</v>
      </c>
      <c r="AB40">
        <v>0.7347510703486958</v>
      </c>
      <c r="AC40">
        <v>0.54731005945250821</v>
      </c>
      <c r="AD40">
        <v>0.74273632836969783</v>
      </c>
      <c r="AE40">
        <v>0.81357925828932931</v>
      </c>
      <c r="AH40">
        <v>5.1652252026429424E-2</v>
      </c>
      <c r="AI40">
        <v>3.2357644184833667E-2</v>
      </c>
      <c r="AJ40">
        <v>0.20017880378037156</v>
      </c>
      <c r="AK40">
        <v>0.11006052899835461</v>
      </c>
      <c r="AL40">
        <v>0.1070344897651897</v>
      </c>
      <c r="AM40">
        <v>0.17547150037546422</v>
      </c>
      <c r="AN40">
        <v>4.1343437346197387E-3</v>
      </c>
      <c r="AO40">
        <v>3.2699130295658074E-2</v>
      </c>
      <c r="AR40">
        <v>9.4740636392243172E-4</v>
      </c>
      <c r="AS40">
        <v>4.4902462596250609E-3</v>
      </c>
      <c r="AT40">
        <v>0.10080497168934843</v>
      </c>
      <c r="AU40">
        <v>2.0711266912537551E-3</v>
      </c>
      <c r="AV40">
        <v>1.8260114180265554E-3</v>
      </c>
      <c r="AW40">
        <v>3.4410334884004135E-3</v>
      </c>
      <c r="AX40">
        <v>3.8773680550626891E-4</v>
      </c>
      <c r="AY40">
        <v>6.0267743228537007E-4</v>
      </c>
      <c r="BB40">
        <v>4.3370347113930396E-2</v>
      </c>
      <c r="BC40">
        <v>4.225201550678831E-2</v>
      </c>
      <c r="BE40">
        <v>33134.69974047866</v>
      </c>
      <c r="BF40">
        <v>21.465245120042535</v>
      </c>
      <c r="BG40">
        <v>35143.086033367057</v>
      </c>
      <c r="BH40">
        <v>21.455421260760186</v>
      </c>
    </row>
    <row r="41" spans="3:60" x14ac:dyDescent="0.2">
      <c r="C41" s="138">
        <v>28111.943645030497</v>
      </c>
      <c r="D41">
        <v>20.999137746686049</v>
      </c>
      <c r="E41" s="138">
        <v>29941.180132165271</v>
      </c>
      <c r="F41" s="138">
        <v>20.958541195345191</v>
      </c>
      <c r="G41" s="138">
        <v>-1829.2364871347745</v>
      </c>
      <c r="H41" s="138">
        <v>4.0596551340858156E-2</v>
      </c>
      <c r="J41" s="135">
        <v>2500</v>
      </c>
      <c r="L41">
        <v>1</v>
      </c>
      <c r="N41" s="138"/>
      <c r="O41" s="138"/>
      <c r="P41" s="138"/>
      <c r="R41">
        <v>398.74325786020034</v>
      </c>
      <c r="S41">
        <v>67.191875549544733</v>
      </c>
      <c r="T41">
        <v>252.81450586886106</v>
      </c>
      <c r="U41">
        <v>101.79982492490886</v>
      </c>
      <c r="X41">
        <v>0.91434815830957017</v>
      </c>
      <c r="Y41">
        <v>0.95945065698106213</v>
      </c>
      <c r="Z41">
        <v>0.66795221717133879</v>
      </c>
      <c r="AA41">
        <v>0.76378757297398758</v>
      </c>
      <c r="AB41">
        <v>0.7135108470119671</v>
      </c>
      <c r="AC41">
        <v>0.49813808967049922</v>
      </c>
      <c r="AD41">
        <v>0.80740044369537012</v>
      </c>
      <c r="AE41">
        <v>0.70009527105584501</v>
      </c>
      <c r="AH41">
        <v>0.14003380239289498</v>
      </c>
      <c r="AI41">
        <v>3.2767346691229049E-2</v>
      </c>
      <c r="AJ41">
        <v>9.0198684181546307E-2</v>
      </c>
      <c r="AK41">
        <v>0.16808144783436807</v>
      </c>
      <c r="AL41">
        <v>0.15309493284254749</v>
      </c>
      <c r="AM41">
        <v>8.3529798346551054E-2</v>
      </c>
      <c r="AN41">
        <v>4.4540930235019704E-2</v>
      </c>
      <c r="AO41">
        <v>0.20829318455852763</v>
      </c>
      <c r="AR41">
        <v>8.7664658984633163E-4</v>
      </c>
      <c r="AS41">
        <v>4.5124850355087176E-3</v>
      </c>
      <c r="AT41">
        <v>9.8799021550690216E-2</v>
      </c>
      <c r="AU41">
        <v>2.1941792018855821E-3</v>
      </c>
      <c r="AV41">
        <v>1.7764860871463169E-3</v>
      </c>
      <c r="AW41">
        <v>3.4658070436668353E-3</v>
      </c>
      <c r="AX41">
        <v>3.7707677532765565E-4</v>
      </c>
      <c r="AY41">
        <v>4.2887240208268167E-4</v>
      </c>
      <c r="BB41">
        <v>5.6455351745526405E-2</v>
      </c>
      <c r="BC41">
        <v>5.3518834567698348E-2</v>
      </c>
      <c r="BE41">
        <v>28111.943645030497</v>
      </c>
      <c r="BF41">
        <v>20.999137746686049</v>
      </c>
      <c r="BG41">
        <v>29941.180132165271</v>
      </c>
      <c r="BH41">
        <v>20.958541195345191</v>
      </c>
    </row>
    <row r="42" spans="3:60" x14ac:dyDescent="0.2">
      <c r="C42" s="138">
        <v>30016.820010043932</v>
      </c>
      <c r="D42">
        <v>20.491163212461437</v>
      </c>
      <c r="E42" s="138">
        <v>31833.269020430158</v>
      </c>
      <c r="F42" s="138">
        <v>20.446844238452311</v>
      </c>
      <c r="G42" s="138">
        <v>-1816.4490103862263</v>
      </c>
      <c r="H42" s="138">
        <v>4.4318974009126322E-2</v>
      </c>
      <c r="J42" s="135">
        <v>2600</v>
      </c>
      <c r="L42">
        <v>1</v>
      </c>
      <c r="N42" s="138"/>
      <c r="O42" s="138"/>
      <c r="P42" s="138"/>
      <c r="R42">
        <v>158.42841545186116</v>
      </c>
      <c r="S42">
        <v>63.39784878460177</v>
      </c>
      <c r="T42">
        <v>257.44037735743188</v>
      </c>
      <c r="U42">
        <v>104.27280472663459</v>
      </c>
      <c r="X42">
        <v>0.72320028270848868</v>
      </c>
      <c r="Y42">
        <v>0.95457542496553938</v>
      </c>
      <c r="Z42">
        <v>0.81688679711489232</v>
      </c>
      <c r="AA42">
        <v>0.66088068859468285</v>
      </c>
      <c r="AB42">
        <v>0.70088787225301585</v>
      </c>
      <c r="AC42">
        <v>0.5618959713419458</v>
      </c>
      <c r="AD42">
        <v>0.86814082572886297</v>
      </c>
      <c r="AE42">
        <v>0.82879323988436826</v>
      </c>
      <c r="AH42">
        <v>8.1959189039024327E-2</v>
      </c>
      <c r="AI42">
        <v>0.18691996257334376</v>
      </c>
      <c r="AJ42">
        <v>0.19944903825053861</v>
      </c>
      <c r="AK42">
        <v>0.1047942730002398</v>
      </c>
      <c r="AL42">
        <v>0.24849568647687292</v>
      </c>
      <c r="AM42">
        <v>7.3368249241492656E-2</v>
      </c>
      <c r="AN42">
        <v>5.2084470527504645E-2</v>
      </c>
      <c r="AO42">
        <v>9.5084146056069851E-2</v>
      </c>
      <c r="AR42">
        <v>7.4919323965610724E-4</v>
      </c>
      <c r="AS42">
        <v>4.5386927025515833E-3</v>
      </c>
      <c r="AT42">
        <v>9.9714974422729447E-2</v>
      </c>
      <c r="AU42">
        <v>2.0387352406009418E-3</v>
      </c>
      <c r="AV42">
        <v>2.1005783596903527E-3</v>
      </c>
      <c r="AW42">
        <v>3.2394666198930695E-3</v>
      </c>
      <c r="AX42">
        <v>4.6591951829755285E-4</v>
      </c>
      <c r="AY42">
        <v>4.4970098125307612E-4</v>
      </c>
      <c r="BB42">
        <v>4.1926054936737421E-2</v>
      </c>
      <c r="BC42">
        <v>6.3791998877311462E-2</v>
      </c>
      <c r="BE42">
        <v>30016.820010043932</v>
      </c>
      <c r="BF42">
        <v>20.491163212461437</v>
      </c>
      <c r="BG42">
        <v>31833.269020430158</v>
      </c>
      <c r="BH42">
        <v>20.446844238452311</v>
      </c>
    </row>
    <row r="43" spans="3:60" x14ac:dyDescent="0.2">
      <c r="C43" s="138">
        <v>30912.9995242107</v>
      </c>
      <c r="D43">
        <v>21.066450440774549</v>
      </c>
      <c r="E43" s="138">
        <v>33140.045779082793</v>
      </c>
      <c r="F43" s="138">
        <v>21.075711599155156</v>
      </c>
      <c r="G43" s="138">
        <v>-2227.0462548720934</v>
      </c>
      <c r="H43" s="138">
        <v>-9.2611583806068154E-3</v>
      </c>
      <c r="J43" s="135">
        <v>2700</v>
      </c>
      <c r="L43">
        <v>1</v>
      </c>
      <c r="N43" s="138"/>
      <c r="O43" s="138"/>
      <c r="P43" s="138"/>
      <c r="R43">
        <v>301.37548894770816</v>
      </c>
      <c r="S43">
        <v>66.806878026132324</v>
      </c>
      <c r="T43">
        <v>269.28264779269063</v>
      </c>
      <c r="U43">
        <v>116.66066884150997</v>
      </c>
      <c r="X43">
        <v>0.30935404528840127</v>
      </c>
      <c r="Y43">
        <v>0.88873323989076414</v>
      </c>
      <c r="Z43">
        <v>0.85070173845263453</v>
      </c>
      <c r="AA43">
        <v>0.6660729013530069</v>
      </c>
      <c r="AB43">
        <v>0.56176674842489938</v>
      </c>
      <c r="AC43">
        <v>0.8653588394988635</v>
      </c>
      <c r="AD43">
        <v>0.85743898558325937</v>
      </c>
      <c r="AE43">
        <v>0.8887568355793265</v>
      </c>
      <c r="AH43">
        <v>9.1330714984180661E-2</v>
      </c>
      <c r="AI43">
        <v>4.5704780646952492E-2</v>
      </c>
      <c r="AJ43">
        <v>5.1521397799386914E-2</v>
      </c>
      <c r="AK43">
        <v>7.8349943889613471E-2</v>
      </c>
      <c r="AL43">
        <v>0.15732728839583465</v>
      </c>
      <c r="AM43">
        <v>0.15759886138431944</v>
      </c>
      <c r="AN43">
        <v>0.17329874862314221</v>
      </c>
      <c r="AO43">
        <v>0.11327580166403683</v>
      </c>
      <c r="AR43">
        <v>7.8142037941543181E-4</v>
      </c>
      <c r="AS43">
        <v>4.4127544059615383E-3</v>
      </c>
      <c r="AT43">
        <v>0.10048521228028118</v>
      </c>
      <c r="AU43">
        <v>2.1686218659415779E-3</v>
      </c>
      <c r="AV43">
        <v>2.1395746593637632E-3</v>
      </c>
      <c r="AW43">
        <v>3.1000894853713281E-3</v>
      </c>
      <c r="AX43">
        <v>5.4016549688062909E-4</v>
      </c>
      <c r="AY43">
        <v>4.9644203752441385E-4</v>
      </c>
      <c r="BB43">
        <v>5.1153261084596169E-2</v>
      </c>
      <c r="BC43">
        <v>5.3569511662927671E-2</v>
      </c>
      <c r="BE43">
        <v>30912.9995242107</v>
      </c>
      <c r="BF43">
        <v>21.066450440774549</v>
      </c>
      <c r="BG43">
        <v>33140.045779082793</v>
      </c>
      <c r="BH43">
        <v>21.075711599155156</v>
      </c>
    </row>
    <row r="44" spans="3:60" x14ac:dyDescent="0.2">
      <c r="C44" s="138">
        <v>30952.78397297534</v>
      </c>
      <c r="D44">
        <v>21.360453825438992</v>
      </c>
      <c r="E44" s="138">
        <v>33652.755328227264</v>
      </c>
      <c r="F44" s="138">
        <v>21.336294272027381</v>
      </c>
      <c r="G44" s="138">
        <v>-2699.9713552519243</v>
      </c>
      <c r="H44" s="138">
        <v>2.4159553411610801E-2</v>
      </c>
      <c r="J44" s="135">
        <v>2800</v>
      </c>
      <c r="L44">
        <v>1</v>
      </c>
      <c r="N44" s="138"/>
      <c r="O44" s="138"/>
      <c r="P44" s="138"/>
      <c r="R44">
        <v>293.32623013269892</v>
      </c>
      <c r="S44">
        <v>64.655373284673914</v>
      </c>
      <c r="T44">
        <v>246.22199301501976</v>
      </c>
      <c r="U44">
        <v>78.832158755922578</v>
      </c>
      <c r="X44">
        <v>0.94782777368666904</v>
      </c>
      <c r="Y44">
        <v>0.74264607805712635</v>
      </c>
      <c r="Z44">
        <v>0.5552666079165246</v>
      </c>
      <c r="AA44">
        <v>0.68178821866175843</v>
      </c>
      <c r="AB44">
        <v>0.63420352763211862</v>
      </c>
      <c r="AC44">
        <v>0.63093713629605874</v>
      </c>
      <c r="AD44">
        <v>0.68610800947396788</v>
      </c>
      <c r="AE44">
        <v>0.71437632785725669</v>
      </c>
      <c r="AH44">
        <v>2.6352308787452428E-2</v>
      </c>
      <c r="AI44">
        <v>8.9597980893493578E-2</v>
      </c>
      <c r="AJ44">
        <v>0.20537138539513144</v>
      </c>
      <c r="AK44">
        <v>0.15744743669162276</v>
      </c>
      <c r="AL44">
        <v>9.911937562583828E-2</v>
      </c>
      <c r="AM44">
        <v>0.12849138683994588</v>
      </c>
      <c r="AN44">
        <v>1.5448519258997262E-2</v>
      </c>
      <c r="AO44">
        <v>6.8695542373665486E-2</v>
      </c>
      <c r="AR44">
        <v>7.364770018755193E-4</v>
      </c>
      <c r="AS44">
        <v>4.3295664855934474E-3</v>
      </c>
      <c r="AT44">
        <v>0.10129500400735147</v>
      </c>
      <c r="AU44">
        <v>2.0726426811646936E-3</v>
      </c>
      <c r="AV44">
        <v>1.834049529910877E-3</v>
      </c>
      <c r="AW44">
        <v>3.3803299695235713E-3</v>
      </c>
      <c r="AX44">
        <v>4.2656645904193269E-4</v>
      </c>
      <c r="AY44">
        <v>4.0685403502052175E-4</v>
      </c>
      <c r="BB44">
        <v>3.8015097958742708E-2</v>
      </c>
      <c r="BC44">
        <v>4.445739697435877E-2</v>
      </c>
      <c r="BE44">
        <v>30952.78397297534</v>
      </c>
      <c r="BF44">
        <v>21.360453825438992</v>
      </c>
      <c r="BG44">
        <v>33652.755328227264</v>
      </c>
      <c r="BH44">
        <v>21.336294272027381</v>
      </c>
    </row>
    <row r="45" spans="3:60" x14ac:dyDescent="0.2">
      <c r="C45" s="138">
        <v>31011.275736264834</v>
      </c>
      <c r="D45">
        <v>20.392102174658664</v>
      </c>
      <c r="E45" s="138">
        <v>33054.013090545937</v>
      </c>
      <c r="F45" s="138">
        <v>20.353630832261178</v>
      </c>
      <c r="G45" s="138">
        <v>-2042.7373542811038</v>
      </c>
      <c r="H45" s="138">
        <v>3.8471342397485842E-2</v>
      </c>
      <c r="J45" s="135">
        <v>2900</v>
      </c>
      <c r="L45">
        <v>1</v>
      </c>
      <c r="N45" s="138"/>
      <c r="O45" s="138"/>
      <c r="P45" s="138"/>
      <c r="R45">
        <v>263.52608802604578</v>
      </c>
      <c r="S45">
        <v>72.31813220565121</v>
      </c>
      <c r="T45">
        <v>254.062600928384</v>
      </c>
      <c r="U45">
        <v>87.568742624138025</v>
      </c>
      <c r="X45">
        <v>0.95630157170782737</v>
      </c>
      <c r="Y45">
        <v>0.69089523019610599</v>
      </c>
      <c r="Z45">
        <v>0.49931927077902161</v>
      </c>
      <c r="AA45">
        <v>0.64447092632856517</v>
      </c>
      <c r="AB45">
        <v>0.62755226349017801</v>
      </c>
      <c r="AC45">
        <v>0.4392019852047423</v>
      </c>
      <c r="AD45">
        <v>0.77655528955157693</v>
      </c>
      <c r="AE45">
        <v>0.63355003163583257</v>
      </c>
      <c r="AH45">
        <v>7.3633289706103944E-2</v>
      </c>
      <c r="AI45">
        <v>8.4043578558447241E-2</v>
      </c>
      <c r="AJ45">
        <v>7.997574673517116E-2</v>
      </c>
      <c r="AK45">
        <v>8.6294251480290352E-2</v>
      </c>
      <c r="AL45">
        <v>0.33742201666151583</v>
      </c>
      <c r="AM45">
        <v>0.11567924230886162</v>
      </c>
      <c r="AN45">
        <v>9.5830200519419373E-2</v>
      </c>
      <c r="AO45">
        <v>0.12435061070397779</v>
      </c>
      <c r="AR45">
        <v>8.4636078268833666E-4</v>
      </c>
      <c r="AS45">
        <v>4.5154997200766989E-3</v>
      </c>
      <c r="AT45">
        <v>9.8561613355258634E-2</v>
      </c>
      <c r="AU45">
        <v>1.9382564454836861E-3</v>
      </c>
      <c r="AV45">
        <v>1.9848796188318297E-3</v>
      </c>
      <c r="AW45">
        <v>3.7016992120939562E-3</v>
      </c>
      <c r="AX45">
        <v>3.088258533451622E-4</v>
      </c>
      <c r="AY45">
        <v>4.6662959533816384E-4</v>
      </c>
      <c r="BB45">
        <v>5.0280275600519841E-2</v>
      </c>
      <c r="BC45">
        <v>3.9580890907168612E-2</v>
      </c>
      <c r="BE45">
        <v>31011.275736264834</v>
      </c>
      <c r="BF45">
        <v>20.392102174658664</v>
      </c>
      <c r="BG45">
        <v>33054.013090545937</v>
      </c>
      <c r="BH45">
        <v>20.353630832261178</v>
      </c>
    </row>
    <row r="46" spans="3:60" x14ac:dyDescent="0.2">
      <c r="C46" s="138">
        <v>32753.827513112934</v>
      </c>
      <c r="D46">
        <v>19.731572871966897</v>
      </c>
      <c r="E46" s="138">
        <v>34841.925571228174</v>
      </c>
      <c r="F46" s="138">
        <v>19.68643064535517</v>
      </c>
      <c r="G46" s="138">
        <v>-2088.0980581152398</v>
      </c>
      <c r="H46" s="138">
        <v>4.5142226611726954E-2</v>
      </c>
      <c r="J46" s="135">
        <v>3000</v>
      </c>
      <c r="L46">
        <v>1</v>
      </c>
      <c r="N46" s="138"/>
      <c r="O46" s="138"/>
      <c r="P46" s="138"/>
      <c r="R46">
        <v>151.11018902456601</v>
      </c>
      <c r="S46">
        <v>56.508590839887908</v>
      </c>
      <c r="T46">
        <v>247.80701770233688</v>
      </c>
      <c r="U46">
        <v>94.947126201097433</v>
      </c>
      <c r="X46">
        <v>0.71647514881335972</v>
      </c>
      <c r="Y46">
        <v>0.8302369997294643</v>
      </c>
      <c r="Z46">
        <v>0.63995137872082042</v>
      </c>
      <c r="AA46">
        <v>0.83467815903561149</v>
      </c>
      <c r="AB46">
        <v>0.72344397414938755</v>
      </c>
      <c r="AC46">
        <v>0.76708135251621645</v>
      </c>
      <c r="AD46">
        <v>0.89679562867530072</v>
      </c>
      <c r="AE46">
        <v>0.9069541527082372</v>
      </c>
      <c r="AH46">
        <v>1.5259219074756913E-2</v>
      </c>
      <c r="AI46">
        <v>6.2131985159159075E-2</v>
      </c>
      <c r="AJ46">
        <v>6.4846425796693641E-2</v>
      </c>
      <c r="AK46">
        <v>0.11353903703176749</v>
      </c>
      <c r="AL46">
        <v>4.9713435382408466E-2</v>
      </c>
      <c r="AM46">
        <v>0.12721634131710635</v>
      </c>
      <c r="AN46">
        <v>7.2752575721583557E-2</v>
      </c>
      <c r="AO46">
        <v>0.11440806378563317</v>
      </c>
      <c r="AR46">
        <v>9.1924169671964151E-4</v>
      </c>
      <c r="AS46">
        <v>4.2795530213493157E-3</v>
      </c>
      <c r="AT46">
        <v>0.10116950976297612</v>
      </c>
      <c r="AU46">
        <v>2.0510907584698757E-3</v>
      </c>
      <c r="AV46">
        <v>2.2590980770692548E-3</v>
      </c>
      <c r="AW46">
        <v>3.3386977499611972E-3</v>
      </c>
      <c r="AX46">
        <v>4.419524646596118E-4</v>
      </c>
      <c r="AY46">
        <v>3.845010939682488E-4</v>
      </c>
      <c r="BB46">
        <v>6.0475466501292319E-2</v>
      </c>
      <c r="BC46">
        <v>8.2465432146604956E-2</v>
      </c>
      <c r="BE46">
        <v>32753.827513112934</v>
      </c>
      <c r="BF46">
        <v>19.731572871966897</v>
      </c>
      <c r="BG46">
        <v>34841.925571228174</v>
      </c>
      <c r="BH46">
        <v>19.68643064535517</v>
      </c>
    </row>
    <row r="47" spans="3:60" x14ac:dyDescent="0.2">
      <c r="C47" s="138">
        <v>34840.074168901279</v>
      </c>
      <c r="D47">
        <v>21.190291461825204</v>
      </c>
      <c r="E47" s="138">
        <v>37126.256759538672</v>
      </c>
      <c r="F47" s="138">
        <v>21.169525518468983</v>
      </c>
      <c r="G47" s="138">
        <v>-2286.1825906373924</v>
      </c>
      <c r="H47" s="138">
        <v>2.0765943356220617E-2</v>
      </c>
      <c r="J47" s="135">
        <v>3100</v>
      </c>
      <c r="L47">
        <v>1</v>
      </c>
      <c r="N47" s="138"/>
      <c r="O47" s="138"/>
      <c r="P47" s="138"/>
      <c r="R47">
        <v>258.88508404857299</v>
      </c>
      <c r="S47">
        <v>65.610128839245974</v>
      </c>
      <c r="T47">
        <v>210.80215423657444</v>
      </c>
      <c r="U47">
        <v>92.955409509280983</v>
      </c>
      <c r="X47">
        <v>0.63139114562489629</v>
      </c>
      <c r="Y47">
        <v>0.86249664493222999</v>
      </c>
      <c r="Z47">
        <v>0.72530084005579876</v>
      </c>
      <c r="AA47">
        <v>0.82485438410382272</v>
      </c>
      <c r="AB47">
        <v>0.7918744489564995</v>
      </c>
      <c r="AC47">
        <v>0.77639377065029724</v>
      </c>
      <c r="AD47">
        <v>0.72619658926006803</v>
      </c>
      <c r="AE47">
        <v>0.71013648640850213</v>
      </c>
      <c r="AH47">
        <v>4.4421404694504396E-2</v>
      </c>
      <c r="AI47">
        <v>0.24930978303076556</v>
      </c>
      <c r="AJ47">
        <v>0.10780775603306347</v>
      </c>
      <c r="AK47">
        <v>0.18844061850418203</v>
      </c>
      <c r="AL47">
        <v>9.0150363033810965E-2</v>
      </c>
      <c r="AM47">
        <v>0.23288973724594564</v>
      </c>
      <c r="AN47">
        <v>0.25660180496385065</v>
      </c>
      <c r="AO47">
        <v>5.8487619389337553E-2</v>
      </c>
      <c r="AR47">
        <v>8.850408373693476E-4</v>
      </c>
      <c r="AS47">
        <v>4.7493505679252479E-3</v>
      </c>
      <c r="AT47">
        <v>9.9650390252162366E-2</v>
      </c>
      <c r="AU47">
        <v>2.1933126873119324E-3</v>
      </c>
      <c r="AV47">
        <v>2.1250809865051012E-3</v>
      </c>
      <c r="AW47">
        <v>3.4249198012865634E-3</v>
      </c>
      <c r="AX47">
        <v>4.2129130880874666E-4</v>
      </c>
      <c r="AY47">
        <v>5.3828617143447666E-4</v>
      </c>
      <c r="BB47">
        <v>4.8591747177631511E-2</v>
      </c>
      <c r="BC47">
        <v>7.3651588355505671E-2</v>
      </c>
      <c r="BE47">
        <v>34840.074168901279</v>
      </c>
      <c r="BF47">
        <v>21.190291461825204</v>
      </c>
      <c r="BG47">
        <v>37126.256759538672</v>
      </c>
      <c r="BH47">
        <v>21.169525518468983</v>
      </c>
    </row>
    <row r="48" spans="3:60" x14ac:dyDescent="0.2">
      <c r="C48" s="138">
        <v>34113.325498866645</v>
      </c>
      <c r="D48">
        <v>20.539301463916583</v>
      </c>
      <c r="E48" s="138">
        <v>36075.13663751015</v>
      </c>
      <c r="F48" s="138">
        <v>20.522886239081462</v>
      </c>
      <c r="G48" s="138">
        <v>-1961.8111386435048</v>
      </c>
      <c r="H48" s="138">
        <v>1.6415224835121478E-2</v>
      </c>
      <c r="J48" s="135">
        <v>3200</v>
      </c>
      <c r="L48">
        <v>1</v>
      </c>
      <c r="N48" s="138"/>
      <c r="O48" s="138"/>
      <c r="P48" s="138"/>
      <c r="R48">
        <v>222.09073336888267</v>
      </c>
      <c r="S48">
        <v>56.841641208157888</v>
      </c>
      <c r="T48">
        <v>271.36551147555673</v>
      </c>
      <c r="U48">
        <v>92.392071655071149</v>
      </c>
      <c r="X48">
        <v>0.83460960165108977</v>
      </c>
      <c r="Y48">
        <v>0.82615887320945691</v>
      </c>
      <c r="Z48">
        <v>0.57951067307793869</v>
      </c>
      <c r="AA48">
        <v>0.73071285798224739</v>
      </c>
      <c r="AB48">
        <v>0.87613079097687008</v>
      </c>
      <c r="AC48">
        <v>0.85566597663733002</v>
      </c>
      <c r="AD48">
        <v>0.87303697889048082</v>
      </c>
      <c r="AE48">
        <v>0.91929505912043541</v>
      </c>
      <c r="AH48">
        <v>0.20839405553242285</v>
      </c>
      <c r="AI48">
        <v>9.9266624995182018E-2</v>
      </c>
      <c r="AJ48">
        <v>2.0133907197969592E-2</v>
      </c>
      <c r="AK48">
        <v>7.6054893321438888E-2</v>
      </c>
      <c r="AL48">
        <v>0.11423826117687363</v>
      </c>
      <c r="AM48">
        <v>9.0403954572166212E-2</v>
      </c>
      <c r="AN48">
        <v>7.2428189096517603E-2</v>
      </c>
      <c r="AO48">
        <v>0.16616294082050298</v>
      </c>
      <c r="AR48">
        <v>9.2247820352520105E-4</v>
      </c>
      <c r="AS48">
        <v>4.5382298682131728E-3</v>
      </c>
      <c r="AT48">
        <v>0.10042569442110194</v>
      </c>
      <c r="AU48">
        <v>1.8503705784821802E-3</v>
      </c>
      <c r="AV48">
        <v>1.9706388684562568E-3</v>
      </c>
      <c r="AW48">
        <v>3.723694017487067E-3</v>
      </c>
      <c r="AX48">
        <v>5.1476256363391926E-4</v>
      </c>
      <c r="AY48">
        <v>4.4348597643054083E-4</v>
      </c>
      <c r="BB48">
        <v>4.5956436030554632E-2</v>
      </c>
      <c r="BC48">
        <v>8.8009221723074238E-2</v>
      </c>
      <c r="BE48">
        <v>34113.325498866645</v>
      </c>
      <c r="BF48">
        <v>20.539301463916583</v>
      </c>
      <c r="BG48">
        <v>36075.13663751015</v>
      </c>
      <c r="BH48">
        <v>20.522886239081462</v>
      </c>
    </row>
    <row r="49" spans="3:60" x14ac:dyDescent="0.2">
      <c r="C49" s="138">
        <v>29244.336700758875</v>
      </c>
      <c r="D49">
        <v>20.465434051078272</v>
      </c>
      <c r="E49" s="138">
        <v>30825.374793432413</v>
      </c>
      <c r="F49" s="138">
        <v>20.435006169735438</v>
      </c>
      <c r="G49" s="138">
        <v>-1581.0380926735379</v>
      </c>
      <c r="H49" s="138">
        <v>3.0427881342834695E-2</v>
      </c>
      <c r="J49" s="135">
        <v>3300</v>
      </c>
      <c r="L49">
        <v>1</v>
      </c>
      <c r="N49" s="138"/>
      <c r="O49" s="138"/>
      <c r="P49" s="138"/>
      <c r="R49">
        <v>448.20440077291573</v>
      </c>
      <c r="S49">
        <v>60.981346508275728</v>
      </c>
      <c r="T49">
        <v>249.97713381902312</v>
      </c>
      <c r="U49">
        <v>86.45278947909722</v>
      </c>
      <c r="X49">
        <v>0.5231306256499999</v>
      </c>
      <c r="Y49">
        <v>0.73658969147701681</v>
      </c>
      <c r="Z49">
        <v>0.56042778078796684</v>
      </c>
      <c r="AA49">
        <v>0.52675247060351271</v>
      </c>
      <c r="AB49">
        <v>0.5740539415186614</v>
      </c>
      <c r="AC49">
        <v>0.9003001008807382</v>
      </c>
      <c r="AD49">
        <v>0.57772187806896702</v>
      </c>
      <c r="AE49">
        <v>0.82006449132306236</v>
      </c>
      <c r="AH49">
        <v>4.6408393887410915E-2</v>
      </c>
      <c r="AI49">
        <v>2.2160898960146391E-2</v>
      </c>
      <c r="AJ49">
        <v>9.6856196879917089E-2</v>
      </c>
      <c r="AK49">
        <v>8.5569259634870942E-2</v>
      </c>
      <c r="AL49">
        <v>0.20642074176096059</v>
      </c>
      <c r="AM49">
        <v>0.19255869890672939</v>
      </c>
      <c r="AN49">
        <v>0.23227068085955382</v>
      </c>
      <c r="AO49">
        <v>4.5439597568600387E-2</v>
      </c>
      <c r="AR49">
        <v>9.0095185232419439E-4</v>
      </c>
      <c r="AS49">
        <v>4.4266072115859562E-3</v>
      </c>
      <c r="AT49">
        <v>0.10128510100971366</v>
      </c>
      <c r="AU49">
        <v>2.1251067327516804E-3</v>
      </c>
      <c r="AV49">
        <v>1.7995695117398805E-3</v>
      </c>
      <c r="AW49">
        <v>3.2936516226614661E-3</v>
      </c>
      <c r="AX49">
        <v>4.1111905134960658E-4</v>
      </c>
      <c r="AY49">
        <v>4.6687377989884649E-4</v>
      </c>
      <c r="BB49">
        <v>4.4216760662891555E-2</v>
      </c>
      <c r="BC49">
        <v>1.8319130843203527E-2</v>
      </c>
      <c r="BE49">
        <v>29244.336700758875</v>
      </c>
      <c r="BF49">
        <v>20.465434051078272</v>
      </c>
      <c r="BG49">
        <v>30825.374793432413</v>
      </c>
      <c r="BH49">
        <v>20.435006169735438</v>
      </c>
    </row>
    <row r="50" spans="3:60" x14ac:dyDescent="0.2">
      <c r="C50" s="138">
        <v>28074.215031749205</v>
      </c>
      <c r="D50">
        <v>21.155790206470748</v>
      </c>
      <c r="E50" s="138">
        <v>30458.329136686483</v>
      </c>
      <c r="F50" s="138">
        <v>21.150780926375944</v>
      </c>
      <c r="G50" s="138">
        <v>-2384.1141049372782</v>
      </c>
      <c r="H50" s="138">
        <v>5.0092800948036142E-3</v>
      </c>
      <c r="J50" s="135">
        <v>3400</v>
      </c>
      <c r="L50">
        <v>1</v>
      </c>
      <c r="N50" s="138"/>
      <c r="O50" s="138"/>
      <c r="P50" s="138"/>
      <c r="R50">
        <v>246.61196964239949</v>
      </c>
      <c r="S50">
        <v>65.512705269278285</v>
      </c>
      <c r="T50">
        <v>253.38233200410585</v>
      </c>
      <c r="U50">
        <v>99.907521813887996</v>
      </c>
      <c r="X50">
        <v>0.93337451233599533</v>
      </c>
      <c r="Y50">
        <v>0.77558916713515413</v>
      </c>
      <c r="Z50">
        <v>0.71681036038475432</v>
      </c>
      <c r="AA50">
        <v>0.70618822916509727</v>
      </c>
      <c r="AB50">
        <v>0.79189192095423389</v>
      </c>
      <c r="AC50">
        <v>0.73329010382353099</v>
      </c>
      <c r="AD50">
        <v>0.6986507930021334</v>
      </c>
      <c r="AE50">
        <v>0.87427974046831314</v>
      </c>
      <c r="AH50">
        <v>6.3142698363209515E-2</v>
      </c>
      <c r="AI50">
        <v>0.17832834041806367</v>
      </c>
      <c r="AJ50">
        <v>0.15662501162865783</v>
      </c>
      <c r="AK50">
        <v>0.35955247570296911</v>
      </c>
      <c r="AL50">
        <v>0.27306234435880494</v>
      </c>
      <c r="AM50">
        <v>0.17441150915028203</v>
      </c>
      <c r="AN50">
        <v>0.32119722396491024</v>
      </c>
      <c r="AO50">
        <v>9.492497341092232E-2</v>
      </c>
      <c r="AR50">
        <v>7.8251046279893377E-4</v>
      </c>
      <c r="AS50">
        <v>4.5816027377265645E-3</v>
      </c>
      <c r="AT50">
        <v>0.1007173703406864</v>
      </c>
      <c r="AU50">
        <v>1.9851657324464638E-3</v>
      </c>
      <c r="AV50">
        <v>2.1920162325809178E-3</v>
      </c>
      <c r="AW50">
        <v>3.4683911426062197E-3</v>
      </c>
      <c r="AX50">
        <v>4.7648029896740773E-4</v>
      </c>
      <c r="AY50">
        <v>4.9762779704631832E-4</v>
      </c>
      <c r="BB50">
        <v>4.4431771133455672E-2</v>
      </c>
      <c r="BC50">
        <v>5.1997771328635256E-2</v>
      </c>
      <c r="BE50">
        <v>28074.215031749205</v>
      </c>
      <c r="BF50">
        <v>21.155790206470748</v>
      </c>
      <c r="BG50">
        <v>30458.329136686483</v>
      </c>
      <c r="BH50">
        <v>21.150780926375944</v>
      </c>
    </row>
    <row r="51" spans="3:60" x14ac:dyDescent="0.2">
      <c r="C51" s="138">
        <v>32226.13922978695</v>
      </c>
      <c r="D51">
        <v>21.168030393324319</v>
      </c>
      <c r="E51" s="138">
        <v>34359.172588522917</v>
      </c>
      <c r="F51" s="138">
        <v>21.135039799252237</v>
      </c>
      <c r="G51" s="138">
        <v>-2133.0333587359673</v>
      </c>
      <c r="H51" s="138">
        <v>3.2990594072082047E-2</v>
      </c>
      <c r="J51" s="135">
        <v>3500</v>
      </c>
      <c r="L51">
        <v>1</v>
      </c>
      <c r="N51" s="138"/>
      <c r="O51" s="138"/>
      <c r="P51" s="138"/>
      <c r="R51">
        <v>338.10347018236871</v>
      </c>
      <c r="S51">
        <v>74.794565884060731</v>
      </c>
      <c r="T51">
        <v>229.119027082016</v>
      </c>
      <c r="U51">
        <v>92.12365542282555</v>
      </c>
      <c r="X51">
        <v>0.60204081647774521</v>
      </c>
      <c r="Y51">
        <v>0.80889044059931181</v>
      </c>
      <c r="Z51">
        <v>0.86656938586715038</v>
      </c>
      <c r="AA51">
        <v>0.48766670953053742</v>
      </c>
      <c r="AB51">
        <v>0.7788560081468322</v>
      </c>
      <c r="AC51">
        <v>0.65371136416308662</v>
      </c>
      <c r="AD51">
        <v>0.79782123306405039</v>
      </c>
      <c r="AE51">
        <v>0.6176741999612636</v>
      </c>
      <c r="AH51">
        <v>5.784475567053915E-2</v>
      </c>
      <c r="AI51">
        <v>7.3447668033696623E-2</v>
      </c>
      <c r="AJ51">
        <v>0.12952322198711952</v>
      </c>
      <c r="AK51">
        <v>4.5179534681252242E-2</v>
      </c>
      <c r="AL51">
        <v>6.2079815275605243E-3</v>
      </c>
      <c r="AM51">
        <v>2.4150199795973437E-2</v>
      </c>
      <c r="AN51">
        <v>7.4701478021448664E-2</v>
      </c>
      <c r="AO51">
        <v>0.37619064664830171</v>
      </c>
      <c r="AR51">
        <v>8.9239729471979334E-4</v>
      </c>
      <c r="AS51">
        <v>4.6648145658475526E-3</v>
      </c>
      <c r="AT51">
        <v>9.9749572063259823E-2</v>
      </c>
      <c r="AU51">
        <v>1.9826322786337934E-3</v>
      </c>
      <c r="AV51">
        <v>1.7778990800220167E-3</v>
      </c>
      <c r="AW51">
        <v>2.8003952023293167E-3</v>
      </c>
      <c r="AX51">
        <v>4.0233020643121176E-4</v>
      </c>
      <c r="AY51">
        <v>5.2739768413323507E-4</v>
      </c>
      <c r="BB51">
        <v>4.4977813707464814E-2</v>
      </c>
      <c r="BC51">
        <v>4.4687382975541097E-2</v>
      </c>
      <c r="BE51">
        <v>32226.13922978695</v>
      </c>
      <c r="BF51">
        <v>21.168030393324319</v>
      </c>
      <c r="BG51">
        <v>34359.172588522917</v>
      </c>
      <c r="BH51">
        <v>21.135039799252237</v>
      </c>
    </row>
    <row r="52" spans="3:60" x14ac:dyDescent="0.2">
      <c r="C52" s="138">
        <v>26883.158051704057</v>
      </c>
      <c r="D52">
        <v>21.115678183462599</v>
      </c>
      <c r="E52" s="138">
        <v>28653.304680327303</v>
      </c>
      <c r="F52" s="138">
        <v>21.100994936581667</v>
      </c>
      <c r="G52" s="138">
        <v>-1770.1466286232462</v>
      </c>
      <c r="H52" s="138">
        <v>1.4683246880931478E-2</v>
      </c>
      <c r="J52" s="135">
        <v>3600</v>
      </c>
      <c r="L52">
        <v>1</v>
      </c>
      <c r="N52" s="138"/>
      <c r="O52" s="138"/>
      <c r="P52" s="138"/>
      <c r="R52">
        <v>127.41309801851642</v>
      </c>
      <c r="S52">
        <v>64.821427571009806</v>
      </c>
      <c r="T52">
        <v>250.64038940434796</v>
      </c>
      <c r="U52">
        <v>105.10988767827982</v>
      </c>
      <c r="X52">
        <v>0.63753584670745356</v>
      </c>
      <c r="Y52">
        <v>0.77002444461242281</v>
      </c>
      <c r="Z52">
        <v>0.78584902190022121</v>
      </c>
      <c r="AA52">
        <v>0.82199098394599635</v>
      </c>
      <c r="AB52">
        <v>0.8250547617587688</v>
      </c>
      <c r="AC52">
        <v>0.5832891555760672</v>
      </c>
      <c r="AD52">
        <v>0.80389145629563019</v>
      </c>
      <c r="AE52">
        <v>0.8102426033894452</v>
      </c>
      <c r="AH52">
        <v>4.4942931757219973E-2</v>
      </c>
      <c r="AI52">
        <v>7.7603389009887613E-2</v>
      </c>
      <c r="AJ52">
        <v>0.15686882662330071</v>
      </c>
      <c r="AK52">
        <v>5.1839885057308965E-2</v>
      </c>
      <c r="AL52">
        <v>0.29745047847264872</v>
      </c>
      <c r="AM52">
        <v>4.9640335217678078E-2</v>
      </c>
      <c r="AN52">
        <v>0.12448556194637328</v>
      </c>
      <c r="AO52">
        <v>0.18014039179466923</v>
      </c>
      <c r="AR52">
        <v>8.1350953256809511E-4</v>
      </c>
      <c r="AS52">
        <v>4.5605555593731806E-3</v>
      </c>
      <c r="AT52">
        <v>0.10060292070096299</v>
      </c>
      <c r="AU52">
        <v>1.7183268860572836E-3</v>
      </c>
      <c r="AV52">
        <v>1.8769016080253361E-3</v>
      </c>
      <c r="AW52">
        <v>3.2410474138801501E-3</v>
      </c>
      <c r="AX52">
        <v>3.3436291934569196E-4</v>
      </c>
      <c r="AY52">
        <v>4.7578144528925836E-4</v>
      </c>
      <c r="BB52">
        <v>4.6827281846914766E-2</v>
      </c>
      <c r="BC52">
        <v>3.6044520111296455E-2</v>
      </c>
      <c r="BE52">
        <v>26883.158051704057</v>
      </c>
      <c r="BF52">
        <v>21.115678183462599</v>
      </c>
      <c r="BG52">
        <v>28653.304680327303</v>
      </c>
      <c r="BH52">
        <v>21.100994936581667</v>
      </c>
    </row>
    <row r="53" spans="3:60" x14ac:dyDescent="0.2">
      <c r="C53" s="138">
        <v>34325.097897454951</v>
      </c>
      <c r="D53">
        <v>21.190253175442908</v>
      </c>
      <c r="E53" s="138">
        <v>36593.870832730034</v>
      </c>
      <c r="F53" s="138">
        <v>21.187719139945976</v>
      </c>
      <c r="G53" s="138">
        <v>-2268.772935275083</v>
      </c>
      <c r="H53" s="138">
        <v>2.5340354969323187E-3</v>
      </c>
      <c r="J53" s="135">
        <v>3700</v>
      </c>
      <c r="L53">
        <v>1</v>
      </c>
      <c r="N53" s="138"/>
      <c r="O53" s="138"/>
      <c r="P53" s="138"/>
      <c r="R53">
        <v>370.71682384231042</v>
      </c>
      <c r="S53">
        <v>67.421736406833134</v>
      </c>
      <c r="T53">
        <v>265.18327321291781</v>
      </c>
      <c r="U53">
        <v>108.3004566517521</v>
      </c>
      <c r="X53">
        <v>0.83247922008418973</v>
      </c>
      <c r="Y53">
        <v>0.52162333060799071</v>
      </c>
      <c r="Z53">
        <v>0.50343100067052715</v>
      </c>
      <c r="AA53">
        <v>0.87107665269637002</v>
      </c>
      <c r="AB53">
        <v>0.68828019849229727</v>
      </c>
      <c r="AC53">
        <v>0.8851017580065258</v>
      </c>
      <c r="AD53">
        <v>0.63003174701948239</v>
      </c>
      <c r="AE53">
        <v>0.87874678158036312</v>
      </c>
      <c r="AH53">
        <v>0.31068809749867954</v>
      </c>
      <c r="AI53">
        <v>8.737132444527751E-2</v>
      </c>
      <c r="AJ53">
        <v>0.12894296633549729</v>
      </c>
      <c r="AK53">
        <v>7.9554102686306694E-2</v>
      </c>
      <c r="AL53">
        <v>0.21916466593423223</v>
      </c>
      <c r="AM53">
        <v>0.13312151352326829</v>
      </c>
      <c r="AN53">
        <v>0.11622658680421616</v>
      </c>
      <c r="AO53">
        <v>0.18431707229004535</v>
      </c>
      <c r="AR53">
        <v>9.6709170600672856E-4</v>
      </c>
      <c r="AS53">
        <v>4.420973165291618E-3</v>
      </c>
      <c r="AT53">
        <v>0.10186289462421694</v>
      </c>
      <c r="AU53">
        <v>1.8710564506121585E-3</v>
      </c>
      <c r="AV53">
        <v>1.7640056545329286E-3</v>
      </c>
      <c r="AW53">
        <v>3.0237193340622451E-3</v>
      </c>
      <c r="AX53">
        <v>4.6461321341351169E-4</v>
      </c>
      <c r="AY53">
        <v>4.1891434872210587E-4</v>
      </c>
      <c r="BB53">
        <v>4.6789583618397149E-2</v>
      </c>
      <c r="BC53">
        <v>4.5576515115162482E-2</v>
      </c>
      <c r="BE53">
        <v>34325.097897454951</v>
      </c>
      <c r="BF53">
        <v>21.190253175442908</v>
      </c>
      <c r="BG53">
        <v>36593.870832730034</v>
      </c>
      <c r="BH53">
        <v>21.187719139945976</v>
      </c>
    </row>
    <row r="54" spans="3:60" x14ac:dyDescent="0.2">
      <c r="C54" s="138">
        <v>30234.889657770796</v>
      </c>
      <c r="D54">
        <v>20.725155748968113</v>
      </c>
      <c r="E54" s="138">
        <v>32170.504637772192</v>
      </c>
      <c r="F54" s="138">
        <v>20.69230029635715</v>
      </c>
      <c r="G54" s="138">
        <v>-1935.6149800013955</v>
      </c>
      <c r="H54" s="138">
        <v>3.2855452610963454E-2</v>
      </c>
      <c r="J54" s="135">
        <v>3800</v>
      </c>
      <c r="L54">
        <v>1</v>
      </c>
      <c r="N54" s="138"/>
      <c r="O54" s="138"/>
      <c r="P54" s="138"/>
      <c r="R54">
        <v>166.44139510898412</v>
      </c>
      <c r="S54">
        <v>54.395458215677856</v>
      </c>
      <c r="T54">
        <v>301.81302000846762</v>
      </c>
      <c r="U54">
        <v>106.3645448049196</v>
      </c>
      <c r="X54">
        <v>0.38072230363180876</v>
      </c>
      <c r="Y54">
        <v>0.79678692839039378</v>
      </c>
      <c r="Z54">
        <v>0.84982331629765073</v>
      </c>
      <c r="AA54">
        <v>0.93327551481753801</v>
      </c>
      <c r="AB54">
        <v>0.6021844980070824</v>
      </c>
      <c r="AC54">
        <v>0.55368704205204122</v>
      </c>
      <c r="AD54">
        <v>0.79001031715995673</v>
      </c>
      <c r="AE54">
        <v>0.60584865189623338</v>
      </c>
      <c r="AH54">
        <v>0.17708001444674959</v>
      </c>
      <c r="AI54">
        <v>0.26854858450313979</v>
      </c>
      <c r="AJ54">
        <v>0.110629160138219</v>
      </c>
      <c r="AK54">
        <v>0.18215591394323827</v>
      </c>
      <c r="AL54">
        <v>4.1128173307403371E-2</v>
      </c>
      <c r="AM54">
        <v>0.15422794601674783</v>
      </c>
      <c r="AN54">
        <v>0.14808398653208332</v>
      </c>
      <c r="AO54">
        <v>0.14151104504213552</v>
      </c>
      <c r="AR54">
        <v>9.5024774015362024E-4</v>
      </c>
      <c r="AS54">
        <v>4.5713800581466124E-3</v>
      </c>
      <c r="AT54">
        <v>9.9902063986919351E-2</v>
      </c>
      <c r="AU54">
        <v>1.9230460680883079E-3</v>
      </c>
      <c r="AV54">
        <v>1.9282212131826676E-3</v>
      </c>
      <c r="AW54">
        <v>3.1489722816762651E-3</v>
      </c>
      <c r="AX54">
        <v>4.1602595697065592E-4</v>
      </c>
      <c r="AY54">
        <v>4.0389844128396171E-4</v>
      </c>
      <c r="BB54">
        <v>5.297378866389324E-2</v>
      </c>
      <c r="BC54">
        <v>1.7104028919244649E-2</v>
      </c>
      <c r="BE54">
        <v>30234.889657770796</v>
      </c>
      <c r="BF54">
        <v>20.725155748968113</v>
      </c>
      <c r="BG54">
        <v>32170.504637772192</v>
      </c>
      <c r="BH54">
        <v>20.69230029635715</v>
      </c>
    </row>
    <row r="55" spans="3:60" x14ac:dyDescent="0.2">
      <c r="C55" s="138">
        <v>37165.780879181082</v>
      </c>
      <c r="D55">
        <v>21.260413531164474</v>
      </c>
      <c r="E55" s="138">
        <v>39233.539296273491</v>
      </c>
      <c r="F55" s="138">
        <v>21.252547865655362</v>
      </c>
      <c r="G55" s="138">
        <v>-2067.7584170924092</v>
      </c>
      <c r="H55" s="138">
        <v>7.8656655091116079E-3</v>
      </c>
      <c r="J55" s="135">
        <v>3900</v>
      </c>
      <c r="L55">
        <v>1</v>
      </c>
      <c r="N55" s="138"/>
      <c r="O55" s="138"/>
      <c r="P55" s="138"/>
      <c r="R55">
        <v>214.07948912849506</v>
      </c>
      <c r="S55">
        <v>68.183423073866535</v>
      </c>
      <c r="T55">
        <v>250.47995584784422</v>
      </c>
      <c r="U55">
        <v>103.34882634638694</v>
      </c>
      <c r="X55">
        <v>0.98774530403974059</v>
      </c>
      <c r="Y55">
        <v>0.78447656661373988</v>
      </c>
      <c r="Z55">
        <v>0.90656614256688206</v>
      </c>
      <c r="AA55">
        <v>0.89833440084905547</v>
      </c>
      <c r="AB55">
        <v>0.85090356865293926</v>
      </c>
      <c r="AC55">
        <v>0.81575647291696018</v>
      </c>
      <c r="AD55">
        <v>0.79108995078998501</v>
      </c>
      <c r="AE55">
        <v>0.91249216326823079</v>
      </c>
      <c r="AH55">
        <v>0.18891209707900602</v>
      </c>
      <c r="AI55">
        <v>0.23848346947644916</v>
      </c>
      <c r="AJ55">
        <v>5.0089443265845413E-2</v>
      </c>
      <c r="AK55">
        <v>0.13361659086311894</v>
      </c>
      <c r="AL55">
        <v>5.6555359926077298E-2</v>
      </c>
      <c r="AM55">
        <v>6.8949028557688474E-2</v>
      </c>
      <c r="AN55">
        <v>7.0753138845412011E-2</v>
      </c>
      <c r="AO55">
        <v>0.1242366994285059</v>
      </c>
      <c r="AR55">
        <v>8.3888805695814619E-4</v>
      </c>
      <c r="AS55">
        <v>4.1691532228767319E-3</v>
      </c>
      <c r="AT55">
        <v>9.8892386245633651E-2</v>
      </c>
      <c r="AU55">
        <v>2.1791759526960108E-3</v>
      </c>
      <c r="AV55">
        <v>1.7943024295963867E-3</v>
      </c>
      <c r="AW55">
        <v>3.3620460806817686E-3</v>
      </c>
      <c r="AX55">
        <v>3.3439786627480087E-4</v>
      </c>
      <c r="AY55">
        <v>5.3613550335507298E-4</v>
      </c>
      <c r="BB55">
        <v>5.463296488768099E-2</v>
      </c>
      <c r="BC55">
        <v>6.9383097807959482E-2</v>
      </c>
      <c r="BE55">
        <v>37165.780879181082</v>
      </c>
      <c r="BF55">
        <v>21.260413531164474</v>
      </c>
      <c r="BG55">
        <v>39233.539296273491</v>
      </c>
      <c r="BH55">
        <v>21.252547865655362</v>
      </c>
    </row>
    <row r="56" spans="3:60" x14ac:dyDescent="0.2">
      <c r="C56" s="138">
        <v>29199.923423325065</v>
      </c>
      <c r="D56">
        <v>20.63669359613813</v>
      </c>
      <c r="E56" s="138">
        <v>31136.338286495502</v>
      </c>
      <c r="F56" s="138">
        <v>20.612634495675128</v>
      </c>
      <c r="G56" s="138">
        <v>-1936.4148631704375</v>
      </c>
      <c r="H56" s="138">
        <v>2.4059100463002636E-2</v>
      </c>
      <c r="J56" s="135">
        <v>4000</v>
      </c>
      <c r="L56">
        <v>1</v>
      </c>
      <c r="N56" s="138"/>
      <c r="O56" s="138"/>
      <c r="P56" s="138"/>
      <c r="R56">
        <v>236.28367965243464</v>
      </c>
      <c r="S56">
        <v>68.957865400240095</v>
      </c>
      <c r="T56">
        <v>231.32898498961561</v>
      </c>
      <c r="U56">
        <v>93.167417524522264</v>
      </c>
      <c r="X56">
        <v>0.8726796727463535</v>
      </c>
      <c r="Y56">
        <v>0.88687694964143349</v>
      </c>
      <c r="Z56">
        <v>0.69397882750382367</v>
      </c>
      <c r="AA56">
        <v>0.55763666141753387</v>
      </c>
      <c r="AB56">
        <v>0.54223648917984257</v>
      </c>
      <c r="AC56">
        <v>0.66421760664254426</v>
      </c>
      <c r="AD56">
        <v>0.87533919716330488</v>
      </c>
      <c r="AE56">
        <v>0.7859189366416347</v>
      </c>
      <c r="AH56">
        <v>8.8018982252258127E-3</v>
      </c>
      <c r="AI56">
        <v>0.14598783250819392</v>
      </c>
      <c r="AJ56">
        <v>9.5573639714090497E-2</v>
      </c>
      <c r="AK56">
        <v>0.17547332805748561</v>
      </c>
      <c r="AL56">
        <v>2.9448598322853958E-2</v>
      </c>
      <c r="AM56">
        <v>3.0740237138431326E-2</v>
      </c>
      <c r="AN56">
        <v>7.0077951357842228E-2</v>
      </c>
      <c r="AO56">
        <v>9.9844800749212537E-2</v>
      </c>
      <c r="AR56">
        <v>8.7552829103454692E-4</v>
      </c>
      <c r="AS56">
        <v>4.2107138588719471E-3</v>
      </c>
      <c r="AT56">
        <v>9.9348489701162557E-2</v>
      </c>
      <c r="AU56">
        <v>2.0283967080464427E-3</v>
      </c>
      <c r="AV56">
        <v>1.6567043933762816E-3</v>
      </c>
      <c r="AW56">
        <v>3.4337768630741117E-3</v>
      </c>
      <c r="AX56">
        <v>4.077678351807057E-4</v>
      </c>
      <c r="AY56">
        <v>4.3402383788971422E-4</v>
      </c>
      <c r="BB56">
        <v>5.2118280864547395E-2</v>
      </c>
      <c r="BC56">
        <v>5.8779604541287278E-2</v>
      </c>
      <c r="BE56">
        <v>29199.923423325065</v>
      </c>
      <c r="BF56">
        <v>20.63669359613813</v>
      </c>
      <c r="BG56">
        <v>31136.338286495502</v>
      </c>
      <c r="BH56">
        <v>20.612634495675128</v>
      </c>
    </row>
    <row r="57" spans="3:60" x14ac:dyDescent="0.2">
      <c r="C57" s="138">
        <v>34633.842532843664</v>
      </c>
      <c r="D57">
        <v>21.698734351406458</v>
      </c>
      <c r="E57" s="138">
        <v>36565.094723953756</v>
      </c>
      <c r="F57" s="138">
        <v>21.695300762200397</v>
      </c>
      <c r="G57" s="138">
        <v>-1931.2521911100921</v>
      </c>
      <c r="H57" s="138">
        <v>3.4335892060610718E-3</v>
      </c>
      <c r="J57" s="135">
        <v>4100</v>
      </c>
      <c r="L57">
        <v>1</v>
      </c>
      <c r="N57" s="138"/>
      <c r="O57" s="138"/>
      <c r="P57" s="138"/>
      <c r="R57">
        <v>440.63130786973096</v>
      </c>
      <c r="S57">
        <v>57.484426026634182</v>
      </c>
      <c r="T57">
        <v>166.71618785521207</v>
      </c>
      <c r="U57">
        <v>85.532134117313447</v>
      </c>
      <c r="X57">
        <v>0.8664928131737315</v>
      </c>
      <c r="Y57">
        <v>0.68800316441458931</v>
      </c>
      <c r="Z57">
        <v>0.6019263179501797</v>
      </c>
      <c r="AA57">
        <v>0.52347490942236174</v>
      </c>
      <c r="AB57">
        <v>0.7236970942747083</v>
      </c>
      <c r="AC57">
        <v>0.92880438353638928</v>
      </c>
      <c r="AD57">
        <v>0.63550798567340361</v>
      </c>
      <c r="AE57">
        <v>0.96534592092568716</v>
      </c>
      <c r="AH57">
        <v>6.3748014905562256E-2</v>
      </c>
      <c r="AI57">
        <v>1.5338450177237783E-2</v>
      </c>
      <c r="AJ57">
        <v>0.26310325947648472</v>
      </c>
      <c r="AK57">
        <v>6.3980859784635968E-2</v>
      </c>
      <c r="AL57">
        <v>0.10174650760790316</v>
      </c>
      <c r="AM57">
        <v>0.2173337585110976</v>
      </c>
      <c r="AN57">
        <v>6.6065529529200751E-2</v>
      </c>
      <c r="AO57">
        <v>0.22655281606711875</v>
      </c>
      <c r="AR57">
        <v>9.7544240212965594E-4</v>
      </c>
      <c r="AS57">
        <v>4.8718157902359893E-3</v>
      </c>
      <c r="AT57">
        <v>9.9058964363276505E-2</v>
      </c>
      <c r="AU57">
        <v>1.9238106463441531E-3</v>
      </c>
      <c r="AV57">
        <v>1.802674105734009E-3</v>
      </c>
      <c r="AW57">
        <v>3.3927403735058586E-3</v>
      </c>
      <c r="AX57">
        <v>4.3105578268420874E-4</v>
      </c>
      <c r="AY57">
        <v>5.2979863687929729E-4</v>
      </c>
      <c r="BB57">
        <v>5.2325513904736165E-2</v>
      </c>
      <c r="BC57">
        <v>4.0670571197556057E-2</v>
      </c>
      <c r="BE57">
        <v>34633.842532843664</v>
      </c>
      <c r="BF57">
        <v>21.698734351406458</v>
      </c>
      <c r="BG57">
        <v>36565.094723953756</v>
      </c>
      <c r="BH57">
        <v>21.695300762200397</v>
      </c>
    </row>
    <row r="58" spans="3:60" x14ac:dyDescent="0.2">
      <c r="C58" s="138">
        <v>37812.322480234478</v>
      </c>
      <c r="D58">
        <v>21.329427638211005</v>
      </c>
      <c r="E58" s="138">
        <v>39877.849872363215</v>
      </c>
      <c r="F58" s="138">
        <v>21.321235492641158</v>
      </c>
      <c r="G58" s="138">
        <v>-2065.5273921287371</v>
      </c>
      <c r="H58" s="138">
        <v>8.1921455698470425E-3</v>
      </c>
      <c r="J58" s="135">
        <v>4200</v>
      </c>
      <c r="L58">
        <v>1</v>
      </c>
      <c r="N58" s="138"/>
      <c r="O58" s="138"/>
      <c r="P58" s="138"/>
      <c r="R58">
        <v>303.2121187590439</v>
      </c>
      <c r="S58">
        <v>68.732313616397434</v>
      </c>
      <c r="T58">
        <v>229.54483355656163</v>
      </c>
      <c r="U58">
        <v>97.926710153833369</v>
      </c>
      <c r="X58">
        <v>0.84562542643322747</v>
      </c>
      <c r="Y58">
        <v>0.72607324196210976</v>
      </c>
      <c r="Z58">
        <v>0.77417741383243799</v>
      </c>
      <c r="AA58">
        <v>0.76678674897205412</v>
      </c>
      <c r="AB58">
        <v>0.87495653750684355</v>
      </c>
      <c r="AC58">
        <v>0.84069889542250131</v>
      </c>
      <c r="AD58">
        <v>0.48635181933577359</v>
      </c>
      <c r="AE58">
        <v>0.81374949680829867</v>
      </c>
      <c r="AH58">
        <v>6.3125495459424141E-2</v>
      </c>
      <c r="AI58">
        <v>6.9550572097440644E-2</v>
      </c>
      <c r="AJ58">
        <v>0.15787759347678509</v>
      </c>
      <c r="AK58">
        <v>0.22539801544848725</v>
      </c>
      <c r="AL58">
        <v>0.12849064343011296</v>
      </c>
      <c r="AM58">
        <v>0.11617808900422033</v>
      </c>
      <c r="AN58">
        <v>4.0011637644078002E-2</v>
      </c>
      <c r="AO58">
        <v>0.11994968193440336</v>
      </c>
      <c r="AR58">
        <v>9.3037633811976495E-4</v>
      </c>
      <c r="AS58">
        <v>4.7430631235075849E-3</v>
      </c>
      <c r="AT58">
        <v>9.9129151128245538E-2</v>
      </c>
      <c r="AU58">
        <v>2.2211344971599933E-3</v>
      </c>
      <c r="AV58">
        <v>1.983674348608932E-3</v>
      </c>
      <c r="AW58">
        <v>3.2866266062716149E-3</v>
      </c>
      <c r="AX58">
        <v>4.6964742510424706E-4</v>
      </c>
      <c r="AY58">
        <v>4.7137749662307105E-4</v>
      </c>
      <c r="BB58">
        <v>4.2541371340778428E-2</v>
      </c>
      <c r="BC58">
        <v>5.1574480321399441E-2</v>
      </c>
      <c r="BE58">
        <v>37812.322480234478</v>
      </c>
      <c r="BF58">
        <v>21.329427638211005</v>
      </c>
      <c r="BG58">
        <v>39877.849872363215</v>
      </c>
      <c r="BH58">
        <v>21.321235492641158</v>
      </c>
    </row>
    <row r="59" spans="3:60" x14ac:dyDescent="0.2">
      <c r="C59" s="138">
        <v>36150.655164475007</v>
      </c>
      <c r="D59">
        <v>21.251099291630528</v>
      </c>
      <c r="E59" s="138">
        <v>38358.777877972832</v>
      </c>
      <c r="F59" s="138">
        <v>21.235808961042402</v>
      </c>
      <c r="G59" s="138">
        <v>-2208.1227134978253</v>
      </c>
      <c r="H59" s="138">
        <v>1.5290330588126011E-2</v>
      </c>
      <c r="J59" s="135">
        <v>4300</v>
      </c>
      <c r="L59">
        <v>1</v>
      </c>
      <c r="N59" s="138"/>
      <c r="O59" s="138"/>
      <c r="P59" s="138"/>
      <c r="R59">
        <v>310.02938078629751</v>
      </c>
      <c r="S59">
        <v>66.539361897338694</v>
      </c>
      <c r="T59">
        <v>275.79322650185065</v>
      </c>
      <c r="U59">
        <v>108.38709197694764</v>
      </c>
      <c r="X59">
        <v>0.59488607411860162</v>
      </c>
      <c r="Y59">
        <v>0.94391687151425119</v>
      </c>
      <c r="Z59">
        <v>0.90785859942395264</v>
      </c>
      <c r="AA59">
        <v>0.45092252455891207</v>
      </c>
      <c r="AB59">
        <v>0.91128620822472173</v>
      </c>
      <c r="AC59">
        <v>0.88851155437846785</v>
      </c>
      <c r="AD59">
        <v>0.87997635375676797</v>
      </c>
      <c r="AE59">
        <v>0.79501937128765388</v>
      </c>
      <c r="AH59">
        <v>0.19363018047415881</v>
      </c>
      <c r="AI59">
        <v>0.22823806153807313</v>
      </c>
      <c r="AJ59">
        <v>3.9598684731638079E-2</v>
      </c>
      <c r="AK59">
        <v>2.7816823010662906E-2</v>
      </c>
      <c r="AL59">
        <v>0.11900959740298866</v>
      </c>
      <c r="AM59">
        <v>0.11024564196070652</v>
      </c>
      <c r="AN59">
        <v>0.19521766670914464</v>
      </c>
      <c r="AO59">
        <v>0.11398398878807225</v>
      </c>
      <c r="AR59">
        <v>8.4794843852508415E-4</v>
      </c>
      <c r="AS59">
        <v>4.7006325039073982E-3</v>
      </c>
      <c r="AT59">
        <v>9.9981984600052518E-2</v>
      </c>
      <c r="AU59">
        <v>2.1127338197065582E-3</v>
      </c>
      <c r="AV59">
        <v>2.2669574385257851E-3</v>
      </c>
      <c r="AW59">
        <v>3.2371908462523811E-3</v>
      </c>
      <c r="AX59">
        <v>3.999192101702409E-4</v>
      </c>
      <c r="AY59">
        <v>4.0597259702646342E-4</v>
      </c>
      <c r="BB59">
        <v>5.1989353552949868E-2</v>
      </c>
      <c r="BC59">
        <v>6.9886937535740601E-2</v>
      </c>
      <c r="BE59">
        <v>36150.655164475007</v>
      </c>
      <c r="BF59">
        <v>21.251099291630528</v>
      </c>
      <c r="BG59">
        <v>38358.777877972832</v>
      </c>
      <c r="BH59">
        <v>21.235808961042402</v>
      </c>
    </row>
    <row r="60" spans="3:60" x14ac:dyDescent="0.2">
      <c r="C60" s="138">
        <v>26528.605600649225</v>
      </c>
      <c r="D60">
        <v>19.824295926962691</v>
      </c>
      <c r="E60" s="138">
        <v>27975.501334660163</v>
      </c>
      <c r="F60" s="138">
        <v>19.773327256793014</v>
      </c>
      <c r="G60" s="138">
        <v>-1446.8957340109373</v>
      </c>
      <c r="H60" s="138">
        <v>5.096867016967721E-2</v>
      </c>
      <c r="J60" s="135">
        <v>4400</v>
      </c>
      <c r="L60">
        <v>1</v>
      </c>
      <c r="N60" s="138"/>
      <c r="O60" s="138"/>
      <c r="P60" s="138"/>
      <c r="R60">
        <v>270.34177683377447</v>
      </c>
      <c r="S60">
        <v>59.343578800103465</v>
      </c>
      <c r="T60">
        <v>274.43438961509679</v>
      </c>
      <c r="U60">
        <v>90.26231176234613</v>
      </c>
      <c r="X60">
        <v>0.6898080085621926</v>
      </c>
      <c r="Y60">
        <v>0.88319554159497105</v>
      </c>
      <c r="Z60">
        <v>0.87516115113500592</v>
      </c>
      <c r="AA60">
        <v>0.76843729370989666</v>
      </c>
      <c r="AB60">
        <v>0.67880901368692081</v>
      </c>
      <c r="AC60">
        <v>0.82420873099380376</v>
      </c>
      <c r="AD60">
        <v>0.87074086090112723</v>
      </c>
      <c r="AE60">
        <v>0.81864774220770031</v>
      </c>
      <c r="AH60">
        <v>0.37298730833777172</v>
      </c>
      <c r="AI60">
        <v>0.1373543626684478</v>
      </c>
      <c r="AJ60">
        <v>7.8065593188670124E-2</v>
      </c>
      <c r="AK60">
        <v>0.35736756484766863</v>
      </c>
      <c r="AL60">
        <v>0.14508303188020033</v>
      </c>
      <c r="AM60">
        <v>0.33599065802148109</v>
      </c>
      <c r="AN60">
        <v>0.40656448442980009</v>
      </c>
      <c r="AO60">
        <v>4.2818431941954449E-2</v>
      </c>
      <c r="AR60">
        <v>7.4946234226460631E-4</v>
      </c>
      <c r="AS60">
        <v>4.5515517775459591E-3</v>
      </c>
      <c r="AT60">
        <v>9.9271187744350231E-2</v>
      </c>
      <c r="AU60">
        <v>2.0839733449161679E-3</v>
      </c>
      <c r="AV60">
        <v>1.9237218930050067E-3</v>
      </c>
      <c r="AW60">
        <v>3.5103040598645219E-3</v>
      </c>
      <c r="AX60">
        <v>4.351123308589111E-4</v>
      </c>
      <c r="AY60">
        <v>4.3590513793529859E-4</v>
      </c>
      <c r="BB60">
        <v>4.6926644486429941E-2</v>
      </c>
      <c r="BC60">
        <v>4.7041228535125934E-2</v>
      </c>
      <c r="BE60">
        <v>26528.605600649225</v>
      </c>
      <c r="BF60">
        <v>19.824295926962691</v>
      </c>
      <c r="BG60">
        <v>27975.501334660163</v>
      </c>
      <c r="BH60">
        <v>19.773327256793014</v>
      </c>
    </row>
    <row r="61" spans="3:60" x14ac:dyDescent="0.2">
      <c r="C61" s="138">
        <v>26657.076444492963</v>
      </c>
      <c r="D61">
        <v>20.187205121879941</v>
      </c>
      <c r="E61" s="138">
        <v>28701.852680169512</v>
      </c>
      <c r="F61" s="138">
        <v>20.108927610174195</v>
      </c>
      <c r="G61" s="138">
        <v>-2044.7762356765488</v>
      </c>
      <c r="H61" s="138">
        <v>7.827751170574615E-2</v>
      </c>
      <c r="J61" s="135">
        <v>4500</v>
      </c>
      <c r="L61">
        <v>1</v>
      </c>
      <c r="N61" s="138"/>
      <c r="O61" s="138"/>
      <c r="P61" s="138"/>
      <c r="R61">
        <v>281.55854237146895</v>
      </c>
      <c r="S61">
        <v>56.725360692047801</v>
      </c>
      <c r="T61">
        <v>254.23257971321522</v>
      </c>
      <c r="U61">
        <v>105.41975615886237</v>
      </c>
      <c r="X61">
        <v>0.82151509398616596</v>
      </c>
      <c r="Y61">
        <v>0.65896086872745885</v>
      </c>
      <c r="Z61">
        <v>0.48214640087635907</v>
      </c>
      <c r="AA61">
        <v>0.62570829838816411</v>
      </c>
      <c r="AB61">
        <v>0.74421709572769745</v>
      </c>
      <c r="AC61">
        <v>0.85257941908760615</v>
      </c>
      <c r="AD61">
        <v>0.69389108274259115</v>
      </c>
      <c r="AE61">
        <v>0.84614550968363345</v>
      </c>
      <c r="AH61">
        <v>4.6173585559215025E-2</v>
      </c>
      <c r="AI61">
        <v>9.6165664303682563E-2</v>
      </c>
      <c r="AJ61">
        <v>3.017484131508763E-2</v>
      </c>
      <c r="AK61">
        <v>0.12401046340311095</v>
      </c>
      <c r="AL61">
        <v>7.713943561547465E-2</v>
      </c>
      <c r="AM61">
        <v>0.40213030721621934</v>
      </c>
      <c r="AN61">
        <v>5.6149062516827497E-2</v>
      </c>
      <c r="AO61">
        <v>0.1309987215618057</v>
      </c>
      <c r="AR61">
        <v>8.7191617178954226E-4</v>
      </c>
      <c r="AS61">
        <v>4.2793872683776482E-3</v>
      </c>
      <c r="AT61">
        <v>0.1005225954247817</v>
      </c>
      <c r="AU61">
        <v>2.0079138438324762E-3</v>
      </c>
      <c r="AV61">
        <v>2.0057008975766788E-3</v>
      </c>
      <c r="AW61">
        <v>3.42576047153198E-3</v>
      </c>
      <c r="AX61">
        <v>5.2235679852208339E-4</v>
      </c>
      <c r="AY61">
        <v>4.9665740258675317E-4</v>
      </c>
      <c r="BB61">
        <v>5.2561208992560227E-2</v>
      </c>
      <c r="BC61">
        <v>5.5308621162823979E-2</v>
      </c>
      <c r="BE61">
        <v>26657.076444492963</v>
      </c>
      <c r="BF61">
        <v>20.187205121879941</v>
      </c>
      <c r="BG61">
        <v>28701.852680169512</v>
      </c>
      <c r="BH61">
        <v>20.108927610174195</v>
      </c>
    </row>
    <row r="62" spans="3:60" x14ac:dyDescent="0.2">
      <c r="C62" s="138">
        <v>34072.038110112313</v>
      </c>
      <c r="D62">
        <v>21.39703453700125</v>
      </c>
      <c r="E62" s="138">
        <v>36080.419801828262</v>
      </c>
      <c r="F62" s="138">
        <v>21.377424118102123</v>
      </c>
      <c r="G62" s="138">
        <v>-2008.3816917159493</v>
      </c>
      <c r="H62" s="138">
        <v>1.9610418899127069E-2</v>
      </c>
      <c r="J62" s="135">
        <v>4600</v>
      </c>
      <c r="L62">
        <v>1</v>
      </c>
      <c r="N62" s="138"/>
      <c r="O62" s="138"/>
      <c r="P62" s="138"/>
      <c r="R62">
        <v>310.5378755078363</v>
      </c>
      <c r="S62">
        <v>54.510288594190754</v>
      </c>
      <c r="T62">
        <v>272.78237999450403</v>
      </c>
      <c r="U62">
        <v>96.16503269718423</v>
      </c>
      <c r="X62">
        <v>0.7359381578078672</v>
      </c>
      <c r="Y62">
        <v>0.82284283876918241</v>
      </c>
      <c r="Z62">
        <v>0.65037216107554829</v>
      </c>
      <c r="AA62">
        <v>0.70250788846617607</v>
      </c>
      <c r="AB62">
        <v>0.79522000455704323</v>
      </c>
      <c r="AC62">
        <v>0.48437866436974114</v>
      </c>
      <c r="AD62">
        <v>0.84765889784606752</v>
      </c>
      <c r="AE62">
        <v>0.74658222585659928</v>
      </c>
      <c r="AH62">
        <v>1.4729856541290554E-2</v>
      </c>
      <c r="AI62">
        <v>0.25523208510288808</v>
      </c>
      <c r="AJ62">
        <v>8.8807247961268931E-2</v>
      </c>
      <c r="AK62">
        <v>0.20239195720260661</v>
      </c>
      <c r="AL62">
        <v>7.2614537217856157E-2</v>
      </c>
      <c r="AM62">
        <v>0.16874733322529611</v>
      </c>
      <c r="AN62">
        <v>6.9182859273968944E-2</v>
      </c>
      <c r="AO62">
        <v>0.14178863447442924</v>
      </c>
      <c r="AR62">
        <v>1.1089246916066164E-3</v>
      </c>
      <c r="AS62">
        <v>4.4501186962494768E-3</v>
      </c>
      <c r="AT62">
        <v>0.10023149019384259</v>
      </c>
      <c r="AU62">
        <v>2.0797443769721147E-3</v>
      </c>
      <c r="AV62">
        <v>2.1223975343115375E-3</v>
      </c>
      <c r="AW62">
        <v>3.4226038270189774E-3</v>
      </c>
      <c r="AX62">
        <v>3.3141520532069718E-4</v>
      </c>
      <c r="AY62">
        <v>5.3314600460308004E-4</v>
      </c>
      <c r="BB62">
        <v>5.592683339663429E-2</v>
      </c>
      <c r="BC62">
        <v>2.1598412939348402E-2</v>
      </c>
      <c r="BE62">
        <v>34072.038110112313</v>
      </c>
      <c r="BF62">
        <v>21.39703453700125</v>
      </c>
      <c r="BG62">
        <v>36080.419801828262</v>
      </c>
      <c r="BH62">
        <v>21.377424118102123</v>
      </c>
    </row>
    <row r="63" spans="3:60" x14ac:dyDescent="0.2">
      <c r="C63" s="138">
        <v>35423.494262480985</v>
      </c>
      <c r="D63">
        <v>20.759493746110611</v>
      </c>
      <c r="E63" s="138">
        <v>37548.600588327921</v>
      </c>
      <c r="F63" s="138">
        <v>20.723776115992131</v>
      </c>
      <c r="G63" s="138">
        <v>-2125.1063258469367</v>
      </c>
      <c r="H63" s="138">
        <v>3.5717630118480059E-2</v>
      </c>
      <c r="J63" s="135">
        <v>4700</v>
      </c>
      <c r="L63">
        <v>1</v>
      </c>
      <c r="N63" s="138"/>
      <c r="O63" s="138"/>
      <c r="P63" s="138"/>
      <c r="R63">
        <v>363.78943935251209</v>
      </c>
      <c r="S63">
        <v>57.823104898061906</v>
      </c>
      <c r="T63">
        <v>258.36776148849066</v>
      </c>
      <c r="U63">
        <v>99.362725248373152</v>
      </c>
      <c r="X63">
        <v>0.54221713406371419</v>
      </c>
      <c r="Y63">
        <v>0.70788640540218495</v>
      </c>
      <c r="Z63">
        <v>0.68119638901095747</v>
      </c>
      <c r="AA63">
        <v>0.61692207455522041</v>
      </c>
      <c r="AB63">
        <v>0.75887755751797614</v>
      </c>
      <c r="AC63">
        <v>0.95825395520171242</v>
      </c>
      <c r="AD63">
        <v>0.72128623051587015</v>
      </c>
      <c r="AE63">
        <v>0.76013512161187724</v>
      </c>
      <c r="AH63">
        <v>0.10825441537411495</v>
      </c>
      <c r="AI63">
        <v>0.11526486606361797</v>
      </c>
      <c r="AJ63">
        <v>1.6920602315505961E-2</v>
      </c>
      <c r="AK63">
        <v>0.15963468457723762</v>
      </c>
      <c r="AL63">
        <v>6.4355871827141309E-2</v>
      </c>
      <c r="AM63">
        <v>0.12097520130383743</v>
      </c>
      <c r="AN63">
        <v>0.22149279827073343</v>
      </c>
      <c r="AO63">
        <v>1.653058337153368E-2</v>
      </c>
      <c r="AR63">
        <v>8.8405943220905433E-4</v>
      </c>
      <c r="AS63">
        <v>4.4211577474219674E-3</v>
      </c>
      <c r="AT63">
        <v>0.1002156633054605</v>
      </c>
      <c r="AU63">
        <v>1.7589533863438382E-3</v>
      </c>
      <c r="AV63">
        <v>1.9067416848683302E-3</v>
      </c>
      <c r="AW63">
        <v>3.258222919142296E-3</v>
      </c>
      <c r="AX63">
        <v>4.12830965510258E-4</v>
      </c>
      <c r="AY63">
        <v>3.9251519771185147E-4</v>
      </c>
      <c r="BB63">
        <v>5.4394965109106796E-2</v>
      </c>
      <c r="BC63">
        <v>2.9074215885588357E-2</v>
      </c>
      <c r="BE63">
        <v>35423.494262480985</v>
      </c>
      <c r="BF63">
        <v>20.759493746110611</v>
      </c>
      <c r="BG63">
        <v>37548.600588327921</v>
      </c>
      <c r="BH63">
        <v>20.723776115992131</v>
      </c>
    </row>
    <row r="64" spans="3:60" x14ac:dyDescent="0.2">
      <c r="C64" s="138">
        <v>33652.93087623785</v>
      </c>
      <c r="D64">
        <v>21.158924001452572</v>
      </c>
      <c r="E64" s="138">
        <v>36172.419572042134</v>
      </c>
      <c r="F64" s="138">
        <v>21.134053072725042</v>
      </c>
      <c r="G64" s="138">
        <v>-2519.4886958042844</v>
      </c>
      <c r="H64" s="138">
        <v>2.4870928727530384E-2</v>
      </c>
      <c r="J64" s="135">
        <v>4800</v>
      </c>
      <c r="L64">
        <v>1</v>
      </c>
      <c r="N64" s="138"/>
      <c r="O64" s="138"/>
      <c r="P64" s="138"/>
      <c r="R64">
        <v>73.357046578357966</v>
      </c>
      <c r="S64">
        <v>59.985064397690458</v>
      </c>
      <c r="T64">
        <v>244.81210943291609</v>
      </c>
      <c r="U64">
        <v>96.264549893703389</v>
      </c>
      <c r="X64">
        <v>0.47959523662270331</v>
      </c>
      <c r="Y64">
        <v>0.79499108841887911</v>
      </c>
      <c r="Z64">
        <v>0.8165393367113335</v>
      </c>
      <c r="AA64">
        <v>0.68285340099507286</v>
      </c>
      <c r="AB64">
        <v>0.73327197717544379</v>
      </c>
      <c r="AC64">
        <v>0.71589523319625592</v>
      </c>
      <c r="AD64">
        <v>0.7627770801866316</v>
      </c>
      <c r="AE64">
        <v>0.7626352696114419</v>
      </c>
      <c r="AH64">
        <v>2.2617755594629751E-2</v>
      </c>
      <c r="AI64">
        <v>0.14915745421885707</v>
      </c>
      <c r="AJ64">
        <v>0.15767618545378737</v>
      </c>
      <c r="AK64">
        <v>3.8576178774239689E-2</v>
      </c>
      <c r="AL64">
        <v>0.15574235429164629</v>
      </c>
      <c r="AM64">
        <v>3.8490112995045789E-2</v>
      </c>
      <c r="AN64">
        <v>9.7174916761552321E-2</v>
      </c>
      <c r="AO64">
        <v>0.17093766464015614</v>
      </c>
      <c r="AR64">
        <v>9.3762118419915552E-4</v>
      </c>
      <c r="AS64">
        <v>4.2648136660503053E-3</v>
      </c>
      <c r="AT64">
        <v>9.8933801372167243E-2</v>
      </c>
      <c r="AU64">
        <v>1.9325113063398745E-3</v>
      </c>
      <c r="AV64">
        <v>2.1619823646985559E-3</v>
      </c>
      <c r="AW64">
        <v>3.5022570903193717E-3</v>
      </c>
      <c r="AX64">
        <v>2.9183767694157748E-4</v>
      </c>
      <c r="AY64">
        <v>3.7513735822355861E-4</v>
      </c>
      <c r="BB64">
        <v>5.506759331857658E-2</v>
      </c>
      <c r="BC64">
        <v>3.7164236362486482E-2</v>
      </c>
      <c r="BE64">
        <v>33652.93087623785</v>
      </c>
      <c r="BF64">
        <v>21.158924001452572</v>
      </c>
      <c r="BG64">
        <v>36172.419572042134</v>
      </c>
      <c r="BH64">
        <v>21.134053072725042</v>
      </c>
    </row>
    <row r="65" spans="3:60" x14ac:dyDescent="0.2">
      <c r="C65" s="138">
        <v>28704.491795415644</v>
      </c>
      <c r="D65">
        <v>21.549419407624253</v>
      </c>
      <c r="E65" s="138">
        <v>30652.021471754997</v>
      </c>
      <c r="F65" s="138">
        <v>21.538426269417034</v>
      </c>
      <c r="G65" s="138">
        <v>-1947.5296763393526</v>
      </c>
      <c r="H65" s="138">
        <v>1.0993138207219033E-2</v>
      </c>
      <c r="J65" s="135">
        <v>4900</v>
      </c>
      <c r="L65">
        <v>1</v>
      </c>
      <c r="N65" s="138"/>
      <c r="O65" s="138"/>
      <c r="P65" s="138"/>
      <c r="R65">
        <v>241.49928182286379</v>
      </c>
      <c r="S65">
        <v>65.822437332232553</v>
      </c>
      <c r="T65">
        <v>229.05973424644085</v>
      </c>
      <c r="U65">
        <v>105.52916540199041</v>
      </c>
      <c r="X65">
        <v>0.92149113158771379</v>
      </c>
      <c r="Y65">
        <v>0.88225364538626083</v>
      </c>
      <c r="Z65">
        <v>0.82944367698220245</v>
      </c>
      <c r="AA65">
        <v>0.71423415090345754</v>
      </c>
      <c r="AB65">
        <v>0.66954053496051069</v>
      </c>
      <c r="AC65">
        <v>0.91163307671642146</v>
      </c>
      <c r="AD65">
        <v>0.94521143098780813</v>
      </c>
      <c r="AE65">
        <v>0.69845989162682343</v>
      </c>
      <c r="AH65">
        <v>8.7272496954143297E-2</v>
      </c>
      <c r="AI65">
        <v>0.18108186282047001</v>
      </c>
      <c r="AJ65">
        <v>0.33973048005653461</v>
      </c>
      <c r="AK65">
        <v>0.11655921487421572</v>
      </c>
      <c r="AL65">
        <v>0.20957249556073654</v>
      </c>
      <c r="AM65">
        <v>5.9730253478722073E-2</v>
      </c>
      <c r="AN65">
        <v>0.13953826226141941</v>
      </c>
      <c r="AO65">
        <v>4.7516088627218345E-2</v>
      </c>
      <c r="AR65">
        <v>9.2481024216273244E-4</v>
      </c>
      <c r="AS65">
        <v>4.3784259857447628E-3</v>
      </c>
      <c r="AT65">
        <v>9.865554468212534E-2</v>
      </c>
      <c r="AU65">
        <v>1.8917167440099757E-3</v>
      </c>
      <c r="AV65">
        <v>1.8998637078488901E-3</v>
      </c>
      <c r="AW65">
        <v>3.3775047067518289E-3</v>
      </c>
      <c r="AX65">
        <v>4.0893162654331849E-4</v>
      </c>
      <c r="AY65">
        <v>4.1726499178388937E-4</v>
      </c>
      <c r="BB65">
        <v>5.0766296198668015E-2</v>
      </c>
      <c r="BC65">
        <v>4.2201743287882856E-2</v>
      </c>
      <c r="BE65">
        <v>28704.491795415644</v>
      </c>
      <c r="BF65">
        <v>21.549419407624253</v>
      </c>
      <c r="BG65">
        <v>30652.021471754997</v>
      </c>
      <c r="BH65">
        <v>21.538426269417034</v>
      </c>
    </row>
    <row r="66" spans="3:60" x14ac:dyDescent="0.2">
      <c r="C66" s="138">
        <v>38350.384545760957</v>
      </c>
      <c r="D66">
        <v>20.850655674651424</v>
      </c>
      <c r="E66" s="138">
        <v>40384.271572845639</v>
      </c>
      <c r="F66" s="138">
        <v>20.807533310483688</v>
      </c>
      <c r="G66" s="138">
        <v>-2033.8870270846819</v>
      </c>
      <c r="H66" s="138">
        <v>4.3122364167736293E-2</v>
      </c>
      <c r="J66" s="135">
        <v>5000</v>
      </c>
      <c r="L66">
        <v>1</v>
      </c>
      <c r="N66" s="138"/>
      <c r="O66" s="138"/>
      <c r="P66" s="138"/>
      <c r="R66">
        <v>473.45745375411411</v>
      </c>
      <c r="S66">
        <v>64.349934612814735</v>
      </c>
      <c r="T66">
        <v>280.81585617999536</v>
      </c>
      <c r="U66">
        <v>101.23268318491873</v>
      </c>
      <c r="X66">
        <v>0.77596746995639787</v>
      </c>
      <c r="Y66">
        <v>0.61568136567158271</v>
      </c>
      <c r="Z66">
        <v>0.76957240387953163</v>
      </c>
      <c r="AA66">
        <v>0.90713949048302933</v>
      </c>
      <c r="AB66">
        <v>0.85332286564060345</v>
      </c>
      <c r="AC66">
        <v>0.83276050338100061</v>
      </c>
      <c r="AD66">
        <v>0.81869189603477754</v>
      </c>
      <c r="AE66">
        <v>0.75747956600761135</v>
      </c>
      <c r="AH66">
        <v>0.13522761414475892</v>
      </c>
      <c r="AI66">
        <v>0.14079963673298057</v>
      </c>
      <c r="AJ66">
        <v>8.6918931868379845E-2</v>
      </c>
      <c r="AK66">
        <v>0.15714872858893081</v>
      </c>
      <c r="AL66">
        <v>0.18222899707634799</v>
      </c>
      <c r="AM66">
        <v>8.4403850375275757E-2</v>
      </c>
      <c r="AN66">
        <v>0.21645647046087235</v>
      </c>
      <c r="AO66">
        <v>7.5254687264767695E-2</v>
      </c>
      <c r="AR66">
        <v>8.2205725075739755E-4</v>
      </c>
      <c r="AS66">
        <v>3.9537259331563135E-3</v>
      </c>
      <c r="AT66">
        <v>0.10086694721541556</v>
      </c>
      <c r="AU66">
        <v>2.1287718514297893E-3</v>
      </c>
      <c r="AV66">
        <v>1.9996999859313025E-3</v>
      </c>
      <c r="AW66">
        <v>3.4286422509899328E-3</v>
      </c>
      <c r="AX66">
        <v>3.0167857671000201E-4</v>
      </c>
      <c r="AY66">
        <v>4.5893555963394395E-4</v>
      </c>
      <c r="BB66">
        <v>5.2837377087924353E-2</v>
      </c>
      <c r="BC66">
        <v>4.5597193514313121E-2</v>
      </c>
      <c r="BE66">
        <v>38350.384545760957</v>
      </c>
      <c r="BF66">
        <v>20.850655674651424</v>
      </c>
      <c r="BG66">
        <v>40384.271572845639</v>
      </c>
      <c r="BH66">
        <v>20.807533310483688</v>
      </c>
    </row>
    <row r="67" spans="3:60" x14ac:dyDescent="0.2">
      <c r="C67" s="138">
        <v>29035.161665958924</v>
      </c>
      <c r="D67">
        <v>21.498693750841571</v>
      </c>
      <c r="E67" s="138">
        <v>30833.633566618737</v>
      </c>
      <c r="F67" s="138">
        <v>21.485601904177948</v>
      </c>
      <c r="G67" s="138">
        <v>-1798.4719006598134</v>
      </c>
      <c r="H67" s="138">
        <v>1.3091846663623841E-2</v>
      </c>
      <c r="J67" s="135">
        <v>6000</v>
      </c>
      <c r="L67">
        <v>1</v>
      </c>
      <c r="N67" s="138"/>
      <c r="O67" s="138"/>
      <c r="P67" s="138"/>
      <c r="R67">
        <v>280.50883834142064</v>
      </c>
      <c r="S67">
        <v>73.086391637419155</v>
      </c>
      <c r="T67">
        <v>251.97193556455267</v>
      </c>
      <c r="U67">
        <v>87.409849294040782</v>
      </c>
      <c r="X67">
        <v>0.68471612621587719</v>
      </c>
      <c r="Y67">
        <v>0.94713594224960795</v>
      </c>
      <c r="Z67">
        <v>0.72208012475730954</v>
      </c>
      <c r="AA67">
        <v>0.54506430649612359</v>
      </c>
      <c r="AB67">
        <v>0.63099510943652704</v>
      </c>
      <c r="AC67">
        <v>0.51255712503266082</v>
      </c>
      <c r="AD67">
        <v>0.48332978007146604</v>
      </c>
      <c r="AE67">
        <v>0.79829632331564293</v>
      </c>
      <c r="AH67">
        <v>0.12004329864736829</v>
      </c>
      <c r="AI67">
        <v>0.13924498679977526</v>
      </c>
      <c r="AJ67">
        <v>0.13073727068213681</v>
      </c>
      <c r="AK67">
        <v>0.11798413826585608</v>
      </c>
      <c r="AL67">
        <v>0.19011458795313974</v>
      </c>
      <c r="AM67">
        <v>0.20368740861927559</v>
      </c>
      <c r="AN67">
        <v>0.13006206462798842</v>
      </c>
      <c r="AO67">
        <v>5.8418739615657689E-2</v>
      </c>
      <c r="AR67">
        <v>8.945063296484923E-4</v>
      </c>
      <c r="AS67">
        <v>4.0982623006697539E-3</v>
      </c>
      <c r="AT67">
        <v>9.9464910333394219E-2</v>
      </c>
      <c r="AU67">
        <v>2.2296986923592277E-3</v>
      </c>
      <c r="AV67">
        <v>1.7617374064788879E-3</v>
      </c>
      <c r="AW67">
        <v>3.6044790197425902E-3</v>
      </c>
      <c r="AX67">
        <v>4.6513200651543407E-4</v>
      </c>
      <c r="AY67">
        <v>4.6577375771017504E-4</v>
      </c>
      <c r="BB67">
        <v>4.4076797964281038E-2</v>
      </c>
      <c r="BC67">
        <v>8.3063838650128563E-2</v>
      </c>
      <c r="BE67">
        <v>29035.161665958924</v>
      </c>
      <c r="BF67">
        <v>21.498693750841571</v>
      </c>
      <c r="BG67">
        <v>30833.633566618737</v>
      </c>
      <c r="BH67">
        <v>21.485601904177948</v>
      </c>
    </row>
    <row r="68" spans="3:60" x14ac:dyDescent="0.2">
      <c r="C68" s="140">
        <v>30069.428993452231</v>
      </c>
      <c r="D68">
        <v>21.149237337999207</v>
      </c>
      <c r="E68" s="138">
        <v>31672.263058073797</v>
      </c>
      <c r="F68" s="138">
        <v>21.170623415951589</v>
      </c>
      <c r="G68" s="140">
        <v>-1602.8340646215656</v>
      </c>
      <c r="H68" s="140">
        <v>-2.138607795238201E-2</v>
      </c>
      <c r="J68" s="135">
        <v>7000</v>
      </c>
      <c r="L68">
        <v>1</v>
      </c>
      <c r="N68" s="138"/>
      <c r="O68" s="138"/>
      <c r="P68" s="138"/>
      <c r="R68">
        <v>403.71740244628313</v>
      </c>
      <c r="S68">
        <v>56.263072124913961</v>
      </c>
      <c r="T68">
        <v>231.14693893375534</v>
      </c>
      <c r="U68">
        <v>104.35983358484387</v>
      </c>
      <c r="X68">
        <v>0.70376031595988997</v>
      </c>
      <c r="Y68">
        <v>0.77807626630567106</v>
      </c>
      <c r="Z68">
        <v>0.88830916520408421</v>
      </c>
      <c r="AA68">
        <v>0.87831677846789791</v>
      </c>
      <c r="AB68">
        <v>0.65496275210018273</v>
      </c>
      <c r="AC68">
        <v>0.86428612767808932</v>
      </c>
      <c r="AD68">
        <v>0.80897559424380416</v>
      </c>
      <c r="AE68">
        <v>0.74403030989779417</v>
      </c>
      <c r="AH68">
        <v>0.2214301271481155</v>
      </c>
      <c r="AI68">
        <v>2.4356189422669261E-2</v>
      </c>
      <c r="AJ68">
        <v>0.14208911576429506</v>
      </c>
      <c r="AK68">
        <v>0.23984597679672237</v>
      </c>
      <c r="AL68">
        <v>8.8108977939968081E-2</v>
      </c>
      <c r="AM68">
        <v>3.4600352083753894E-2</v>
      </c>
      <c r="AN68">
        <v>0.17309436134868128</v>
      </c>
      <c r="AO68">
        <v>0.15122613725266965</v>
      </c>
      <c r="AR68">
        <v>9.5139688026779634E-4</v>
      </c>
      <c r="AS68">
        <v>4.287193564529581E-3</v>
      </c>
      <c r="AT68">
        <v>9.9170327949701931E-2</v>
      </c>
      <c r="AU68">
        <v>1.8861532597979269E-3</v>
      </c>
      <c r="AV68">
        <v>2.0376206896471905E-3</v>
      </c>
      <c r="AW68">
        <v>3.068819076491524E-3</v>
      </c>
      <c r="AX68">
        <v>3.9062575219136011E-4</v>
      </c>
      <c r="AY68">
        <v>5.9715494273337999E-4</v>
      </c>
      <c r="BB68">
        <v>4.9694007210767138E-2</v>
      </c>
      <c r="BC68">
        <v>8.2635016609965417E-2</v>
      </c>
      <c r="BE68">
        <v>30069.428993452231</v>
      </c>
      <c r="BF68">
        <v>21.149237337999207</v>
      </c>
      <c r="BG68">
        <v>31672.263058073797</v>
      </c>
      <c r="BH68">
        <v>21.170623415951589</v>
      </c>
    </row>
    <row r="69" spans="3:60" x14ac:dyDescent="0.2">
      <c r="C69" s="138">
        <v>32509.038067714486</v>
      </c>
      <c r="D69">
        <v>21.480502373365891</v>
      </c>
      <c r="E69" s="138">
        <v>34438.273198662784</v>
      </c>
      <c r="F69" s="138">
        <v>21.466617452611789</v>
      </c>
      <c r="G69" s="138">
        <v>-1929.2351309482983</v>
      </c>
      <c r="H69" s="138">
        <v>1.3884920754101415E-2</v>
      </c>
      <c r="J69" s="135">
        <v>8000</v>
      </c>
      <c r="L69">
        <v>1</v>
      </c>
      <c r="N69" s="138"/>
      <c r="O69" s="138"/>
      <c r="P69" s="138"/>
      <c r="R69">
        <v>228.83186954495335</v>
      </c>
      <c r="S69">
        <v>59.124410947172485</v>
      </c>
      <c r="T69">
        <v>251.02837564758897</v>
      </c>
      <c r="U69">
        <v>114.9000493668691</v>
      </c>
      <c r="X69">
        <v>0.8143180572322769</v>
      </c>
      <c r="Y69">
        <v>0.79715016309244757</v>
      </c>
      <c r="Z69">
        <v>0.86234876291427465</v>
      </c>
      <c r="AA69">
        <v>0.69782743728950658</v>
      </c>
      <c r="AB69">
        <v>0.85835957906747051</v>
      </c>
      <c r="AC69">
        <v>0.67007592037268693</v>
      </c>
      <c r="AD69">
        <v>0.92563595310720193</v>
      </c>
      <c r="AE69">
        <v>0.80650155810598956</v>
      </c>
      <c r="AH69">
        <v>0.15850647120424322</v>
      </c>
      <c r="AI69">
        <v>7.1652073622325396E-2</v>
      </c>
      <c r="AJ69">
        <v>2.8827614469718488E-2</v>
      </c>
      <c r="AK69">
        <v>0.10037321845038094</v>
      </c>
      <c r="AL69">
        <v>7.939810561250249E-2</v>
      </c>
      <c r="AM69">
        <v>7.8786063655155503E-2</v>
      </c>
      <c r="AN69">
        <v>2.1872436005480944E-2</v>
      </c>
      <c r="AO69">
        <v>2.4212102734928242E-2</v>
      </c>
      <c r="AR69">
        <v>8.3569645606113377E-4</v>
      </c>
      <c r="AS69">
        <v>4.3230548900409106E-3</v>
      </c>
      <c r="AT69">
        <v>9.8788703267575134E-2</v>
      </c>
      <c r="AU69">
        <v>2.0991532298305637E-3</v>
      </c>
      <c r="AV69">
        <v>2.0220987368922971E-3</v>
      </c>
      <c r="AW69">
        <v>3.6031312193292031E-3</v>
      </c>
      <c r="AX69">
        <v>5.0292693957743051E-4</v>
      </c>
      <c r="AY69">
        <v>3.7848225519503418E-4</v>
      </c>
      <c r="BB69">
        <v>4.4881494528937811E-2</v>
      </c>
      <c r="BC69">
        <v>2.9518929229190007E-2</v>
      </c>
      <c r="BE69">
        <v>32509.038067714486</v>
      </c>
      <c r="BF69">
        <v>21.480502373365891</v>
      </c>
      <c r="BG69">
        <v>34438.273198662784</v>
      </c>
      <c r="BH69">
        <v>21.466617452611789</v>
      </c>
    </row>
    <row r="70" spans="3:60" x14ac:dyDescent="0.2">
      <c r="C70" s="138">
        <v>30421.150913563051</v>
      </c>
      <c r="D70">
        <v>20.715437783205271</v>
      </c>
      <c r="E70" s="138">
        <v>32323.49590147144</v>
      </c>
      <c r="F70" s="138">
        <v>20.682326656498972</v>
      </c>
      <c r="G70" s="138">
        <v>-1902.3449879083892</v>
      </c>
      <c r="H70" s="138">
        <v>3.3111126706298677E-2</v>
      </c>
      <c r="J70" s="135">
        <v>9000</v>
      </c>
      <c r="L70">
        <v>1</v>
      </c>
      <c r="N70" s="138"/>
      <c r="O70" s="138"/>
      <c r="P70" s="138"/>
      <c r="R70">
        <v>227.93519471335577</v>
      </c>
      <c r="S70">
        <v>69.309053119844123</v>
      </c>
      <c r="T70">
        <v>266.50474496077663</v>
      </c>
      <c r="U70">
        <v>97.669581640773856</v>
      </c>
      <c r="X70">
        <v>0.75556762454935544</v>
      </c>
      <c r="Y70">
        <v>0.86170038932479032</v>
      </c>
      <c r="Z70">
        <v>0.76395581642506893</v>
      </c>
      <c r="AA70">
        <v>0.63558987646350451</v>
      </c>
      <c r="AB70">
        <v>0.92535496246381355</v>
      </c>
      <c r="AC70">
        <v>0.88831055662110403</v>
      </c>
      <c r="AD70">
        <v>0.87881399199294363</v>
      </c>
      <c r="AE70">
        <v>0.63542494833195551</v>
      </c>
      <c r="AH70">
        <v>6.6846772359160811E-2</v>
      </c>
      <c r="AI70">
        <v>8.789993196688739E-2</v>
      </c>
      <c r="AJ70">
        <v>0.17817098543746068</v>
      </c>
      <c r="AK70">
        <v>6.9283171938335775E-2</v>
      </c>
      <c r="AL70">
        <v>0.11598481301125718</v>
      </c>
      <c r="AM70">
        <v>0.12207750971152598</v>
      </c>
      <c r="AN70">
        <v>0.26448490835961003</v>
      </c>
      <c r="AO70">
        <v>1.4663553043368638E-2</v>
      </c>
      <c r="AR70">
        <v>9.4374345975423157E-4</v>
      </c>
      <c r="AS70">
        <v>4.3580241241767187E-3</v>
      </c>
      <c r="AT70">
        <v>0.10247586592322833</v>
      </c>
      <c r="AU70">
        <v>1.8685548246739228E-3</v>
      </c>
      <c r="AV70">
        <v>1.86358186599445E-3</v>
      </c>
      <c r="AW70">
        <v>3.8402258201949424E-3</v>
      </c>
      <c r="AX70">
        <v>4.3446610767761129E-4</v>
      </c>
      <c r="AY70">
        <v>4.5054199437155606E-4</v>
      </c>
      <c r="BB70">
        <v>5.4859760230273613E-2</v>
      </c>
      <c r="BC70">
        <v>5.920530516509992E-2</v>
      </c>
      <c r="BE70">
        <v>30421.150913563051</v>
      </c>
      <c r="BF70">
        <v>20.715437783205271</v>
      </c>
      <c r="BG70">
        <v>32323.49590147144</v>
      </c>
      <c r="BH70">
        <v>20.682326656498972</v>
      </c>
    </row>
    <row r="71" spans="3:60" x14ac:dyDescent="0.2">
      <c r="C71" s="138">
        <v>35681.309625665002</v>
      </c>
      <c r="D71">
        <v>21.192389163666661</v>
      </c>
      <c r="E71" s="138">
        <v>37991.843755688671</v>
      </c>
      <c r="F71" s="138">
        <v>21.190961359879207</v>
      </c>
      <c r="G71" s="138">
        <v>-2310.5341300236687</v>
      </c>
      <c r="H71" s="138">
        <v>1.4278037874539962E-3</v>
      </c>
      <c r="J71" s="135">
        <v>10000</v>
      </c>
      <c r="L71">
        <v>1</v>
      </c>
      <c r="N71" s="138"/>
      <c r="O71" s="138"/>
      <c r="P71" s="138"/>
      <c r="R71">
        <v>216.79238272350781</v>
      </c>
      <c r="S71">
        <v>66.057029479606001</v>
      </c>
      <c r="T71">
        <v>211.73983521841228</v>
      </c>
      <c r="U71">
        <v>79.196350109737566</v>
      </c>
      <c r="X71">
        <v>0.79347308559432306</v>
      </c>
      <c r="Y71">
        <v>0.73624754320186026</v>
      </c>
      <c r="Z71">
        <v>0.70534770935221347</v>
      </c>
      <c r="AA71">
        <v>0.85057579567949726</v>
      </c>
      <c r="AB71">
        <v>0.74250646935747988</v>
      </c>
      <c r="AC71">
        <v>0.6088747768122279</v>
      </c>
      <c r="AD71">
        <v>0.64082053591141175</v>
      </c>
      <c r="AE71">
        <v>0.7333945038222085</v>
      </c>
      <c r="AH71">
        <v>3.1387041793898396E-2</v>
      </c>
      <c r="AI71">
        <v>0.11499536917115694</v>
      </c>
      <c r="AJ71">
        <v>3.8953647504263555E-2</v>
      </c>
      <c r="AK71">
        <v>0.13058258525458</v>
      </c>
      <c r="AL71">
        <v>5.1004325540235707E-2</v>
      </c>
      <c r="AM71">
        <v>0.24714825423440823</v>
      </c>
      <c r="AN71">
        <v>0.13045059026061823</v>
      </c>
      <c r="AO71">
        <v>0.27341890864351259</v>
      </c>
      <c r="AR71">
        <v>9.2419184312964031E-4</v>
      </c>
      <c r="AS71">
        <v>4.5650727679708014E-3</v>
      </c>
      <c r="AT71">
        <v>9.9828099708031415E-2</v>
      </c>
      <c r="AU71">
        <v>2.1042815234331158E-3</v>
      </c>
      <c r="AV71">
        <v>2.2961862199908367E-3</v>
      </c>
      <c r="AW71">
        <v>3.369790853316909E-3</v>
      </c>
      <c r="AX71">
        <v>4.189986377594046E-4</v>
      </c>
      <c r="AY71">
        <v>5.0881410886804979E-4</v>
      </c>
      <c r="BB71">
        <v>4.5668021074968798E-2</v>
      </c>
      <c r="BC71">
        <v>3.4161587573796268E-2</v>
      </c>
      <c r="BE71">
        <v>35681.309625665002</v>
      </c>
      <c r="BF71">
        <v>21.192389163666661</v>
      </c>
      <c r="BG71">
        <v>37991.843755688671</v>
      </c>
      <c r="BH71">
        <v>21.190961359879207</v>
      </c>
    </row>
    <row r="72" spans="3:60" x14ac:dyDescent="0.2">
      <c r="C72" s="138">
        <v>33838.846755231498</v>
      </c>
      <c r="D72">
        <v>21.071930427288478</v>
      </c>
      <c r="E72" s="138">
        <v>35936.912391145903</v>
      </c>
      <c r="F72" s="138">
        <v>21.035536225307148</v>
      </c>
      <c r="G72" s="138">
        <v>-2098.065635914405</v>
      </c>
      <c r="H72" s="138">
        <v>3.6394201981330809E-2</v>
      </c>
      <c r="J72" s="135">
        <v>11000</v>
      </c>
      <c r="L72">
        <v>1</v>
      </c>
      <c r="N72" s="138"/>
      <c r="O72" s="138"/>
      <c r="P72" s="138"/>
      <c r="R72">
        <v>270.00809075620788</v>
      </c>
      <c r="S72">
        <v>55.561338424378569</v>
      </c>
      <c r="T72">
        <v>229.74315908165104</v>
      </c>
      <c r="U72">
        <v>90.492734662502997</v>
      </c>
      <c r="X72">
        <v>0.69995959433869781</v>
      </c>
      <c r="Y72">
        <v>0.52793673346288517</v>
      </c>
      <c r="Z72">
        <v>0.78605702047428205</v>
      </c>
      <c r="AA72">
        <v>0.60017393136660846</v>
      </c>
      <c r="AB72">
        <v>0.90782479579613806</v>
      </c>
      <c r="AC72">
        <v>0.80303656354763642</v>
      </c>
      <c r="AD72">
        <v>0.54998782879131758</v>
      </c>
      <c r="AE72">
        <v>0.62849195366733113</v>
      </c>
      <c r="AH72">
        <v>5.7733719967090869E-2</v>
      </c>
      <c r="AI72">
        <v>0.12280300922110898</v>
      </c>
      <c r="AJ72">
        <v>7.1455488875683981E-2</v>
      </c>
      <c r="AK72">
        <v>0.13536669324359107</v>
      </c>
      <c r="AL72">
        <v>6.4344292701988159E-2</v>
      </c>
      <c r="AM72">
        <v>0.11657321099411011</v>
      </c>
      <c r="AN72">
        <v>0.18414944238109965</v>
      </c>
      <c r="AO72">
        <v>6.3142550202949121E-2</v>
      </c>
      <c r="AR72">
        <v>9.7936014205679545E-4</v>
      </c>
      <c r="AS72">
        <v>4.5183630178361467E-3</v>
      </c>
      <c r="AT72">
        <v>9.8108396643264789E-2</v>
      </c>
      <c r="AU72">
        <v>2.0831588296028603E-3</v>
      </c>
      <c r="AV72">
        <v>2.0446501614801438E-3</v>
      </c>
      <c r="AW72">
        <v>3.7786217475390682E-3</v>
      </c>
      <c r="AX72">
        <v>3.4382713717652827E-4</v>
      </c>
      <c r="AY72">
        <v>6.3074540293328596E-4</v>
      </c>
      <c r="BB72">
        <v>4.8721223028057495E-2</v>
      </c>
      <c r="BC72">
        <v>4.003540809082775E-2</v>
      </c>
      <c r="BE72">
        <v>33838.846755231498</v>
      </c>
      <c r="BF72">
        <v>21.071930427288478</v>
      </c>
      <c r="BG72">
        <v>35936.912391145903</v>
      </c>
      <c r="BH72">
        <v>21.035536225307148</v>
      </c>
    </row>
    <row r="73" spans="3:60" x14ac:dyDescent="0.2">
      <c r="C73" s="138">
        <v>28314.282779928915</v>
      </c>
      <c r="D73">
        <v>20.76332038440243</v>
      </c>
      <c r="E73" s="138">
        <v>30304.763731682517</v>
      </c>
      <c r="F73" s="138">
        <v>20.73043315313501</v>
      </c>
      <c r="G73" s="138">
        <v>-1990.4809517536014</v>
      </c>
      <c r="H73" s="138">
        <v>3.2887231267419992E-2</v>
      </c>
      <c r="J73" s="135">
        <v>12000</v>
      </c>
      <c r="L73">
        <v>1</v>
      </c>
      <c r="N73" s="138"/>
      <c r="O73" s="138"/>
      <c r="P73" s="138"/>
      <c r="R73">
        <v>177.40862444226462</v>
      </c>
      <c r="S73">
        <v>66.278100910601594</v>
      </c>
      <c r="T73">
        <v>231.71669274820815</v>
      </c>
      <c r="U73">
        <v>88.831722690212075</v>
      </c>
      <c r="X73">
        <v>0.37302249356122907</v>
      </c>
      <c r="Y73">
        <v>0.69276950102509061</v>
      </c>
      <c r="Z73">
        <v>0.74555150424369099</v>
      </c>
      <c r="AA73">
        <v>0.89886037010244813</v>
      </c>
      <c r="AB73">
        <v>0.92297139282062479</v>
      </c>
      <c r="AC73">
        <v>0.85074329077590849</v>
      </c>
      <c r="AD73">
        <v>0.87313544907142082</v>
      </c>
      <c r="AE73">
        <v>0.89294928290608189</v>
      </c>
      <c r="AH73">
        <v>8.4559906395758277E-2</v>
      </c>
      <c r="AI73">
        <v>7.4057789404659458E-2</v>
      </c>
      <c r="AJ73">
        <v>4.9499260301255843E-2</v>
      </c>
      <c r="AK73">
        <v>5.7065894147520391E-2</v>
      </c>
      <c r="AL73">
        <v>0.24841554591341342</v>
      </c>
      <c r="AM73">
        <v>0.11090103680164476</v>
      </c>
      <c r="AN73">
        <v>0.10581028629149092</v>
      </c>
      <c r="AO73">
        <v>0.17452837440250379</v>
      </c>
      <c r="AR73">
        <v>8.1656360501945811E-4</v>
      </c>
      <c r="AS73">
        <v>4.3982767748813731E-3</v>
      </c>
      <c r="AT73">
        <v>9.9994249844915548E-2</v>
      </c>
      <c r="AU73">
        <v>2.093061591685319E-3</v>
      </c>
      <c r="AV73">
        <v>2.105207231870021E-3</v>
      </c>
      <c r="AW73">
        <v>3.3376112165162857E-3</v>
      </c>
      <c r="AX73">
        <v>3.2648697931543763E-4</v>
      </c>
      <c r="AY73">
        <v>4.0441262474725159E-4</v>
      </c>
      <c r="BB73">
        <v>4.0861151399631784E-2</v>
      </c>
      <c r="BC73">
        <v>5.8046514461829068E-2</v>
      </c>
      <c r="BE73">
        <v>28314.282779928915</v>
      </c>
      <c r="BF73">
        <v>20.76332038440243</v>
      </c>
      <c r="BG73">
        <v>30304.763731682517</v>
      </c>
      <c r="BH73">
        <v>20.73043315313501</v>
      </c>
    </row>
    <row r="74" spans="3:60" x14ac:dyDescent="0.2">
      <c r="C74" s="138">
        <v>31418.926388140953</v>
      </c>
      <c r="D74">
        <v>21.347248608840019</v>
      </c>
      <c r="E74" s="138">
        <v>33558.013560313098</v>
      </c>
      <c r="F74" s="138">
        <v>21.339077245053364</v>
      </c>
      <c r="G74" s="138">
        <v>-2139.0871721721451</v>
      </c>
      <c r="H74" s="138">
        <v>8.1713637866549504E-3</v>
      </c>
      <c r="J74" s="135">
        <v>13000</v>
      </c>
      <c r="L74">
        <v>1</v>
      </c>
      <c r="N74" s="138"/>
      <c r="O74" s="138"/>
      <c r="P74" s="138"/>
      <c r="R74">
        <v>259.40693231269717</v>
      </c>
      <c r="S74">
        <v>55.279693224985962</v>
      </c>
      <c r="T74">
        <v>239.76136411397346</v>
      </c>
      <c r="U74">
        <v>108.78772043185559</v>
      </c>
      <c r="X74">
        <v>0.73083915693721035</v>
      </c>
      <c r="Y74">
        <v>0.60873897212203187</v>
      </c>
      <c r="Z74">
        <v>0.61439759329699362</v>
      </c>
      <c r="AA74">
        <v>0.94191756790579961</v>
      </c>
      <c r="AB74">
        <v>0.84876898512743615</v>
      </c>
      <c r="AC74">
        <v>0.69297440573571534</v>
      </c>
      <c r="AD74">
        <v>0.64772768876924258</v>
      </c>
      <c r="AE74">
        <v>0.823076907759837</v>
      </c>
      <c r="AH74">
        <v>2.0941945018334462E-2</v>
      </c>
      <c r="AI74">
        <v>5.9426495801721213E-2</v>
      </c>
      <c r="AJ74">
        <v>4.0077469888251338E-2</v>
      </c>
      <c r="AK74">
        <v>0.27580568469772215</v>
      </c>
      <c r="AL74">
        <v>0.14148726018837232</v>
      </c>
      <c r="AM74">
        <v>0.19664139116572721</v>
      </c>
      <c r="AN74">
        <v>6.3844616093328144E-2</v>
      </c>
      <c r="AO74">
        <v>0.17283610844429698</v>
      </c>
      <c r="AR74">
        <v>1.0168352096044941E-3</v>
      </c>
      <c r="AS74">
        <v>4.1994363115432634E-3</v>
      </c>
      <c r="AT74">
        <v>9.9549413880113305E-2</v>
      </c>
      <c r="AU74">
        <v>2.0498602960220547E-3</v>
      </c>
      <c r="AV74">
        <v>1.9575340174908403E-3</v>
      </c>
      <c r="AW74">
        <v>3.5001506494233281E-3</v>
      </c>
      <c r="AX74">
        <v>3.3929404787102634E-4</v>
      </c>
      <c r="AY74">
        <v>4.496709798895715E-4</v>
      </c>
      <c r="BB74">
        <v>5.9266456673733314E-2</v>
      </c>
      <c r="BC74">
        <v>7.843294857679306E-2</v>
      </c>
      <c r="BE74">
        <v>31418.926388140953</v>
      </c>
      <c r="BF74">
        <v>21.347248608840019</v>
      </c>
      <c r="BG74">
        <v>33558.013560313098</v>
      </c>
      <c r="BH74">
        <v>21.339077245053364</v>
      </c>
    </row>
    <row r="75" spans="3:60" x14ac:dyDescent="0.2">
      <c r="C75" s="138">
        <v>34263.682360919294</v>
      </c>
      <c r="D75">
        <v>21.571737061594821</v>
      </c>
      <c r="E75" s="138">
        <v>36823.460996196038</v>
      </c>
      <c r="F75" s="138">
        <v>21.561756442047777</v>
      </c>
      <c r="G75" s="138">
        <v>-2559.7786352767434</v>
      </c>
      <c r="H75" s="138">
        <v>9.9806195470435455E-3</v>
      </c>
      <c r="J75" s="135">
        <v>14000</v>
      </c>
      <c r="L75">
        <v>1</v>
      </c>
      <c r="N75" s="138"/>
      <c r="O75" s="138"/>
      <c r="P75" s="138"/>
      <c r="R75">
        <v>81.34045563696418</v>
      </c>
      <c r="S75">
        <v>56.297980904963929</v>
      </c>
      <c r="T75">
        <v>270.42600472986544</v>
      </c>
      <c r="U75">
        <v>99.202574977798022</v>
      </c>
      <c r="X75">
        <v>0.64078483831263378</v>
      </c>
      <c r="Y75">
        <v>0.85843891929158656</v>
      </c>
      <c r="Z75">
        <v>0.71815383137535227</v>
      </c>
      <c r="AA75">
        <v>0.8851277042028538</v>
      </c>
      <c r="AB75">
        <v>0.81104132314481059</v>
      </c>
      <c r="AC75">
        <v>0.60387194404139721</v>
      </c>
      <c r="AD75">
        <v>0.88439774994352516</v>
      </c>
      <c r="AE75">
        <v>0.77908865463610522</v>
      </c>
      <c r="AH75">
        <v>0.19318056096310343</v>
      </c>
      <c r="AI75">
        <v>0.14017115449805428</v>
      </c>
      <c r="AJ75">
        <v>0.1518217235554119</v>
      </c>
      <c r="AK75">
        <v>5.7639970981874677E-2</v>
      </c>
      <c r="AL75">
        <v>0.15486373613355908</v>
      </c>
      <c r="AM75">
        <v>2.8540252453671089E-2</v>
      </c>
      <c r="AN75">
        <v>1.7494445686767834E-2</v>
      </c>
      <c r="AO75">
        <v>7.0794254948630675E-2</v>
      </c>
      <c r="AR75">
        <v>5.7106810314141152E-4</v>
      </c>
      <c r="AS75">
        <v>4.4999133623029319E-3</v>
      </c>
      <c r="AT75">
        <v>9.8736171689542018E-2</v>
      </c>
      <c r="AU75">
        <v>1.6693049211172208E-3</v>
      </c>
      <c r="AV75">
        <v>1.9173002680291046E-3</v>
      </c>
      <c r="AW75">
        <v>3.5080668054614517E-3</v>
      </c>
      <c r="AX75">
        <v>4.5355110224820638E-4</v>
      </c>
      <c r="AY75">
        <v>4.1760534247328734E-4</v>
      </c>
      <c r="BB75">
        <v>4.7419831660708137E-2</v>
      </c>
      <c r="BC75">
        <v>4.1029424718195387E-2</v>
      </c>
      <c r="BE75">
        <v>34263.682360919294</v>
      </c>
      <c r="BF75">
        <v>21.571737061594821</v>
      </c>
      <c r="BG75">
        <v>36823.460996196038</v>
      </c>
      <c r="BH75">
        <v>21.561756442047777</v>
      </c>
    </row>
    <row r="76" spans="3:60" x14ac:dyDescent="0.2">
      <c r="C76" s="138">
        <v>33397.836190114147</v>
      </c>
      <c r="D76">
        <v>21.123749907330943</v>
      </c>
      <c r="E76" s="138">
        <v>35818.739736631163</v>
      </c>
      <c r="F76" s="138">
        <v>21.09771067030157</v>
      </c>
      <c r="G76" s="138">
        <v>-2420.9035465170164</v>
      </c>
      <c r="H76" s="138">
        <v>2.6039237029372941E-2</v>
      </c>
      <c r="J76" s="135">
        <v>15000</v>
      </c>
      <c r="L76">
        <v>1</v>
      </c>
      <c r="N76" s="138"/>
      <c r="O76" s="138"/>
      <c r="P76" s="138"/>
      <c r="R76">
        <v>136.51318091874492</v>
      </c>
      <c r="S76">
        <v>67.192905735939476</v>
      </c>
      <c r="T76">
        <v>220.50181825416882</v>
      </c>
      <c r="U76">
        <v>97.672575358100687</v>
      </c>
      <c r="X76">
        <v>0.67074206597927111</v>
      </c>
      <c r="Y76">
        <v>0.80964492101259389</v>
      </c>
      <c r="Z76">
        <v>0.84517416973768911</v>
      </c>
      <c r="AA76">
        <v>0.65920303673232661</v>
      </c>
      <c r="AB76">
        <v>0.83542016150495069</v>
      </c>
      <c r="AC76">
        <v>0.86721384432525861</v>
      </c>
      <c r="AD76">
        <v>0.62447808319533682</v>
      </c>
      <c r="AE76">
        <v>0.68882669189749723</v>
      </c>
      <c r="AH76">
        <v>3.9446903223735008E-2</v>
      </c>
      <c r="AI76">
        <v>5.899224205124165E-2</v>
      </c>
      <c r="AJ76">
        <v>0.10679624322792292</v>
      </c>
      <c r="AK76">
        <v>7.78635270445035E-2</v>
      </c>
      <c r="AL76">
        <v>0.26788766658513086</v>
      </c>
      <c r="AM76">
        <v>3.2110881755770926E-2</v>
      </c>
      <c r="AN76">
        <v>0.10190417397730323</v>
      </c>
      <c r="AO76">
        <v>0.24755615212029691</v>
      </c>
      <c r="AR76">
        <v>8.7027341035813904E-4</v>
      </c>
      <c r="AS76">
        <v>4.6355034647491689E-3</v>
      </c>
      <c r="AT76">
        <v>9.9176198943589075E-2</v>
      </c>
      <c r="AU76">
        <v>2.045725789096231E-3</v>
      </c>
      <c r="AV76">
        <v>2.025487777513324E-3</v>
      </c>
      <c r="AW76">
        <v>3.3068485476233931E-3</v>
      </c>
      <c r="AX76">
        <v>3.8068984364258052E-4</v>
      </c>
      <c r="AY76">
        <v>3.9022799232941264E-4</v>
      </c>
      <c r="BB76">
        <v>5.4320366919424101E-2</v>
      </c>
      <c r="BC76">
        <v>3.0145530969690363E-2</v>
      </c>
      <c r="BE76">
        <v>33397.836190114147</v>
      </c>
      <c r="BF76">
        <v>21.123749907330943</v>
      </c>
      <c r="BG76">
        <v>35818.739736631163</v>
      </c>
      <c r="BH76">
        <v>21.09771067030157</v>
      </c>
    </row>
    <row r="77" spans="3:60" x14ac:dyDescent="0.2">
      <c r="C77" s="138">
        <v>33969.48602162287</v>
      </c>
      <c r="D77">
        <v>21.543314270186396</v>
      </c>
      <c r="E77" s="138">
        <v>36193.235556881249</v>
      </c>
      <c r="F77" s="138">
        <v>21.5379582459068</v>
      </c>
      <c r="G77" s="138">
        <v>-2223.7495352583792</v>
      </c>
      <c r="H77" s="138">
        <v>5.3560242795960278E-3</v>
      </c>
      <c r="J77" s="135">
        <v>16000</v>
      </c>
      <c r="L77">
        <v>1</v>
      </c>
      <c r="N77" s="138"/>
      <c r="O77" s="138"/>
      <c r="P77" s="138"/>
      <c r="R77">
        <v>266.02059743437025</v>
      </c>
      <c r="S77">
        <v>61.73103837384739</v>
      </c>
      <c r="T77">
        <v>282.6965281715386</v>
      </c>
      <c r="U77">
        <v>101.8821863941656</v>
      </c>
      <c r="X77">
        <v>0.71409339668541727</v>
      </c>
      <c r="Y77">
        <v>0.8063814900687617</v>
      </c>
      <c r="Z77">
        <v>0.64073195410112083</v>
      </c>
      <c r="AA77">
        <v>0.75463150250555611</v>
      </c>
      <c r="AB77">
        <v>0.9041740474914175</v>
      </c>
      <c r="AC77">
        <v>0.60824930047511261</v>
      </c>
      <c r="AD77">
        <v>0.62235666401225898</v>
      </c>
      <c r="AE77">
        <v>0.82101607023384449</v>
      </c>
      <c r="AH77">
        <v>0.23476514660285874</v>
      </c>
      <c r="AI77">
        <v>0.16109518719067462</v>
      </c>
      <c r="AJ77">
        <v>0.10784463981841175</v>
      </c>
      <c r="AK77">
        <v>5.9204631831279886E-2</v>
      </c>
      <c r="AL77">
        <v>0.16629438526213158</v>
      </c>
      <c r="AM77">
        <v>8.7902106198849417E-3</v>
      </c>
      <c r="AN77">
        <v>0.28635576471428803</v>
      </c>
      <c r="AO77">
        <v>7.4106108425006534E-2</v>
      </c>
      <c r="AR77">
        <v>9.1165790704550442E-4</v>
      </c>
      <c r="AS77">
        <v>4.0996578568948151E-3</v>
      </c>
      <c r="AT77">
        <v>0.10026044642596954</v>
      </c>
      <c r="AU77">
        <v>1.7799140882655156E-3</v>
      </c>
      <c r="AV77">
        <v>1.9732157295500119E-3</v>
      </c>
      <c r="AW77">
        <v>3.437885955996034E-3</v>
      </c>
      <c r="AX77">
        <v>4.2058165861169616E-4</v>
      </c>
      <c r="AY77">
        <v>3.8919943708008031E-4</v>
      </c>
      <c r="BB77">
        <v>4.9350096871780949E-2</v>
      </c>
      <c r="BC77">
        <v>9.3280349059375101E-2</v>
      </c>
      <c r="BE77">
        <v>33969.48602162287</v>
      </c>
      <c r="BF77">
        <v>21.543314270186396</v>
      </c>
      <c r="BG77">
        <v>36193.235556881249</v>
      </c>
      <c r="BH77">
        <v>21.5379582459068</v>
      </c>
    </row>
    <row r="78" spans="3:60" x14ac:dyDescent="0.2">
      <c r="C78" s="138">
        <v>24410.045152071692</v>
      </c>
      <c r="D78">
        <v>20.147875256768497</v>
      </c>
      <c r="E78" s="138">
        <v>26307.24372901782</v>
      </c>
      <c r="F78" s="138">
        <v>20.088884649777476</v>
      </c>
      <c r="G78" s="138">
        <v>-1897.198576946128</v>
      </c>
      <c r="H78" s="138">
        <v>5.8990606991020655E-2</v>
      </c>
      <c r="J78" s="135">
        <v>17000</v>
      </c>
      <c r="L78">
        <v>1</v>
      </c>
      <c r="N78" s="138"/>
      <c r="O78" s="138"/>
      <c r="P78" s="138"/>
      <c r="R78">
        <v>491.01412354758781</v>
      </c>
      <c r="S78">
        <v>51.891675768492235</v>
      </c>
      <c r="T78">
        <v>227.15607362969678</v>
      </c>
      <c r="U78">
        <v>88.710936129219874</v>
      </c>
      <c r="X78">
        <v>0.64397021128976295</v>
      </c>
      <c r="Y78">
        <v>0.68163917694536136</v>
      </c>
      <c r="Z78">
        <v>0.73125106607374402</v>
      </c>
      <c r="AA78">
        <v>0.87573801578232358</v>
      </c>
      <c r="AB78">
        <v>0.91165434931966938</v>
      </c>
      <c r="AC78">
        <v>0.53945310392862977</v>
      </c>
      <c r="AD78">
        <v>0.76219431094756418</v>
      </c>
      <c r="AE78">
        <v>0.77769805314484264</v>
      </c>
      <c r="AH78">
        <v>0.26978875952991188</v>
      </c>
      <c r="AI78">
        <v>1.97039309625342E-2</v>
      </c>
      <c r="AJ78">
        <v>0.15686435719883451</v>
      </c>
      <c r="AK78">
        <v>0.18540755723310165</v>
      </c>
      <c r="AL78">
        <v>7.4208710966739644E-2</v>
      </c>
      <c r="AM78">
        <v>0.10888329671302033</v>
      </c>
      <c r="AN78">
        <v>1.0947264337432872E-2</v>
      </c>
      <c r="AO78">
        <v>8.061980703275351E-2</v>
      </c>
      <c r="AR78">
        <v>8.559817422778926E-4</v>
      </c>
      <c r="AS78">
        <v>4.3796502564694955E-3</v>
      </c>
      <c r="AT78">
        <v>0.10037789544780451</v>
      </c>
      <c r="AU78">
        <v>1.9914405493901485E-3</v>
      </c>
      <c r="AV78">
        <v>2.1026212181869397E-3</v>
      </c>
      <c r="AW78">
        <v>3.3511373053620201E-3</v>
      </c>
      <c r="AX78">
        <v>3.9156298230854676E-4</v>
      </c>
      <c r="AY78">
        <v>5.7207732447561721E-4</v>
      </c>
      <c r="BB78">
        <v>4.1803020418102209E-2</v>
      </c>
      <c r="BC78">
        <v>4.4900150956128988E-2</v>
      </c>
      <c r="BE78">
        <v>24410.045152071692</v>
      </c>
      <c r="BF78">
        <v>20.147875256768497</v>
      </c>
      <c r="BG78">
        <v>26307.24372901782</v>
      </c>
      <c r="BH78">
        <v>20.088884649777476</v>
      </c>
    </row>
    <row r="79" spans="3:60" x14ac:dyDescent="0.2">
      <c r="C79" s="138">
        <v>35270.143403730115</v>
      </c>
      <c r="D79">
        <v>20.89391967761588</v>
      </c>
      <c r="E79" s="138">
        <v>37312.451893942722</v>
      </c>
      <c r="F79" s="138">
        <v>20.856465005273883</v>
      </c>
      <c r="G79" s="138">
        <v>-2042.3084902126066</v>
      </c>
      <c r="H79" s="138">
        <v>3.7454672341997508E-2</v>
      </c>
      <c r="J79" s="135">
        <v>18000</v>
      </c>
      <c r="L79">
        <v>1</v>
      </c>
      <c r="N79" s="138"/>
      <c r="O79" s="138"/>
      <c r="P79" s="138"/>
      <c r="R79">
        <v>305.50343540426115</v>
      </c>
      <c r="S79">
        <v>65.30234445900426</v>
      </c>
      <c r="T79">
        <v>239.77084109003118</v>
      </c>
      <c r="U79">
        <v>97.013480903893651</v>
      </c>
      <c r="X79">
        <v>0.66277934488921153</v>
      </c>
      <c r="Y79">
        <v>0.75525756885318129</v>
      </c>
      <c r="Z79">
        <v>0.79099815748173008</v>
      </c>
      <c r="AA79">
        <v>0.6301541398312227</v>
      </c>
      <c r="AB79">
        <v>0.71295244472005503</v>
      </c>
      <c r="AC79">
        <v>0.80898559291730709</v>
      </c>
      <c r="AD79">
        <v>0.94030804888668218</v>
      </c>
      <c r="AE79">
        <v>0.45874329577441292</v>
      </c>
      <c r="AH79">
        <v>0.19751914605620735</v>
      </c>
      <c r="AI79">
        <v>0.20217185792129744</v>
      </c>
      <c r="AJ79">
        <v>0.15938267083673574</v>
      </c>
      <c r="AK79">
        <v>0.18221154039162479</v>
      </c>
      <c r="AL79">
        <v>4.2211703521061072E-2</v>
      </c>
      <c r="AM79">
        <v>0.10149364781426762</v>
      </c>
      <c r="AN79">
        <v>9.9461070011553132E-2</v>
      </c>
      <c r="AO79">
        <v>3.0035254772116993E-2</v>
      </c>
      <c r="AR79">
        <v>8.4127288665118E-4</v>
      </c>
      <c r="AS79">
        <v>4.5230317675973852E-3</v>
      </c>
      <c r="AT79">
        <v>0.10121110287869906</v>
      </c>
      <c r="AU79">
        <v>2.1097012994976128E-3</v>
      </c>
      <c r="AV79">
        <v>2.2057875435241847E-3</v>
      </c>
      <c r="AW79">
        <v>3.3538642796854877E-3</v>
      </c>
      <c r="AX79">
        <v>4.8481001680722446E-4</v>
      </c>
      <c r="AY79">
        <v>4.7695486045762348E-4</v>
      </c>
      <c r="BB79">
        <v>5.3541972709900576E-2</v>
      </c>
      <c r="BC79">
        <v>8.3523431643153456E-2</v>
      </c>
      <c r="BE79">
        <v>35270.143403730115</v>
      </c>
      <c r="BF79">
        <v>20.89391967761588</v>
      </c>
      <c r="BG79">
        <v>37312.451893942722</v>
      </c>
      <c r="BH79">
        <v>20.856465005273883</v>
      </c>
    </row>
    <row r="80" spans="3:60" x14ac:dyDescent="0.2">
      <c r="C80" s="138">
        <v>34348.504874138642</v>
      </c>
      <c r="D80">
        <v>20.87927154989535</v>
      </c>
      <c r="E80" s="138">
        <v>36585.275146675485</v>
      </c>
      <c r="F80" s="138">
        <v>20.846911243968158</v>
      </c>
      <c r="G80" s="138">
        <v>-2236.7702725368435</v>
      </c>
      <c r="H80" s="138">
        <v>3.2360305927191746E-2</v>
      </c>
      <c r="J80" s="135">
        <v>19000</v>
      </c>
      <c r="L80">
        <v>1</v>
      </c>
      <c r="N80" s="138"/>
      <c r="O80" s="138"/>
      <c r="P80" s="138"/>
      <c r="R80">
        <v>136.30243686521965</v>
      </c>
      <c r="S80">
        <v>64.975388749748092</v>
      </c>
      <c r="T80">
        <v>248.19534856558835</v>
      </c>
      <c r="U80">
        <v>83.628427589289018</v>
      </c>
      <c r="X80">
        <v>0.6928292524735542</v>
      </c>
      <c r="Y80">
        <v>0.80464477594623607</v>
      </c>
      <c r="Z80">
        <v>0.8999329895619097</v>
      </c>
      <c r="AA80">
        <v>0.88712779678933484</v>
      </c>
      <c r="AB80">
        <v>0.79065454622897902</v>
      </c>
      <c r="AC80">
        <v>0.68822428228900512</v>
      </c>
      <c r="AD80">
        <v>0.86872452610717854</v>
      </c>
      <c r="AE80">
        <v>0.49567906444975224</v>
      </c>
      <c r="AH80">
        <v>0.12734205674746124</v>
      </c>
      <c r="AI80">
        <v>0.36162501959973525</v>
      </c>
      <c r="AJ80">
        <v>0.11890534654522411</v>
      </c>
      <c r="AK80">
        <v>0.1153611714794025</v>
      </c>
      <c r="AL80">
        <v>0.12293352872039043</v>
      </c>
      <c r="AM80">
        <v>0.1465571490273665</v>
      </c>
      <c r="AN80">
        <v>0.12014151180828725</v>
      </c>
      <c r="AO80">
        <v>2.536148727605414E-2</v>
      </c>
      <c r="AR80">
        <v>8.7631076701612991E-4</v>
      </c>
      <c r="AS80">
        <v>4.5246454794107827E-3</v>
      </c>
      <c r="AT80">
        <v>9.8706797518009648E-2</v>
      </c>
      <c r="AU80">
        <v>1.9754142926273243E-3</v>
      </c>
      <c r="AV80">
        <v>1.8439345497918431E-3</v>
      </c>
      <c r="AW80">
        <v>3.2136244135853032E-3</v>
      </c>
      <c r="AX80">
        <v>4.5492719891848665E-4</v>
      </c>
      <c r="AY80">
        <v>5.2829493348505174E-4</v>
      </c>
      <c r="BB80">
        <v>4.6779749053135672E-2</v>
      </c>
      <c r="BC80">
        <v>4.8584269349672526E-2</v>
      </c>
      <c r="BE80">
        <v>34348.504874138642</v>
      </c>
      <c r="BF80">
        <v>20.87927154989535</v>
      </c>
      <c r="BG80">
        <v>36585.275146675485</v>
      </c>
      <c r="BH80">
        <v>20.846911243968158</v>
      </c>
    </row>
    <row r="81" spans="3:60" x14ac:dyDescent="0.2">
      <c r="C81" s="138">
        <v>33859.97236951899</v>
      </c>
      <c r="D81">
        <v>21.404255667051295</v>
      </c>
      <c r="E81" s="138">
        <v>35562.669968192218</v>
      </c>
      <c r="F81" s="138">
        <v>21.370892250276317</v>
      </c>
      <c r="G81" s="138">
        <v>-1702.6975986732286</v>
      </c>
      <c r="H81" s="138">
        <v>3.336341677497856E-2</v>
      </c>
      <c r="J81" s="135">
        <v>20000</v>
      </c>
      <c r="L81">
        <v>1</v>
      </c>
      <c r="N81" s="138"/>
      <c r="O81" s="138"/>
      <c r="P81" s="138"/>
      <c r="R81">
        <v>461.80709125075282</v>
      </c>
      <c r="S81">
        <v>62.975294852282268</v>
      </c>
      <c r="T81">
        <v>184.79448427755204</v>
      </c>
      <c r="U81">
        <v>78.049944891746847</v>
      </c>
      <c r="X81">
        <v>0.83636059032915044</v>
      </c>
      <c r="Y81">
        <v>0.96907135554034207</v>
      </c>
      <c r="Z81">
        <v>0.76589964738490834</v>
      </c>
      <c r="AA81">
        <v>0.54356492195150341</v>
      </c>
      <c r="AB81">
        <v>0.43616387434931247</v>
      </c>
      <c r="AC81">
        <v>0.59260051064663244</v>
      </c>
      <c r="AD81">
        <v>0.70846616773769733</v>
      </c>
      <c r="AE81">
        <v>0.49502654937427815</v>
      </c>
      <c r="AH81">
        <v>0.20057557901245038</v>
      </c>
      <c r="AI81">
        <v>0.19916037105690587</v>
      </c>
      <c r="AJ81">
        <v>8.6592071147291838E-2</v>
      </c>
      <c r="AK81">
        <v>4.9286262979158502E-2</v>
      </c>
      <c r="AL81">
        <v>0.18782960581381758</v>
      </c>
      <c r="AM81">
        <v>0.17457631665975848</v>
      </c>
      <c r="AN81">
        <v>5.8855622988781775E-2</v>
      </c>
      <c r="AO81">
        <v>0.10934446618038574</v>
      </c>
      <c r="AR81">
        <v>9.4855649189251601E-4</v>
      </c>
      <c r="AS81">
        <v>4.4656272009139329E-3</v>
      </c>
      <c r="AT81">
        <v>9.9456866416845618E-2</v>
      </c>
      <c r="AU81">
        <v>2.0977661133023684E-3</v>
      </c>
      <c r="AV81">
        <v>2.0880784620603832E-3</v>
      </c>
      <c r="AW81">
        <v>3.5845650156567377E-3</v>
      </c>
      <c r="AX81">
        <v>3.9875372595654657E-4</v>
      </c>
      <c r="AY81">
        <v>4.2233440913568135E-4</v>
      </c>
      <c r="BB81">
        <v>4.7762127172920617E-2</v>
      </c>
      <c r="BC81">
        <v>5.9017787992372561E-2</v>
      </c>
      <c r="BE81">
        <v>33859.97236951899</v>
      </c>
      <c r="BF81">
        <v>21.404255667051295</v>
      </c>
      <c r="BG81">
        <v>35562.669968192218</v>
      </c>
      <c r="BH81">
        <v>21.370892250276317</v>
      </c>
    </row>
    <row r="82" spans="3:60" x14ac:dyDescent="0.2">
      <c r="C82" s="138">
        <v>32855.181120870606</v>
      </c>
      <c r="D82">
        <v>21.214482115025074</v>
      </c>
      <c r="E82" s="138">
        <v>35069.823360742994</v>
      </c>
      <c r="F82" s="138">
        <v>21.220601697187533</v>
      </c>
      <c r="G82" s="138">
        <v>-2214.642239872388</v>
      </c>
      <c r="H82" s="138">
        <v>-6.1195821624586699E-3</v>
      </c>
      <c r="J82" s="135">
        <v>21000</v>
      </c>
      <c r="L82">
        <v>1</v>
      </c>
      <c r="N82" s="138"/>
      <c r="O82" s="138"/>
      <c r="P82" s="138"/>
      <c r="R82">
        <v>150.13224887856228</v>
      </c>
      <c r="S82">
        <v>70.393139052842258</v>
      </c>
      <c r="T82">
        <v>286.18649318632623</v>
      </c>
      <c r="U82">
        <v>74.655899975795791</v>
      </c>
      <c r="X82">
        <v>0.92034370398274523</v>
      </c>
      <c r="Y82">
        <v>0.5479284190485455</v>
      </c>
      <c r="Z82">
        <v>0.66144891264181538</v>
      </c>
      <c r="AA82">
        <v>0.98187878251430649</v>
      </c>
      <c r="AB82">
        <v>0.86114525407711251</v>
      </c>
      <c r="AC82">
        <v>0.81217809086275694</v>
      </c>
      <c r="AD82">
        <v>0.78186620456207701</v>
      </c>
      <c r="AE82">
        <v>0.82741140599485585</v>
      </c>
      <c r="AH82">
        <v>9.1576887831431808E-2</v>
      </c>
      <c r="AI82">
        <v>6.3382606301494171E-2</v>
      </c>
      <c r="AJ82">
        <v>0.150243775478482</v>
      </c>
      <c r="AK82">
        <v>9.4315062252545712E-2</v>
      </c>
      <c r="AL82">
        <v>5.9717018986879644E-2</v>
      </c>
      <c r="AM82">
        <v>1.9955754516800983E-2</v>
      </c>
      <c r="AN82">
        <v>5.0914794279482312E-2</v>
      </c>
      <c r="AO82">
        <v>0.13068640041421509</v>
      </c>
      <c r="AR82">
        <v>8.9757245913524297E-4</v>
      </c>
      <c r="AS82">
        <v>4.3460202897762428E-3</v>
      </c>
      <c r="AT82">
        <v>0.10047650131033192</v>
      </c>
      <c r="AU82">
        <v>2.0767823835262655E-3</v>
      </c>
      <c r="AV82">
        <v>2.0012736940868692E-3</v>
      </c>
      <c r="AW82">
        <v>3.2313309181031613E-3</v>
      </c>
      <c r="AX82">
        <v>5.7953313391445604E-4</v>
      </c>
      <c r="AY82">
        <v>5.2626322303073181E-4</v>
      </c>
      <c r="BB82">
        <v>4.5080743795067206E-2</v>
      </c>
      <c r="BC82">
        <v>3.8919469842052787E-2</v>
      </c>
      <c r="BE82">
        <v>32855.181120870606</v>
      </c>
      <c r="BF82">
        <v>21.214482115025074</v>
      </c>
      <c r="BG82">
        <v>35069.823360742994</v>
      </c>
      <c r="BH82">
        <v>21.220601697187533</v>
      </c>
    </row>
    <row r="83" spans="3:60" x14ac:dyDescent="0.2">
      <c r="C83" s="138">
        <v>30784.009865903496</v>
      </c>
      <c r="D83">
        <v>19.961158917786641</v>
      </c>
      <c r="E83" s="138">
        <v>32785.54620690849</v>
      </c>
      <c r="F83" s="138">
        <v>19.887559147026874</v>
      </c>
      <c r="G83" s="138">
        <v>-2001.536341004994</v>
      </c>
      <c r="H83" s="138">
        <v>7.3599770759766869E-2</v>
      </c>
      <c r="J83" s="135">
        <v>22000</v>
      </c>
      <c r="L83">
        <v>1</v>
      </c>
      <c r="N83" s="138"/>
      <c r="O83" s="138"/>
      <c r="P83" s="138"/>
      <c r="R83">
        <v>195.77308652998096</v>
      </c>
      <c r="S83">
        <v>69.392030026781512</v>
      </c>
      <c r="T83">
        <v>215.27206393321632</v>
      </c>
      <c r="U83">
        <v>103.39564350452282</v>
      </c>
      <c r="X83">
        <v>0.82016153812950465</v>
      </c>
      <c r="Y83">
        <v>0.50389202275639922</v>
      </c>
      <c r="Z83">
        <v>0.7983702109906341</v>
      </c>
      <c r="AA83">
        <v>0.82999737275692764</v>
      </c>
      <c r="AB83">
        <v>0.91558081356413834</v>
      </c>
      <c r="AC83">
        <v>0.70184538284389564</v>
      </c>
      <c r="AD83">
        <v>0.83130559197525655</v>
      </c>
      <c r="AE83">
        <v>0.82540213819310437</v>
      </c>
      <c r="AH83">
        <v>6.7733587451542454E-2</v>
      </c>
      <c r="AI83">
        <v>0.11726980432301704</v>
      </c>
      <c r="AJ83">
        <v>0.16189215199907747</v>
      </c>
      <c r="AK83">
        <v>0.20905615240486641</v>
      </c>
      <c r="AL83">
        <v>2.5420937540271416E-2</v>
      </c>
      <c r="AM83">
        <v>7.2390285388817088E-2</v>
      </c>
      <c r="AN83">
        <v>0.11570086194574936</v>
      </c>
      <c r="AO83">
        <v>0.12706514183576179</v>
      </c>
      <c r="AR83">
        <v>1.1187337865318225E-3</v>
      </c>
      <c r="AS83">
        <v>4.0836150710265974E-3</v>
      </c>
      <c r="AT83">
        <v>0.10086736730280588</v>
      </c>
      <c r="AU83">
        <v>1.8265470002671194E-3</v>
      </c>
      <c r="AV83">
        <v>1.8300708713956677E-3</v>
      </c>
      <c r="AW83">
        <v>3.49482685113367E-3</v>
      </c>
      <c r="AX83">
        <v>4.2447668934908478E-4</v>
      </c>
      <c r="AY83">
        <v>5.0053023880891612E-4</v>
      </c>
      <c r="BB83">
        <v>5.1046176799865672E-2</v>
      </c>
      <c r="BC83">
        <v>1.4882221509072322E-2</v>
      </c>
      <c r="BE83">
        <v>30784.009865903496</v>
      </c>
      <c r="BF83">
        <v>19.961158917786641</v>
      </c>
      <c r="BG83">
        <v>32785.54620690849</v>
      </c>
      <c r="BH83">
        <v>19.887559147026874</v>
      </c>
    </row>
    <row r="84" spans="3:60" x14ac:dyDescent="0.2">
      <c r="C84" s="138">
        <v>32020.747322408613</v>
      </c>
      <c r="D84">
        <v>20.324076338410961</v>
      </c>
      <c r="E84" s="138">
        <v>33659.02183566436</v>
      </c>
      <c r="F84" s="138">
        <v>20.270920593838188</v>
      </c>
      <c r="G84" s="138">
        <v>-1638.2745132557466</v>
      </c>
      <c r="H84" s="138">
        <v>5.31557445727735E-2</v>
      </c>
      <c r="J84" s="135">
        <v>23000</v>
      </c>
      <c r="L84">
        <v>1</v>
      </c>
      <c r="N84" s="138"/>
      <c r="O84" s="138"/>
      <c r="P84" s="138"/>
      <c r="R84">
        <v>499.84981869413303</v>
      </c>
      <c r="S84">
        <v>55.074473086837259</v>
      </c>
      <c r="T84">
        <v>264.86794356394824</v>
      </c>
      <c r="U84">
        <v>106.75961157069175</v>
      </c>
      <c r="X84">
        <v>0.77698641632098786</v>
      </c>
      <c r="Y84">
        <v>0.90724189754696494</v>
      </c>
      <c r="Z84">
        <v>0.82146899683714292</v>
      </c>
      <c r="AA84">
        <v>0.72656921057964119</v>
      </c>
      <c r="AB84">
        <v>0.93558247164121378</v>
      </c>
      <c r="AC84">
        <v>0.69459463029474033</v>
      </c>
      <c r="AD84">
        <v>0.89258306359359008</v>
      </c>
      <c r="AE84">
        <v>0.79254098043383503</v>
      </c>
      <c r="AH84">
        <v>1.3464252486129924E-2</v>
      </c>
      <c r="AI84">
        <v>0.12084135826519504</v>
      </c>
      <c r="AJ84">
        <v>0.17158572790392723</v>
      </c>
      <c r="AK84">
        <v>0.13444865697296315</v>
      </c>
      <c r="AL84">
        <v>0.14989657661113576</v>
      </c>
      <c r="AM84">
        <v>0.17880864741727198</v>
      </c>
      <c r="AN84">
        <v>0.19911362052176196</v>
      </c>
      <c r="AO84">
        <v>9.2959072220605288E-2</v>
      </c>
      <c r="AR84">
        <v>9.5793789136511265E-4</v>
      </c>
      <c r="AS84">
        <v>4.6949560387262723E-3</v>
      </c>
      <c r="AT84">
        <v>0.10107006342776004</v>
      </c>
      <c r="AU84">
        <v>2.0836018890886265E-3</v>
      </c>
      <c r="AV84">
        <v>2.1652526292142982E-3</v>
      </c>
      <c r="AW84">
        <v>3.4193684900546417E-3</v>
      </c>
      <c r="AX84">
        <v>4.2919101134397675E-4</v>
      </c>
      <c r="AY84">
        <v>5.2956772275913888E-4</v>
      </c>
      <c r="BB84">
        <v>4.9022291722640887E-2</v>
      </c>
      <c r="BC84">
        <v>5.3102018984889088E-2</v>
      </c>
      <c r="BE84">
        <v>32020.747322408613</v>
      </c>
      <c r="BF84">
        <v>20.324076338410961</v>
      </c>
      <c r="BG84">
        <v>33659.02183566436</v>
      </c>
      <c r="BH84">
        <v>20.270920593838188</v>
      </c>
    </row>
    <row r="85" spans="3:60" x14ac:dyDescent="0.2">
      <c r="C85" s="138">
        <v>33933.263706849975</v>
      </c>
      <c r="D85">
        <v>21.281656991963732</v>
      </c>
      <c r="E85" s="138">
        <v>36217.952101073599</v>
      </c>
      <c r="F85" s="138">
        <v>21.255105089332329</v>
      </c>
      <c r="G85" s="138">
        <v>-2284.6883942236236</v>
      </c>
      <c r="H85" s="138">
        <v>2.6551902631403834E-2</v>
      </c>
      <c r="J85" s="135">
        <v>24000</v>
      </c>
      <c r="L85">
        <v>1</v>
      </c>
      <c r="N85" s="138"/>
      <c r="O85" s="138"/>
      <c r="P85" s="138"/>
      <c r="R85">
        <v>190.19035355359733</v>
      </c>
      <c r="S85">
        <v>61.019772385876891</v>
      </c>
      <c r="T85">
        <v>274.48956885211692</v>
      </c>
      <c r="U85">
        <v>78.270529014002079</v>
      </c>
      <c r="X85">
        <v>0.74804442801902415</v>
      </c>
      <c r="Y85">
        <v>0.7712437246783741</v>
      </c>
      <c r="Z85">
        <v>0.95300755700942075</v>
      </c>
      <c r="AA85">
        <v>0.68336938394041902</v>
      </c>
      <c r="AB85">
        <v>0.79170697223031927</v>
      </c>
      <c r="AC85">
        <v>0.85140239642476934</v>
      </c>
      <c r="AD85">
        <v>0.81561430859430373</v>
      </c>
      <c r="AE85">
        <v>0.87735040417054111</v>
      </c>
      <c r="AH85">
        <v>7.2069216884369403E-2</v>
      </c>
      <c r="AI85">
        <v>8.208897824342265E-2</v>
      </c>
      <c r="AJ85">
        <v>5.0457978733821851E-2</v>
      </c>
      <c r="AK85">
        <v>9.3257882061475894E-2</v>
      </c>
      <c r="AL85">
        <v>3.5709879716521842E-2</v>
      </c>
      <c r="AM85">
        <v>7.1372742830288494E-2</v>
      </c>
      <c r="AN85">
        <v>0.27326689104938651</v>
      </c>
      <c r="AO85">
        <v>4.2052230821961856E-2</v>
      </c>
      <c r="AR85">
        <v>8.6526764267114815E-4</v>
      </c>
      <c r="AS85">
        <v>4.3874692012478411E-3</v>
      </c>
      <c r="AT85">
        <v>9.9275443620146883E-2</v>
      </c>
      <c r="AU85">
        <v>2.0032675459382698E-3</v>
      </c>
      <c r="AV85">
        <v>1.9528302313979759E-3</v>
      </c>
      <c r="AW85">
        <v>3.2059328895831414E-3</v>
      </c>
      <c r="AX85">
        <v>4.0867638514541227E-4</v>
      </c>
      <c r="AY85">
        <v>3.9712906167330847E-4</v>
      </c>
      <c r="BB85">
        <v>5.3051361541409547E-2</v>
      </c>
      <c r="BC85">
        <v>7.2518261076726764E-2</v>
      </c>
      <c r="BE85">
        <v>33933.263706849975</v>
      </c>
      <c r="BF85">
        <v>21.281656991963732</v>
      </c>
      <c r="BG85">
        <v>36217.952101073599</v>
      </c>
      <c r="BH85">
        <v>21.255105089332329</v>
      </c>
    </row>
    <row r="86" spans="3:60" x14ac:dyDescent="0.2">
      <c r="C86" s="138">
        <v>28010.61374405543</v>
      </c>
      <c r="D86">
        <v>20.953003911022773</v>
      </c>
      <c r="E86" s="138">
        <v>29666.97510304067</v>
      </c>
      <c r="F86" s="138">
        <v>20.922069451315711</v>
      </c>
      <c r="G86" s="138">
        <v>-1656.3613589852393</v>
      </c>
      <c r="H86" s="138">
        <v>3.093445970706199E-2</v>
      </c>
      <c r="J86" s="135">
        <v>25000</v>
      </c>
      <c r="L86">
        <v>1</v>
      </c>
      <c r="N86" s="138"/>
      <c r="O86" s="138"/>
      <c r="P86" s="138"/>
      <c r="R86">
        <v>235.67858314138888</v>
      </c>
      <c r="S86">
        <v>62.508784204940632</v>
      </c>
      <c r="T86">
        <v>252.66146040184057</v>
      </c>
      <c r="U86">
        <v>89.558991349157935</v>
      </c>
      <c r="X86">
        <v>0.7474586574286084</v>
      </c>
      <c r="Y86">
        <v>0.7226453328416278</v>
      </c>
      <c r="Z86">
        <v>0.77483409361801348</v>
      </c>
      <c r="AA86">
        <v>0.79578893804338668</v>
      </c>
      <c r="AB86">
        <v>0.62846712865201293</v>
      </c>
      <c r="AC86">
        <v>0.86566696367931106</v>
      </c>
      <c r="AD86">
        <v>0.38020748500586671</v>
      </c>
      <c r="AE86">
        <v>0.53283139577775951</v>
      </c>
      <c r="AH86">
        <v>0.11556733536172115</v>
      </c>
      <c r="AI86">
        <v>0.5110314460080182</v>
      </c>
      <c r="AJ86">
        <v>0.10692648196106347</v>
      </c>
      <c r="AK86">
        <v>1.3273023200502831E-2</v>
      </c>
      <c r="AL86">
        <v>0.14341286899801042</v>
      </c>
      <c r="AM86">
        <v>6.338696197576843E-2</v>
      </c>
      <c r="AN86">
        <v>0.18223349236610609</v>
      </c>
      <c r="AO86">
        <v>0.2141613611012031</v>
      </c>
      <c r="AR86">
        <v>9.4998647496069566E-4</v>
      </c>
      <c r="AS86">
        <v>4.7481381779910237E-3</v>
      </c>
      <c r="AT86">
        <v>9.8845487665953566E-2</v>
      </c>
      <c r="AU86">
        <v>2.2554212476252333E-3</v>
      </c>
      <c r="AV86">
        <v>1.8244562362702903E-3</v>
      </c>
      <c r="AW86">
        <v>3.6403247220443413E-3</v>
      </c>
      <c r="AX86">
        <v>3.3757641274084201E-4</v>
      </c>
      <c r="AY86">
        <v>6.1127445823361271E-4</v>
      </c>
      <c r="BB86">
        <v>4.7539252200322513E-2</v>
      </c>
      <c r="BC86">
        <v>3.2105855285732808E-2</v>
      </c>
      <c r="BE86">
        <v>28010.61374405543</v>
      </c>
      <c r="BF86">
        <v>20.953003911022773</v>
      </c>
      <c r="BG86">
        <v>29666.97510304067</v>
      </c>
      <c r="BH86">
        <v>20.922069451315711</v>
      </c>
    </row>
    <row r="87" spans="3:60" x14ac:dyDescent="0.2">
      <c r="C87" s="138">
        <v>32936.511227849078</v>
      </c>
      <c r="D87">
        <v>21.403706673726294</v>
      </c>
      <c r="E87" s="138">
        <v>35015.523893858423</v>
      </c>
      <c r="F87" s="138">
        <v>21.421594010891209</v>
      </c>
      <c r="G87" s="138">
        <v>-2079.0126660093447</v>
      </c>
      <c r="H87" s="138">
        <v>-1.7887337164914641E-2</v>
      </c>
      <c r="J87" s="135">
        <v>27500</v>
      </c>
      <c r="L87">
        <v>1</v>
      </c>
      <c r="N87" s="138"/>
      <c r="O87" s="138"/>
      <c r="P87" s="138"/>
      <c r="R87">
        <v>29.68461899157785</v>
      </c>
      <c r="S87">
        <v>59.123574766896049</v>
      </c>
      <c r="T87">
        <v>294.05781513258614</v>
      </c>
      <c r="U87">
        <v>88.24023653499529</v>
      </c>
      <c r="X87">
        <v>0.78439188256105208</v>
      </c>
      <c r="Y87">
        <v>0.70291568814060856</v>
      </c>
      <c r="Z87">
        <v>0.79169082527594004</v>
      </c>
      <c r="AA87">
        <v>0.79406892946675045</v>
      </c>
      <c r="AB87">
        <v>0.73442080245922092</v>
      </c>
      <c r="AC87">
        <v>0.6878829275519116</v>
      </c>
      <c r="AD87">
        <v>0.67894763855825269</v>
      </c>
      <c r="AE87">
        <v>0.82856061022364158</v>
      </c>
      <c r="AH87">
        <v>5.91864362021709E-2</v>
      </c>
      <c r="AI87">
        <v>7.2371827337540884E-2</v>
      </c>
      <c r="AJ87">
        <v>1.562346099718559E-2</v>
      </c>
      <c r="AK87">
        <v>8.7567677007725164E-2</v>
      </c>
      <c r="AL87">
        <v>8.4873164336713769E-2</v>
      </c>
      <c r="AM87">
        <v>5.5368389018656705E-2</v>
      </c>
      <c r="AN87">
        <v>0.16336182115089226</v>
      </c>
      <c r="AO87">
        <v>5.2163576369058218E-2</v>
      </c>
      <c r="AR87">
        <v>9.4548689404128083E-4</v>
      </c>
      <c r="AS87">
        <v>4.6833747518226776E-3</v>
      </c>
      <c r="AT87">
        <v>0.10099405072841006</v>
      </c>
      <c r="AU87">
        <v>1.9189857885356129E-3</v>
      </c>
      <c r="AV87">
        <v>1.8437512868644905E-3</v>
      </c>
      <c r="AW87">
        <v>3.0979878220603919E-3</v>
      </c>
      <c r="AX87">
        <v>3.4372158804243984E-4</v>
      </c>
      <c r="AY87">
        <v>5.3360997912832442E-4</v>
      </c>
      <c r="BB87">
        <v>4.7037304015515605E-2</v>
      </c>
      <c r="BC87">
        <v>6.9243971710801877E-2</v>
      </c>
      <c r="BE87">
        <v>32936.511227849078</v>
      </c>
      <c r="BF87">
        <v>21.403706673726294</v>
      </c>
      <c r="BG87">
        <v>35015.523893858423</v>
      </c>
      <c r="BH87">
        <v>21.421594010891209</v>
      </c>
    </row>
    <row r="88" spans="3:60" x14ac:dyDescent="0.2">
      <c r="C88" s="138">
        <v>32390.840442615947</v>
      </c>
      <c r="D88">
        <v>21.081688673783624</v>
      </c>
      <c r="E88" s="138">
        <v>34930.095979811173</v>
      </c>
      <c r="F88" s="138">
        <v>21.054989406316817</v>
      </c>
      <c r="G88" s="138">
        <v>-2539.2555371952258</v>
      </c>
      <c r="H88" s="138">
        <v>2.6699267466806731E-2</v>
      </c>
      <c r="J88" s="135">
        <v>30000</v>
      </c>
      <c r="L88">
        <v>1</v>
      </c>
      <c r="N88" s="138"/>
      <c r="O88" s="138"/>
      <c r="P88" s="138"/>
      <c r="R88">
        <v>250.93345661333407</v>
      </c>
      <c r="S88">
        <v>64.830574263681015</v>
      </c>
      <c r="T88">
        <v>294.05137916045169</v>
      </c>
      <c r="U88">
        <v>94.408543161992554</v>
      </c>
      <c r="X88">
        <v>0.51880076768642502</v>
      </c>
      <c r="Y88">
        <v>0.67804099588831768</v>
      </c>
      <c r="Z88">
        <v>0.48554415944972762</v>
      </c>
      <c r="AA88">
        <v>0.78028284156572825</v>
      </c>
      <c r="AB88">
        <v>0.48913816500438229</v>
      </c>
      <c r="AC88">
        <v>0.71910158653490541</v>
      </c>
      <c r="AD88">
        <v>0.79895329579701846</v>
      </c>
      <c r="AE88">
        <v>0.8748843109536345</v>
      </c>
      <c r="AH88">
        <v>0.17854065250991735</v>
      </c>
      <c r="AI88">
        <v>0.26111035044868069</v>
      </c>
      <c r="AJ88">
        <v>9.5714529641770962E-2</v>
      </c>
      <c r="AK88">
        <v>9.6328693430303369E-2</v>
      </c>
      <c r="AL88">
        <v>3.5631160524040695E-2</v>
      </c>
      <c r="AM88">
        <v>1.4452775798208473E-2</v>
      </c>
      <c r="AN88">
        <v>0.13347768446201425</v>
      </c>
      <c r="AO88">
        <v>0.13714701705481169</v>
      </c>
      <c r="AR88">
        <v>8.755936088976114E-4</v>
      </c>
      <c r="AS88">
        <v>4.5555807271702164E-3</v>
      </c>
      <c r="AT88">
        <v>0.10007098878170462</v>
      </c>
      <c r="AU88">
        <v>1.9511088235628588E-3</v>
      </c>
      <c r="AV88">
        <v>2.3722583794845153E-3</v>
      </c>
      <c r="AW88">
        <v>3.3392009302071761E-3</v>
      </c>
      <c r="AX88">
        <v>5.1702044227641686E-4</v>
      </c>
      <c r="AY88">
        <v>4.1512469669200211E-4</v>
      </c>
      <c r="BB88">
        <v>5.1319535973244901E-2</v>
      </c>
      <c r="BC88">
        <v>4.393776275214982E-2</v>
      </c>
      <c r="BE88">
        <v>32390.840442615947</v>
      </c>
      <c r="BF88">
        <v>21.081688673783624</v>
      </c>
      <c r="BG88">
        <v>34930.095979811173</v>
      </c>
      <c r="BH88">
        <v>21.054989406316817</v>
      </c>
    </row>
    <row r="89" spans="3:60" x14ac:dyDescent="0.2">
      <c r="C89" s="138">
        <v>26353.681442084697</v>
      </c>
      <c r="D89">
        <v>21.037717364227333</v>
      </c>
      <c r="E89" s="138">
        <v>28390.579015246694</v>
      </c>
      <c r="F89" s="138">
        <v>21.006890767067688</v>
      </c>
      <c r="G89" s="138">
        <v>-2036.8975731619976</v>
      </c>
      <c r="H89" s="138">
        <v>3.082659715964553E-2</v>
      </c>
      <c r="J89" s="135">
        <v>32500</v>
      </c>
      <c r="L89">
        <v>0.999</v>
      </c>
      <c r="N89" s="138"/>
      <c r="O89" s="138"/>
      <c r="P89" s="138"/>
      <c r="R89">
        <v>232.84902909311731</v>
      </c>
      <c r="S89">
        <v>47.67415918735022</v>
      </c>
      <c r="T89">
        <v>271.71437452259386</v>
      </c>
      <c r="U89">
        <v>94.453666363217465</v>
      </c>
      <c r="X89">
        <v>0.30968822465874674</v>
      </c>
      <c r="Y89">
        <v>0.65914126915911642</v>
      </c>
      <c r="Z89">
        <v>0.83210599897032522</v>
      </c>
      <c r="AA89">
        <v>0.76796917177244872</v>
      </c>
      <c r="AB89">
        <v>0.82289746258916463</v>
      </c>
      <c r="AC89">
        <v>0.80812342838132145</v>
      </c>
      <c r="AD89">
        <v>0.76561198457807011</v>
      </c>
      <c r="AE89">
        <v>0.87399287274870219</v>
      </c>
      <c r="AH89">
        <v>7.9060999345209715E-2</v>
      </c>
      <c r="AI89">
        <v>0.13851236907932007</v>
      </c>
      <c r="AJ89">
        <v>0.11005022602380776</v>
      </c>
      <c r="AK89">
        <v>9.4929168316409629E-2</v>
      </c>
      <c r="AL89">
        <v>0.24861120496006051</v>
      </c>
      <c r="AM89">
        <v>0.10741901384220232</v>
      </c>
      <c r="AN89">
        <v>0.16358655735619654</v>
      </c>
      <c r="AO89">
        <v>0.13953491396709861</v>
      </c>
      <c r="AR89">
        <v>8.4064639000143676E-4</v>
      </c>
      <c r="AS89">
        <v>4.2978532076018037E-3</v>
      </c>
      <c r="AT89">
        <v>9.889357545498631E-2</v>
      </c>
      <c r="AU89">
        <v>2.137749515317533E-3</v>
      </c>
      <c r="AV89">
        <v>2.0013617052326849E-3</v>
      </c>
      <c r="AW89">
        <v>3.082755719452295E-3</v>
      </c>
      <c r="AX89">
        <v>3.8298483976596722E-4</v>
      </c>
      <c r="AY89">
        <v>5.0741741613613556E-4</v>
      </c>
      <c r="BB89">
        <v>5.3706746202561773E-2</v>
      </c>
      <c r="BC89">
        <v>3.5259435016600844E-2</v>
      </c>
      <c r="BE89">
        <v>26353.681442084697</v>
      </c>
      <c r="BF89">
        <v>21.037717364227333</v>
      </c>
      <c r="BG89">
        <v>28390.579015246694</v>
      </c>
      <c r="BH89">
        <v>21.006890767067688</v>
      </c>
    </row>
    <row r="90" spans="3:60" x14ac:dyDescent="0.2">
      <c r="C90" s="138">
        <v>27813.584577448979</v>
      </c>
      <c r="D90">
        <v>20.830013545175934</v>
      </c>
      <c r="E90" s="138">
        <v>29960.625141816701</v>
      </c>
      <c r="F90" s="138">
        <v>20.783482056931746</v>
      </c>
      <c r="G90" s="138">
        <v>-2147.0405643677223</v>
      </c>
      <c r="H90" s="138">
        <v>4.6531488244188068E-2</v>
      </c>
      <c r="J90" s="135">
        <v>35000</v>
      </c>
      <c r="L90">
        <v>0.998</v>
      </c>
      <c r="N90" s="138"/>
      <c r="O90" s="138"/>
      <c r="P90" s="138"/>
      <c r="R90">
        <v>62.287092685299569</v>
      </c>
      <c r="S90">
        <v>59.045020020790773</v>
      </c>
      <c r="T90">
        <v>269.34351205147976</v>
      </c>
      <c r="U90">
        <v>92.744986245292878</v>
      </c>
      <c r="X90">
        <v>0.81481207278756163</v>
      </c>
      <c r="Y90">
        <v>0.93756306538134759</v>
      </c>
      <c r="Z90">
        <v>0.85328582327995517</v>
      </c>
      <c r="AA90">
        <v>0.93885973238272569</v>
      </c>
      <c r="AB90">
        <v>0.77556222437961775</v>
      </c>
      <c r="AC90">
        <v>0.85362147728828353</v>
      </c>
      <c r="AD90">
        <v>0.85166552708566623</v>
      </c>
      <c r="AE90">
        <v>0.76895888506811128</v>
      </c>
      <c r="AH90">
        <v>0.11944091034604065</v>
      </c>
      <c r="AI90">
        <v>0.14134265584656402</v>
      </c>
      <c r="AJ90">
        <v>0.12047762167974052</v>
      </c>
      <c r="AK90">
        <v>5.2079653349775157E-2</v>
      </c>
      <c r="AL90">
        <v>4.8257618315758588E-2</v>
      </c>
      <c r="AM90">
        <v>0.16831042692506792</v>
      </c>
      <c r="AN90">
        <v>0.15250851134308407</v>
      </c>
      <c r="AO90">
        <v>0.39135963061669166</v>
      </c>
      <c r="AR90">
        <v>9.46504467017939E-4</v>
      </c>
      <c r="AS90">
        <v>4.5655381832111486E-3</v>
      </c>
      <c r="AT90">
        <v>9.9395394989945013E-2</v>
      </c>
      <c r="AU90">
        <v>1.8599853546929495E-3</v>
      </c>
      <c r="AV90">
        <v>2.0134199545492892E-3</v>
      </c>
      <c r="AW90">
        <v>3.7112522069979725E-3</v>
      </c>
      <c r="AX90">
        <v>4.1178643255534997E-4</v>
      </c>
      <c r="AY90">
        <v>3.7479319106563147E-4</v>
      </c>
      <c r="BB90">
        <v>5.398681191116983E-2</v>
      </c>
      <c r="BC90">
        <v>1.9411548160505228E-2</v>
      </c>
      <c r="BE90">
        <v>27813.584577448979</v>
      </c>
      <c r="BF90">
        <v>20.830013545175934</v>
      </c>
      <c r="BG90">
        <v>29960.625141816701</v>
      </c>
      <c r="BH90">
        <v>20.783482056931746</v>
      </c>
    </row>
    <row r="91" spans="3:60" x14ac:dyDescent="0.2">
      <c r="C91" s="138">
        <v>32726.43527963178</v>
      </c>
      <c r="D91">
        <v>21.230271879999322</v>
      </c>
      <c r="E91" s="138">
        <v>34919.87204662116</v>
      </c>
      <c r="F91" s="138">
        <v>21.191438719637553</v>
      </c>
      <c r="G91" s="138">
        <v>-2193.43676698938</v>
      </c>
      <c r="H91" s="138">
        <v>3.8833160361768648E-2</v>
      </c>
      <c r="J91" s="135">
        <v>37500</v>
      </c>
      <c r="L91">
        <v>0.998</v>
      </c>
      <c r="N91" s="138"/>
      <c r="O91" s="138"/>
      <c r="P91" s="138"/>
      <c r="R91">
        <v>296.68471359451547</v>
      </c>
      <c r="S91">
        <v>54.04952771139908</v>
      </c>
      <c r="T91">
        <v>234.78342084946522</v>
      </c>
      <c r="U91">
        <v>87.424682347865968</v>
      </c>
      <c r="X91">
        <v>0.89397110719049966</v>
      </c>
      <c r="Y91">
        <v>0.42885119620780604</v>
      </c>
      <c r="Z91">
        <v>0.74350525654875466</v>
      </c>
      <c r="AA91">
        <v>0.72508501658388325</v>
      </c>
      <c r="AB91">
        <v>0.84168090837161058</v>
      </c>
      <c r="AC91">
        <v>0.73703760534277685</v>
      </c>
      <c r="AD91">
        <v>0.56273107721987881</v>
      </c>
      <c r="AE91">
        <v>0.94478150890584711</v>
      </c>
      <c r="AH91">
        <v>8.5223218845768445E-2</v>
      </c>
      <c r="AI91">
        <v>0.2624064014347236</v>
      </c>
      <c r="AJ91">
        <v>8.7085691093445661E-2</v>
      </c>
      <c r="AK91">
        <v>3.7928832614444352E-2</v>
      </c>
      <c r="AL91">
        <v>0.1714650904167847</v>
      </c>
      <c r="AM91">
        <v>0.21153117323385273</v>
      </c>
      <c r="AN91">
        <v>0.30298258871377759</v>
      </c>
      <c r="AO91">
        <v>1.0555774110954319E-2</v>
      </c>
      <c r="AR91">
        <v>9.5454681333850822E-4</v>
      </c>
      <c r="AS91">
        <v>4.3182409914589992E-3</v>
      </c>
      <c r="AT91">
        <v>0.10016452148168664</v>
      </c>
      <c r="AU91">
        <v>1.826263834557907E-3</v>
      </c>
      <c r="AV91">
        <v>2.0247793785674872E-3</v>
      </c>
      <c r="AW91">
        <v>3.0527221982671513E-3</v>
      </c>
      <c r="AX91">
        <v>4.4037175877331691E-4</v>
      </c>
      <c r="AY91">
        <v>4.4444762198797105E-4</v>
      </c>
      <c r="BB91">
        <v>4.5163081945265554E-2</v>
      </c>
      <c r="BC91">
        <v>8.6962779872775453E-2</v>
      </c>
      <c r="BE91">
        <v>32726.43527963178</v>
      </c>
      <c r="BF91">
        <v>21.230271879999322</v>
      </c>
      <c r="BG91">
        <v>34919.87204662116</v>
      </c>
      <c r="BH91">
        <v>21.191438719637553</v>
      </c>
    </row>
    <row r="92" spans="3:60" x14ac:dyDescent="0.2">
      <c r="C92" s="138">
        <v>37389.72997361132</v>
      </c>
      <c r="D92">
        <v>21.121620833727327</v>
      </c>
      <c r="E92" s="138">
        <v>39580.190664471149</v>
      </c>
      <c r="F92" s="138">
        <v>21.099046941138138</v>
      </c>
      <c r="G92" s="138">
        <v>-2190.4606908598289</v>
      </c>
      <c r="H92" s="138">
        <v>2.2573892589189626E-2</v>
      </c>
      <c r="J92" s="135">
        <v>40000</v>
      </c>
      <c r="L92">
        <v>0.997</v>
      </c>
      <c r="N92" s="138"/>
      <c r="O92" s="138"/>
      <c r="P92" s="138"/>
      <c r="R92">
        <v>83.02779971445247</v>
      </c>
      <c r="S92">
        <v>61.739228467338563</v>
      </c>
      <c r="T92">
        <v>248.25877764641342</v>
      </c>
      <c r="U92">
        <v>95.025187065890307</v>
      </c>
      <c r="X92">
        <v>0.81247113933288928</v>
      </c>
      <c r="Y92">
        <v>0.81875403430464722</v>
      </c>
      <c r="Z92">
        <v>0.80626591024098904</v>
      </c>
      <c r="AA92">
        <v>0.50476151155618321</v>
      </c>
      <c r="AB92">
        <v>0.6920389882301391</v>
      </c>
      <c r="AC92">
        <v>0.96735031932365034</v>
      </c>
      <c r="AD92">
        <v>0.87927677232954182</v>
      </c>
      <c r="AE92">
        <v>0.88747191769497435</v>
      </c>
      <c r="AH92">
        <v>7.0956557354161065E-2</v>
      </c>
      <c r="AI92">
        <v>8.8538649262240421E-2</v>
      </c>
      <c r="AJ92">
        <v>1.4460286602337336E-2</v>
      </c>
      <c r="AK92">
        <v>0.14348405849301282</v>
      </c>
      <c r="AL92">
        <v>0.2993646721512575</v>
      </c>
      <c r="AM92">
        <v>1.0758480228747147E-2</v>
      </c>
      <c r="AN92">
        <v>0.1576448006621044</v>
      </c>
      <c r="AO92">
        <v>0.19418282665187947</v>
      </c>
      <c r="AR92">
        <v>8.4636640319033006E-4</v>
      </c>
      <c r="AS92">
        <v>4.1932712944924037E-3</v>
      </c>
      <c r="AT92">
        <v>9.975059404264594E-2</v>
      </c>
      <c r="AU92">
        <v>2.1166097100774328E-3</v>
      </c>
      <c r="AV92">
        <v>1.9968973712578553E-3</v>
      </c>
      <c r="AW92">
        <v>3.6492001641886818E-3</v>
      </c>
      <c r="AX92">
        <v>3.5677196637466397E-4</v>
      </c>
      <c r="AY92">
        <v>4.4947540455897439E-4</v>
      </c>
      <c r="BB92">
        <v>4.8416467033467525E-2</v>
      </c>
      <c r="BC92">
        <v>4.1981440872347488E-2</v>
      </c>
      <c r="BE92">
        <v>37389.72997361132</v>
      </c>
      <c r="BF92">
        <v>21.121620833727327</v>
      </c>
      <c r="BG92">
        <v>39580.190664471149</v>
      </c>
      <c r="BH92">
        <v>21.099046941138138</v>
      </c>
    </row>
    <row r="93" spans="3:60" x14ac:dyDescent="0.2">
      <c r="C93" s="140">
        <v>32678.381585401068</v>
      </c>
      <c r="D93">
        <v>21.257839700241995</v>
      </c>
      <c r="E93" s="140">
        <v>35186.799554800018</v>
      </c>
      <c r="F93" s="140">
        <v>21.272524290935113</v>
      </c>
      <c r="G93" s="140">
        <v>-2508.4179693989499</v>
      </c>
      <c r="H93" s="140">
        <v>-1.4684590693118338E-2</v>
      </c>
      <c r="J93" s="135">
        <v>42500</v>
      </c>
      <c r="L93">
        <v>0.997</v>
      </c>
      <c r="N93" s="138"/>
      <c r="O93" s="138"/>
      <c r="P93" s="138"/>
      <c r="R93">
        <v>95.445096151879596</v>
      </c>
      <c r="S93">
        <v>66.137804455806645</v>
      </c>
      <c r="T93">
        <v>198.78306484861483</v>
      </c>
      <c r="U93">
        <v>90.745652033306385</v>
      </c>
      <c r="X93">
        <v>0.62654524456550797</v>
      </c>
      <c r="Y93">
        <v>0.93190040659655515</v>
      </c>
      <c r="Z93">
        <v>0.90667944225897323</v>
      </c>
      <c r="AA93">
        <v>0.93073784448296815</v>
      </c>
      <c r="AB93">
        <v>0.74294994220703636</v>
      </c>
      <c r="AC93">
        <v>0.7794159756132657</v>
      </c>
      <c r="AD93">
        <v>0.83425941163464357</v>
      </c>
      <c r="AE93">
        <v>0.67152912072527027</v>
      </c>
      <c r="AH93">
        <v>4.6126208790526091E-2</v>
      </c>
      <c r="AI93">
        <v>7.3200288043102302E-2</v>
      </c>
      <c r="AJ93">
        <v>0.14844750510114535</v>
      </c>
      <c r="AK93">
        <v>5.6958785084451291E-2</v>
      </c>
      <c r="AL93">
        <v>5.5227540137661624E-2</v>
      </c>
      <c r="AM93">
        <v>0.11563650837091755</v>
      </c>
      <c r="AN93">
        <v>4.5484018728948028E-2</v>
      </c>
      <c r="AO93">
        <v>5.4999606124061184E-2</v>
      </c>
      <c r="AR93">
        <v>7.8264338213879497E-4</v>
      </c>
      <c r="AS93">
        <v>4.7335739543442612E-3</v>
      </c>
      <c r="AT93">
        <v>9.8385074166343151E-2</v>
      </c>
      <c r="AU93">
        <v>1.7657805900493388E-3</v>
      </c>
      <c r="AV93">
        <v>1.9432590350580814E-3</v>
      </c>
      <c r="AW93">
        <v>3.5488628667097455E-3</v>
      </c>
      <c r="AX93">
        <v>3.8026903852820149E-4</v>
      </c>
      <c r="AY93">
        <v>4.3952621491136391E-4</v>
      </c>
      <c r="BB93">
        <v>5.4362395129561314E-2</v>
      </c>
      <c r="BC93">
        <v>4.2436993363098072E-2</v>
      </c>
      <c r="BE93">
        <v>32678.381585401068</v>
      </c>
      <c r="BF93">
        <v>21.257839700241995</v>
      </c>
      <c r="BG93">
        <v>35186.799554800018</v>
      </c>
      <c r="BH93">
        <v>21.272524290935113</v>
      </c>
    </row>
    <row r="94" spans="3:60" x14ac:dyDescent="0.2">
      <c r="C94" s="138">
        <v>22134.119665397087</v>
      </c>
      <c r="D94">
        <v>21.010537632361228</v>
      </c>
      <c r="E94" s="138">
        <v>23869.457084633497</v>
      </c>
      <c r="F94" s="138">
        <v>21.037647001795392</v>
      </c>
      <c r="G94" s="138">
        <v>-1735.3374192364099</v>
      </c>
      <c r="H94" s="138">
        <v>-2.7109369434164421E-2</v>
      </c>
      <c r="J94" s="135">
        <v>45000</v>
      </c>
      <c r="L94">
        <v>0.996</v>
      </c>
      <c r="N94" s="138"/>
      <c r="O94" s="138"/>
      <c r="P94" s="138"/>
      <c r="R94">
        <v>376.86973215842085</v>
      </c>
      <c r="S94">
        <v>49.565080118550497</v>
      </c>
      <c r="T94">
        <v>231.84294127030597</v>
      </c>
      <c r="U94">
        <v>102.0840174923933</v>
      </c>
      <c r="X94">
        <v>0.93938875537935829</v>
      </c>
      <c r="Y94">
        <v>0.86875922773175462</v>
      </c>
      <c r="Z94">
        <v>0.89093090306743683</v>
      </c>
      <c r="AA94">
        <v>0.84621284252145923</v>
      </c>
      <c r="AB94">
        <v>0.61772861053826056</v>
      </c>
      <c r="AC94">
        <v>0.59448806311341829</v>
      </c>
      <c r="AD94">
        <v>0.61238023460819357</v>
      </c>
      <c r="AE94">
        <v>0.9760860702477453</v>
      </c>
      <c r="AH94">
        <v>0.40649553954003059</v>
      </c>
      <c r="AI94">
        <v>7.5068485541566865E-2</v>
      </c>
      <c r="AJ94">
        <v>6.4600524157151784E-2</v>
      </c>
      <c r="AK94">
        <v>0.15688923385891707</v>
      </c>
      <c r="AL94">
        <v>5.1076111937274238E-2</v>
      </c>
      <c r="AM94">
        <v>1.2799854751714412E-2</v>
      </c>
      <c r="AN94">
        <v>0.27198592292449375</v>
      </c>
      <c r="AO94">
        <v>3.9301575579572923E-2</v>
      </c>
      <c r="AR94">
        <v>8.9272779686033754E-4</v>
      </c>
      <c r="AS94">
        <v>4.0226451807955461E-3</v>
      </c>
      <c r="AT94">
        <v>0.10058203405838118</v>
      </c>
      <c r="AU94">
        <v>2.1225630393360007E-3</v>
      </c>
      <c r="AV94">
        <v>1.5519684783977658E-3</v>
      </c>
      <c r="AW94">
        <v>3.0566086691110371E-3</v>
      </c>
      <c r="AX94">
        <v>4.4957459294958646E-4</v>
      </c>
      <c r="AY94">
        <v>4.750619119169297E-4</v>
      </c>
      <c r="BB94">
        <v>5.5376442833738881E-2</v>
      </c>
      <c r="BC94">
        <v>3.1698557719719342E-2</v>
      </c>
      <c r="BE94">
        <v>22134.119665397087</v>
      </c>
      <c r="BF94">
        <v>21.010537632361228</v>
      </c>
      <c r="BG94">
        <v>23869.457084633497</v>
      </c>
      <c r="BH94">
        <v>21.037647001795392</v>
      </c>
    </row>
    <row r="95" spans="3:60" x14ac:dyDescent="0.2">
      <c r="C95" s="138">
        <v>32478.790956652076</v>
      </c>
      <c r="D95">
        <v>21.55644100101712</v>
      </c>
      <c r="E95" s="138">
        <v>34750.491171883012</v>
      </c>
      <c r="F95" s="138">
        <v>21.55372348818409</v>
      </c>
      <c r="G95" s="138">
        <v>-2271.700215230936</v>
      </c>
      <c r="H95" s="138">
        <v>2.7175128330299003E-3</v>
      </c>
      <c r="J95" s="135">
        <v>47500</v>
      </c>
      <c r="L95">
        <v>0.995</v>
      </c>
      <c r="N95" s="138"/>
      <c r="O95" s="138"/>
      <c r="P95" s="138"/>
      <c r="R95">
        <v>213.7681932579236</v>
      </c>
      <c r="S95">
        <v>55.046826916647404</v>
      </c>
      <c r="T95">
        <v>256.5540252892884</v>
      </c>
      <c r="U95">
        <v>97.087414558329883</v>
      </c>
      <c r="X95">
        <v>0.60565990350408472</v>
      </c>
      <c r="Y95">
        <v>0.55127932460367424</v>
      </c>
      <c r="Z95">
        <v>0.71667058502345782</v>
      </c>
      <c r="AA95">
        <v>0.69477383207271493</v>
      </c>
      <c r="AB95">
        <v>0.86939792616843936</v>
      </c>
      <c r="AC95">
        <v>0.62051390385933958</v>
      </c>
      <c r="AD95">
        <v>0.52621013027423191</v>
      </c>
      <c r="AE95">
        <v>0.62358486958591564</v>
      </c>
      <c r="AH95">
        <v>3.3097674988837977E-2</v>
      </c>
      <c r="AI95">
        <v>0.19360386892050585</v>
      </c>
      <c r="AJ95">
        <v>0.10073591358821443</v>
      </c>
      <c r="AK95">
        <v>9.0623357369597479E-2</v>
      </c>
      <c r="AL95">
        <v>0.25269200742656617</v>
      </c>
      <c r="AM95">
        <v>3.3155213134871575E-2</v>
      </c>
      <c r="AN95">
        <v>0.18134727806181039</v>
      </c>
      <c r="AO95">
        <v>0.10616764811459878</v>
      </c>
      <c r="AR95">
        <v>9.8020243834529008E-4</v>
      </c>
      <c r="AS95">
        <v>4.4757188079643136E-3</v>
      </c>
      <c r="AT95">
        <v>9.9375459483579509E-2</v>
      </c>
      <c r="AU95">
        <v>2.0864523319497064E-3</v>
      </c>
      <c r="AV95">
        <v>2.0334010994895735E-3</v>
      </c>
      <c r="AW95">
        <v>3.5089080179504517E-3</v>
      </c>
      <c r="AX95">
        <v>3.2880532110506728E-4</v>
      </c>
      <c r="AY95">
        <v>5.3188076748900137E-4</v>
      </c>
      <c r="BB95">
        <v>5.2539787066168242E-2</v>
      </c>
      <c r="BC95">
        <v>9.1101499408102748E-2</v>
      </c>
      <c r="BE95">
        <v>32478.790956652076</v>
      </c>
      <c r="BF95">
        <v>21.55644100101712</v>
      </c>
      <c r="BG95">
        <v>34750.491171883012</v>
      </c>
      <c r="BH95">
        <v>21.55372348818409</v>
      </c>
    </row>
    <row r="96" spans="3:60" x14ac:dyDescent="0.2">
      <c r="C96" s="138">
        <v>26612.216847694515</v>
      </c>
      <c r="D96">
        <v>21.210399672522328</v>
      </c>
      <c r="E96" s="138">
        <v>28322.489363850429</v>
      </c>
      <c r="F96" s="138">
        <v>21.263674635383303</v>
      </c>
      <c r="G96" s="138">
        <v>-1710.2725161559138</v>
      </c>
      <c r="H96" s="138">
        <v>-5.3274962860974995E-2</v>
      </c>
      <c r="J96" s="135">
        <v>50000</v>
      </c>
      <c r="L96">
        <v>0.99399999999999999</v>
      </c>
      <c r="N96" s="138"/>
      <c r="O96" s="138"/>
      <c r="P96" s="138"/>
      <c r="R96">
        <v>376.54613493428542</v>
      </c>
      <c r="S96">
        <v>66.741356458929573</v>
      </c>
      <c r="T96">
        <v>302.42218567300978</v>
      </c>
      <c r="U96">
        <v>117.53947032036243</v>
      </c>
      <c r="X96">
        <v>0.83326689429402312</v>
      </c>
      <c r="Y96">
        <v>0.74631950187215901</v>
      </c>
      <c r="Z96">
        <v>0.90123659702150882</v>
      </c>
      <c r="AA96">
        <v>0.76902217593446343</v>
      </c>
      <c r="AB96">
        <v>0.62708237302158865</v>
      </c>
      <c r="AC96">
        <v>0.92151850536834523</v>
      </c>
      <c r="AD96">
        <v>0.45975869184276563</v>
      </c>
      <c r="AE96">
        <v>0.80465743058198713</v>
      </c>
      <c r="AH96">
        <v>0.18216157108933317</v>
      </c>
      <c r="AI96">
        <v>0.10617384480943415</v>
      </c>
      <c r="AJ96">
        <v>6.3380518230077953E-2</v>
      </c>
      <c r="AK96">
        <v>0.12492496336580983</v>
      </c>
      <c r="AL96">
        <v>0.10916846642845379</v>
      </c>
      <c r="AM96">
        <v>2.2463787011288261E-2</v>
      </c>
      <c r="AN96">
        <v>1.6583956820417578E-2</v>
      </c>
      <c r="AO96">
        <v>0.19015975484855996</v>
      </c>
      <c r="AR96">
        <v>7.758366961310982E-4</v>
      </c>
      <c r="AS96">
        <v>4.6126884848283201E-3</v>
      </c>
      <c r="AT96">
        <v>9.9917858441724614E-2</v>
      </c>
      <c r="AU96">
        <v>2.1410831832344712E-3</v>
      </c>
      <c r="AV96">
        <v>2.0394231989728784E-3</v>
      </c>
      <c r="AW96">
        <v>3.3601586622014493E-3</v>
      </c>
      <c r="AX96">
        <v>3.9850185291512297E-4</v>
      </c>
      <c r="AY96">
        <v>4.551669978372086E-4</v>
      </c>
      <c r="BB96">
        <v>5.2816339069748364E-2</v>
      </c>
      <c r="BC96">
        <v>4.2850002355858945E-2</v>
      </c>
      <c r="BE96">
        <v>26612.216847694515</v>
      </c>
      <c r="BF96">
        <v>21.210399672522328</v>
      </c>
      <c r="BG96">
        <v>28322.489363850429</v>
      </c>
      <c r="BH96">
        <v>21.263674635383303</v>
      </c>
    </row>
    <row r="97" spans="3:60" x14ac:dyDescent="0.2">
      <c r="C97" s="138">
        <v>32088.802184838136</v>
      </c>
      <c r="D97">
        <v>21.320782276333897</v>
      </c>
      <c r="E97" s="138">
        <v>33855.739341948691</v>
      </c>
      <c r="F97" s="138">
        <v>21.312085264630223</v>
      </c>
      <c r="G97" s="138">
        <v>-1766.9371571105548</v>
      </c>
      <c r="H97" s="138">
        <v>8.6970117036742067E-3</v>
      </c>
      <c r="J97" s="135">
        <v>52500</v>
      </c>
      <c r="L97">
        <v>0.99199999999999999</v>
      </c>
      <c r="N97" s="138"/>
      <c r="O97" s="138"/>
      <c r="P97" s="138"/>
      <c r="R97">
        <v>198.52350926899746</v>
      </c>
      <c r="S97">
        <v>54.850938507086951</v>
      </c>
      <c r="T97">
        <v>236.08166363834755</v>
      </c>
      <c r="U97">
        <v>86.388631469930715</v>
      </c>
      <c r="X97">
        <v>0.66858839265102465</v>
      </c>
      <c r="Y97">
        <v>0.82446914126052284</v>
      </c>
      <c r="Z97">
        <v>0.60895974269443465</v>
      </c>
      <c r="AA97">
        <v>0.78532594163646519</v>
      </c>
      <c r="AB97">
        <v>0.90731030858083528</v>
      </c>
      <c r="AC97">
        <v>0.95472797718866642</v>
      </c>
      <c r="AD97">
        <v>0.64321748662001232</v>
      </c>
      <c r="AE97">
        <v>0.56426859105334815</v>
      </c>
      <c r="AH97">
        <v>9.8880600057566825E-2</v>
      </c>
      <c r="AI97">
        <v>0.32194417991802871</v>
      </c>
      <c r="AJ97">
        <v>9.6140616853374494E-2</v>
      </c>
      <c r="AK97">
        <v>9.2228148059048221E-2</v>
      </c>
      <c r="AL97">
        <v>0.13288640873558821</v>
      </c>
      <c r="AM97">
        <v>0.19172197383818346</v>
      </c>
      <c r="AN97">
        <v>0.13928456793455479</v>
      </c>
      <c r="AO97">
        <v>0.10270241752882203</v>
      </c>
      <c r="AR97">
        <v>7.9663374782708871E-4</v>
      </c>
      <c r="AS97">
        <v>4.41507879312547E-3</v>
      </c>
      <c r="AT97">
        <v>9.9423837443575705E-2</v>
      </c>
      <c r="AU97">
        <v>2.2949936376180924E-3</v>
      </c>
      <c r="AV97">
        <v>2.0738617480662302E-3</v>
      </c>
      <c r="AW97">
        <v>3.4903390179946703E-3</v>
      </c>
      <c r="AX97">
        <v>4.4189167155583853E-4</v>
      </c>
      <c r="AY97">
        <v>3.5120833538717657E-4</v>
      </c>
      <c r="BB97">
        <v>4.5507214379616669E-2</v>
      </c>
      <c r="BC97">
        <v>3.8117517009467944E-2</v>
      </c>
      <c r="BE97">
        <v>32088.802184838136</v>
      </c>
      <c r="BF97">
        <v>21.320782276333897</v>
      </c>
      <c r="BG97">
        <v>33855.739341948691</v>
      </c>
      <c r="BH97">
        <v>21.312085264630223</v>
      </c>
    </row>
    <row r="98" spans="3:60" x14ac:dyDescent="0.2">
      <c r="C98" s="138">
        <v>33754.175927293763</v>
      </c>
      <c r="D98">
        <v>21.244135843418366</v>
      </c>
      <c r="E98" s="138">
        <v>35970.153388262872</v>
      </c>
      <c r="F98" s="138">
        <v>21.251637388383148</v>
      </c>
      <c r="G98" s="138">
        <v>-2215.9774609691085</v>
      </c>
      <c r="H98" s="138">
        <v>-7.5015449647821697E-3</v>
      </c>
      <c r="J98" s="135">
        <v>55000</v>
      </c>
      <c r="L98">
        <v>0.99</v>
      </c>
      <c r="N98" s="138"/>
      <c r="O98" s="138"/>
      <c r="P98" s="138"/>
      <c r="R98">
        <v>248.54485190617305</v>
      </c>
      <c r="S98">
        <v>64.952373218078407</v>
      </c>
      <c r="T98">
        <v>248.20385756605103</v>
      </c>
      <c r="U98">
        <v>82.330197059841538</v>
      </c>
      <c r="X98">
        <v>0.86016311890288366</v>
      </c>
      <c r="Y98">
        <v>0.62382030305853231</v>
      </c>
      <c r="Z98">
        <v>0.71502405566730731</v>
      </c>
      <c r="AA98">
        <v>0.85069107923488851</v>
      </c>
      <c r="AB98">
        <v>0.75684501880233968</v>
      </c>
      <c r="AC98">
        <v>0.90691118656989811</v>
      </c>
      <c r="AD98">
        <v>0.83328279884877599</v>
      </c>
      <c r="AE98">
        <v>0.71223822713607399</v>
      </c>
      <c r="AH98">
        <v>0.17084711329229296</v>
      </c>
      <c r="AI98">
        <v>0.13897315207325212</v>
      </c>
      <c r="AJ98">
        <v>7.9592610630352723E-2</v>
      </c>
      <c r="AK98">
        <v>4.3580133213262484E-2</v>
      </c>
      <c r="AL98">
        <v>2.6653016192373036E-2</v>
      </c>
      <c r="AM98">
        <v>1.2021956283595037E-2</v>
      </c>
      <c r="AN98">
        <v>6.610934513854283E-2</v>
      </c>
      <c r="AO98">
        <v>8.5832059787611881E-2</v>
      </c>
      <c r="AR98">
        <v>9.0120431678797353E-4</v>
      </c>
      <c r="AS98">
        <v>4.4753354889536271E-3</v>
      </c>
      <c r="AT98">
        <v>0.10060407154662276</v>
      </c>
      <c r="AU98">
        <v>2.0064170540173842E-3</v>
      </c>
      <c r="AV98">
        <v>2.0711731284778212E-3</v>
      </c>
      <c r="AW98">
        <v>3.627601728824037E-3</v>
      </c>
      <c r="AX98">
        <v>3.5139490577593884E-4</v>
      </c>
      <c r="AY98">
        <v>4.3407660239698932E-4</v>
      </c>
      <c r="BB98">
        <v>5.5659336011319782E-2</v>
      </c>
      <c r="BC98">
        <v>4.7135940508928442E-2</v>
      </c>
      <c r="BE98">
        <v>33754.175927293763</v>
      </c>
      <c r="BF98">
        <v>21.244135843418366</v>
      </c>
      <c r="BG98">
        <v>35970.153388262872</v>
      </c>
      <c r="BH98">
        <v>21.251637388383148</v>
      </c>
    </row>
    <row r="99" spans="3:60" x14ac:dyDescent="0.2">
      <c r="C99" s="138">
        <v>37292.578357016195</v>
      </c>
      <c r="D99">
        <v>21.406950254623904</v>
      </c>
      <c r="E99" s="138">
        <v>39070.192599975315</v>
      </c>
      <c r="F99" s="138">
        <v>21.39026756398297</v>
      </c>
      <c r="G99" s="138">
        <v>-1777.61424295912</v>
      </c>
      <c r="H99" s="138">
        <v>1.6682690640934084E-2</v>
      </c>
      <c r="J99" s="135">
        <v>57500</v>
      </c>
      <c r="L99">
        <v>0.98799999999999999</v>
      </c>
      <c r="N99" s="138"/>
      <c r="O99" s="138"/>
      <c r="P99" s="138"/>
      <c r="R99">
        <v>328.38438890357156</v>
      </c>
      <c r="S99">
        <v>62.633321124046979</v>
      </c>
      <c r="T99">
        <v>275.11786091551181</v>
      </c>
      <c r="U99">
        <v>94.312847687906299</v>
      </c>
      <c r="X99">
        <v>0.71214299713760698</v>
      </c>
      <c r="Y99">
        <v>0.59651101931380046</v>
      </c>
      <c r="Z99">
        <v>0.89368440125026827</v>
      </c>
      <c r="AA99">
        <v>0.5254118769861994</v>
      </c>
      <c r="AB99">
        <v>0.7001068531238267</v>
      </c>
      <c r="AC99">
        <v>0.73668183285898547</v>
      </c>
      <c r="AD99">
        <v>0.74646628652120139</v>
      </c>
      <c r="AE99">
        <v>0.96288486171675403</v>
      </c>
      <c r="AH99">
        <v>2.0122312756014282E-2</v>
      </c>
      <c r="AI99">
        <v>9.5463998718558485E-2</v>
      </c>
      <c r="AJ99">
        <v>0.14567895786456009</v>
      </c>
      <c r="AK99">
        <v>0.2068067537663808</v>
      </c>
      <c r="AL99">
        <v>0.10007124592225192</v>
      </c>
      <c r="AM99">
        <v>7.9226322977293706E-2</v>
      </c>
      <c r="AN99">
        <v>1.3900477750373064E-2</v>
      </c>
      <c r="AO99">
        <v>8.8254649580301159E-2</v>
      </c>
      <c r="AR99">
        <v>7.2735394024670225E-4</v>
      </c>
      <c r="AS99">
        <v>4.4392122663674009E-3</v>
      </c>
      <c r="AT99">
        <v>9.9572062367570491E-2</v>
      </c>
      <c r="AU99">
        <v>2.0083170245196458E-3</v>
      </c>
      <c r="AV99">
        <v>2.0896407534577444E-3</v>
      </c>
      <c r="AW99">
        <v>3.4886519803873917E-3</v>
      </c>
      <c r="AX99">
        <v>3.437634537034687E-4</v>
      </c>
      <c r="AY99">
        <v>3.9546789182195595E-4</v>
      </c>
      <c r="BB99">
        <v>5.5408246963927987E-2</v>
      </c>
      <c r="BC99">
        <v>3.7253829589266589E-2</v>
      </c>
      <c r="BE99">
        <v>37292.578357016195</v>
      </c>
      <c r="BF99">
        <v>21.406950254623904</v>
      </c>
      <c r="BG99">
        <v>39070.192599975315</v>
      </c>
      <c r="BH99">
        <v>21.39026756398297</v>
      </c>
    </row>
    <row r="100" spans="3:60" x14ac:dyDescent="0.2">
      <c r="C100" s="138">
        <v>39184.893338944836</v>
      </c>
      <c r="D100">
        <v>21.375312480269901</v>
      </c>
      <c r="E100" s="138">
        <v>41602.843332711367</v>
      </c>
      <c r="F100" s="138">
        <v>21.359256031294763</v>
      </c>
      <c r="G100" s="138">
        <v>-2417.9499937665314</v>
      </c>
      <c r="H100" s="138">
        <v>1.6056448975138693E-2</v>
      </c>
      <c r="J100" s="135">
        <v>60000</v>
      </c>
      <c r="L100">
        <v>0.98499999999999999</v>
      </c>
      <c r="N100" s="138"/>
      <c r="O100" s="138"/>
      <c r="P100" s="138"/>
      <c r="R100">
        <v>357.28932843048551</v>
      </c>
      <c r="S100">
        <v>66.793017764002741</v>
      </c>
      <c r="T100">
        <v>233.09894101368116</v>
      </c>
      <c r="U100">
        <v>99.615135938772823</v>
      </c>
      <c r="X100">
        <v>0.74549907666645621</v>
      </c>
      <c r="Y100">
        <v>0.84005895725848945</v>
      </c>
      <c r="Z100">
        <v>0.78016923829277829</v>
      </c>
      <c r="AA100">
        <v>0.57067943723013315</v>
      </c>
      <c r="AB100">
        <v>0.8716204988610623</v>
      </c>
      <c r="AC100">
        <v>0.79338582968655125</v>
      </c>
      <c r="AD100">
        <v>0.62320345900982288</v>
      </c>
      <c r="AE100">
        <v>0.85888007345983186</v>
      </c>
      <c r="AH100">
        <v>4.713473318194894E-2</v>
      </c>
      <c r="AI100">
        <v>0.12096466856785604</v>
      </c>
      <c r="AJ100">
        <v>2.8410244449965205E-2</v>
      </c>
      <c r="AK100">
        <v>0.15632612548019287</v>
      </c>
      <c r="AL100">
        <v>6.4019838830770004E-3</v>
      </c>
      <c r="AM100">
        <v>0.16779110985265733</v>
      </c>
      <c r="AN100">
        <v>8.5207919714266001E-2</v>
      </c>
      <c r="AO100">
        <v>0.10353516000152796</v>
      </c>
      <c r="AR100">
        <v>9.0660066048098287E-4</v>
      </c>
      <c r="AS100">
        <v>4.6227393451321319E-3</v>
      </c>
      <c r="AT100">
        <v>0.10111177244230196</v>
      </c>
      <c r="AU100">
        <v>2.2877668314595923E-3</v>
      </c>
      <c r="AV100">
        <v>1.8141365943264928E-3</v>
      </c>
      <c r="AW100">
        <v>3.3620000712128203E-3</v>
      </c>
      <c r="AX100">
        <v>4.0412665188549468E-4</v>
      </c>
      <c r="AY100">
        <v>4.0217481119810656E-4</v>
      </c>
      <c r="BB100">
        <v>5.4647011063337581E-2</v>
      </c>
      <c r="BC100">
        <v>2.5617324684915083E-2</v>
      </c>
      <c r="BE100">
        <v>39184.893338944836</v>
      </c>
      <c r="BF100">
        <v>21.375312480269901</v>
      </c>
      <c r="BG100">
        <v>41602.843332711367</v>
      </c>
      <c r="BH100">
        <v>21.359256031294763</v>
      </c>
    </row>
    <row r="101" spans="3:60" x14ac:dyDescent="0.2">
      <c r="C101" s="138">
        <v>39868.448935001812</v>
      </c>
      <c r="D101">
        <v>20.431024608474747</v>
      </c>
      <c r="E101" s="138">
        <v>42482.052880078241</v>
      </c>
      <c r="F101" s="138">
        <v>20.407214275074889</v>
      </c>
      <c r="G101" s="138">
        <v>-2613.6039450764292</v>
      </c>
      <c r="H101" s="138">
        <v>2.3810333399858052E-2</v>
      </c>
      <c r="J101" s="135">
        <v>62500</v>
      </c>
      <c r="L101">
        <v>0.98499999999999999</v>
      </c>
      <c r="N101" s="138"/>
      <c r="O101" s="138"/>
      <c r="P101" s="138"/>
      <c r="R101">
        <v>161.58303860495494</v>
      </c>
      <c r="S101">
        <v>70.635503804108595</v>
      </c>
      <c r="T101">
        <v>255.65251096778766</v>
      </c>
      <c r="U101">
        <v>93.930337894605174</v>
      </c>
      <c r="X101">
        <v>0.77620249331256586</v>
      </c>
      <c r="Y101">
        <v>0.86089115820883011</v>
      </c>
      <c r="Z101">
        <v>0.76906239945500088</v>
      </c>
      <c r="AA101">
        <v>0.87834865915645455</v>
      </c>
      <c r="AB101">
        <v>0.81388270696505194</v>
      </c>
      <c r="AC101">
        <v>0.81040929991167432</v>
      </c>
      <c r="AD101">
        <v>0.46686864071324335</v>
      </c>
      <c r="AE101">
        <v>0.63878843252056072</v>
      </c>
      <c r="AH101">
        <v>7.2772190469380327E-2</v>
      </c>
      <c r="AI101">
        <v>0.34964262142151348</v>
      </c>
      <c r="AJ101">
        <v>8.6137299531037326E-2</v>
      </c>
      <c r="AK101">
        <v>5.0489606021506539E-2</v>
      </c>
      <c r="AL101">
        <v>1.0657248185758084E-3</v>
      </c>
      <c r="AM101">
        <v>0.15897542329268644</v>
      </c>
      <c r="AN101">
        <v>0.29240077716643875</v>
      </c>
      <c r="AO101">
        <v>3.8605335709171351E-2</v>
      </c>
      <c r="AR101">
        <v>1.0184810885363049E-3</v>
      </c>
      <c r="AS101">
        <v>4.1544728971171438E-3</v>
      </c>
      <c r="AT101">
        <v>0.1012730662308351</v>
      </c>
      <c r="AU101">
        <v>1.8037440744209296E-3</v>
      </c>
      <c r="AV101">
        <v>1.9851808719428899E-3</v>
      </c>
      <c r="AW101">
        <v>3.3685990335395686E-3</v>
      </c>
      <c r="AX101">
        <v>4.5914161617499616E-4</v>
      </c>
      <c r="AY101">
        <v>4.0377858538000763E-4</v>
      </c>
      <c r="BB101">
        <v>5.1822241532410107E-2</v>
      </c>
      <c r="BC101">
        <v>2.2847859766625102E-2</v>
      </c>
      <c r="BE101">
        <v>39868.448935001812</v>
      </c>
      <c r="BF101">
        <v>20.431024608474747</v>
      </c>
      <c r="BG101">
        <v>42482.052880078241</v>
      </c>
      <c r="BH101">
        <v>20.407214275074889</v>
      </c>
    </row>
    <row r="102" spans="3:60" x14ac:dyDescent="0.2">
      <c r="C102" s="138">
        <v>33640.663864128757</v>
      </c>
      <c r="D102">
        <v>21.146390898779373</v>
      </c>
      <c r="E102" s="138">
        <v>35868.401158521265</v>
      </c>
      <c r="F102" s="138">
        <v>21.146970126884945</v>
      </c>
      <c r="G102" s="138">
        <v>-2227.7372943925075</v>
      </c>
      <c r="H102" s="138">
        <v>-5.7922810557187177E-4</v>
      </c>
      <c r="J102" s="135">
        <v>65000</v>
      </c>
      <c r="L102">
        <v>0.98299999999999998</v>
      </c>
      <c r="N102" s="138"/>
      <c r="O102" s="138"/>
      <c r="P102" s="138"/>
      <c r="R102">
        <v>250.30849412488897</v>
      </c>
      <c r="S102">
        <v>57.08159849418255</v>
      </c>
      <c r="T102">
        <v>222.52368830690415</v>
      </c>
      <c r="U102">
        <v>90.916560620092866</v>
      </c>
      <c r="X102">
        <v>0.38573376338186366</v>
      </c>
      <c r="Y102">
        <v>0.82742556725383809</v>
      </c>
      <c r="Z102">
        <v>0.74692785938332762</v>
      </c>
      <c r="AA102">
        <v>0.6761319554105899</v>
      </c>
      <c r="AB102">
        <v>0.60145418607217571</v>
      </c>
      <c r="AC102">
        <v>0.69548453981922409</v>
      </c>
      <c r="AD102">
        <v>0.84417176870029786</v>
      </c>
      <c r="AE102">
        <v>0.94593773270452708</v>
      </c>
      <c r="AH102">
        <v>0.14374995779551591</v>
      </c>
      <c r="AI102">
        <v>3.0091390617543068E-2</v>
      </c>
      <c r="AJ102">
        <v>0.13721342004604886</v>
      </c>
      <c r="AK102">
        <v>1.5725415835041057E-2</v>
      </c>
      <c r="AL102">
        <v>3.229879373692901E-3</v>
      </c>
      <c r="AM102">
        <v>5.2374395391059481E-2</v>
      </c>
      <c r="AN102">
        <v>0.14763406223141606</v>
      </c>
      <c r="AO102">
        <v>0.101338940223753</v>
      </c>
      <c r="AR102">
        <v>9.7409565574546608E-4</v>
      </c>
      <c r="AS102">
        <v>4.1665861869246415E-3</v>
      </c>
      <c r="AT102">
        <v>0.10019529807247451</v>
      </c>
      <c r="AU102">
        <v>1.7732894669576637E-3</v>
      </c>
      <c r="AV102">
        <v>2.4743902165271781E-3</v>
      </c>
      <c r="AW102">
        <v>3.4718502004323915E-3</v>
      </c>
      <c r="AX102">
        <v>4.4276889855743295E-4</v>
      </c>
      <c r="AY102">
        <v>4.7471261853304636E-4</v>
      </c>
      <c r="BB102">
        <v>4.3491885793588293E-2</v>
      </c>
      <c r="BC102">
        <v>6.473884653689943E-2</v>
      </c>
      <c r="BE102">
        <v>33640.663864128757</v>
      </c>
      <c r="BF102">
        <v>21.146390898779373</v>
      </c>
      <c r="BG102">
        <v>35868.401158521265</v>
      </c>
      <c r="BH102">
        <v>21.146970126884945</v>
      </c>
    </row>
    <row r="103" spans="3:60" x14ac:dyDescent="0.2">
      <c r="C103" s="138">
        <v>31859.202015531766</v>
      </c>
      <c r="D103">
        <v>20.716459424836714</v>
      </c>
      <c r="E103" s="138">
        <v>34050.822657240293</v>
      </c>
      <c r="F103" s="138">
        <v>20.698441638508083</v>
      </c>
      <c r="G103" s="138">
        <v>-2191.6206417085268</v>
      </c>
      <c r="H103" s="138">
        <v>1.8017786328631047E-2</v>
      </c>
      <c r="J103" s="135">
        <v>67500</v>
      </c>
      <c r="L103">
        <v>0.98199999999999998</v>
      </c>
      <c r="N103" s="138"/>
      <c r="O103" s="138"/>
      <c r="P103" s="138"/>
      <c r="R103">
        <v>332.90063315410208</v>
      </c>
      <c r="S103">
        <v>68.378429759693915</v>
      </c>
      <c r="T103">
        <v>209.94387500552023</v>
      </c>
      <c r="U103">
        <v>93.099195307556485</v>
      </c>
      <c r="X103">
        <v>0.72359358029848231</v>
      </c>
      <c r="Y103">
        <v>0.85320965590452391</v>
      </c>
      <c r="Z103">
        <v>0.88128259255971753</v>
      </c>
      <c r="AA103">
        <v>0.81724176222926848</v>
      </c>
      <c r="AB103">
        <v>0.54722288620517601</v>
      </c>
      <c r="AC103">
        <v>0.6580458061599519</v>
      </c>
      <c r="AD103">
        <v>0.74278802937492538</v>
      </c>
      <c r="AE103">
        <v>0.7409316765029218</v>
      </c>
      <c r="AH103">
        <v>0.27499777775598078</v>
      </c>
      <c r="AI103">
        <v>3.5137083387732915E-3</v>
      </c>
      <c r="AJ103">
        <v>6.2532356858404525E-2</v>
      </c>
      <c r="AK103">
        <v>7.3866929782705926E-2</v>
      </c>
      <c r="AL103">
        <v>0.17465633631855204</v>
      </c>
      <c r="AM103">
        <v>0.18208045556614305</v>
      </c>
      <c r="AN103">
        <v>8.0570542003843504E-2</v>
      </c>
      <c r="AO103">
        <v>0.2747099361511155</v>
      </c>
      <c r="AR103">
        <v>9.8694039171220993E-4</v>
      </c>
      <c r="AS103">
        <v>4.3943886163933131E-3</v>
      </c>
      <c r="AT103">
        <v>9.9873979497609899E-2</v>
      </c>
      <c r="AU103">
        <v>1.7993850054781602E-3</v>
      </c>
      <c r="AV103">
        <v>1.936240416478013E-3</v>
      </c>
      <c r="AW103">
        <v>3.2294835539826657E-3</v>
      </c>
      <c r="AX103">
        <v>3.9270576101530435E-4</v>
      </c>
      <c r="AY103">
        <v>3.807218696950279E-4</v>
      </c>
      <c r="BB103">
        <v>4.9204445174349284E-2</v>
      </c>
      <c r="BC103">
        <v>3.1189951303056625E-2</v>
      </c>
      <c r="BE103">
        <v>31859.202015531766</v>
      </c>
      <c r="BF103">
        <v>20.716459424836714</v>
      </c>
      <c r="BG103">
        <v>34050.822657240293</v>
      </c>
      <c r="BH103">
        <v>20.698441638508083</v>
      </c>
    </row>
    <row r="104" spans="3:60" x14ac:dyDescent="0.2">
      <c r="C104" s="138">
        <v>29068.929470127299</v>
      </c>
      <c r="D104">
        <v>21.34691825499776</v>
      </c>
      <c r="E104" s="138">
        <v>30966.26321668423</v>
      </c>
      <c r="F104" s="138">
        <v>21.318006707839462</v>
      </c>
      <c r="G104" s="138">
        <v>-1897.3337465569311</v>
      </c>
      <c r="H104" s="138">
        <v>2.8911547158298134E-2</v>
      </c>
      <c r="J104" s="135">
        <v>70000</v>
      </c>
      <c r="L104">
        <v>0.98</v>
      </c>
      <c r="N104" s="138"/>
      <c r="O104" s="138"/>
      <c r="P104" s="138"/>
      <c r="R104">
        <v>376.02888681554452</v>
      </c>
      <c r="S104">
        <v>52.220455342101218</v>
      </c>
      <c r="T104">
        <v>203.33391588200845</v>
      </c>
      <c r="U104">
        <v>98.243458132836111</v>
      </c>
      <c r="X104">
        <v>0.74977228635567961</v>
      </c>
      <c r="Y104">
        <v>0.88505741898115919</v>
      </c>
      <c r="Z104">
        <v>0.88520191906934897</v>
      </c>
      <c r="AA104">
        <v>0.42189786739676577</v>
      </c>
      <c r="AB104">
        <v>0.55705017704151916</v>
      </c>
      <c r="AC104">
        <v>0.88782694293587505</v>
      </c>
      <c r="AD104">
        <v>0.89855211805809942</v>
      </c>
      <c r="AE104">
        <v>0.59796466972896756</v>
      </c>
      <c r="AH104">
        <v>0.16469446049254555</v>
      </c>
      <c r="AI104">
        <v>0.11308681580274182</v>
      </c>
      <c r="AJ104">
        <v>0.11620203486817149</v>
      </c>
      <c r="AK104">
        <v>0.20774474140617982</v>
      </c>
      <c r="AL104">
        <v>0.19490793218690483</v>
      </c>
      <c r="AM104">
        <v>2.0280550314529688E-2</v>
      </c>
      <c r="AN104">
        <v>0.35527336111963059</v>
      </c>
      <c r="AO104">
        <v>0.16670079114300074</v>
      </c>
      <c r="AR104">
        <v>8.8993984254559511E-4</v>
      </c>
      <c r="AS104">
        <v>4.2661409872837529E-3</v>
      </c>
      <c r="AT104">
        <v>9.9705604792182767E-2</v>
      </c>
      <c r="AU104">
        <v>1.8959675636092009E-3</v>
      </c>
      <c r="AV104">
        <v>2.0775451830019609E-3</v>
      </c>
      <c r="AW104">
        <v>3.3201278706056787E-3</v>
      </c>
      <c r="AX104">
        <v>4.5294522576055929E-4</v>
      </c>
      <c r="AY104">
        <v>4.8253720818836054E-4</v>
      </c>
      <c r="BB104">
        <v>5.0971362162915645E-2</v>
      </c>
      <c r="BC104">
        <v>3.2041586486833418E-2</v>
      </c>
      <c r="BE104">
        <v>29068.929470127299</v>
      </c>
      <c r="BF104">
        <v>21.34691825499776</v>
      </c>
      <c r="BG104">
        <v>30966.26321668423</v>
      </c>
      <c r="BH104">
        <v>21.318006707839462</v>
      </c>
    </row>
    <row r="105" spans="3:60" x14ac:dyDescent="0.2">
      <c r="C105" s="138">
        <v>32844.234214366137</v>
      </c>
      <c r="D105">
        <v>21.752569520510843</v>
      </c>
      <c r="E105" s="138">
        <v>35025.686199656928</v>
      </c>
      <c r="F105" s="138">
        <v>21.74253596422118</v>
      </c>
      <c r="G105" s="138">
        <v>-2181.4519852907906</v>
      </c>
      <c r="H105" s="138">
        <v>1.0033556289663181E-2</v>
      </c>
      <c r="J105" s="135">
        <v>72500</v>
      </c>
      <c r="L105">
        <v>0.97799999999999998</v>
      </c>
      <c r="N105" s="138"/>
      <c r="O105" s="138"/>
      <c r="P105" s="138"/>
      <c r="R105">
        <v>106.39261790830597</v>
      </c>
      <c r="S105">
        <v>60.443571236494549</v>
      </c>
      <c r="T105">
        <v>241.84395463139558</v>
      </c>
      <c r="U105">
        <v>93.39895041173385</v>
      </c>
      <c r="X105">
        <v>0.79919991615153063</v>
      </c>
      <c r="Y105">
        <v>0.86451341661059389</v>
      </c>
      <c r="Z105">
        <v>0.63708129939849645</v>
      </c>
      <c r="AA105">
        <v>0.69644049184589341</v>
      </c>
      <c r="AB105">
        <v>0.67326059537277716</v>
      </c>
      <c r="AC105">
        <v>0.87257420069264779</v>
      </c>
      <c r="AD105">
        <v>0.81845071036612549</v>
      </c>
      <c r="AE105">
        <v>0.67979852524178996</v>
      </c>
      <c r="AH105">
        <v>0.18692436284035552</v>
      </c>
      <c r="AI105">
        <v>1.8530318059508888E-2</v>
      </c>
      <c r="AJ105">
        <v>0.13774203777176897</v>
      </c>
      <c r="AK105">
        <v>0.25729412605048163</v>
      </c>
      <c r="AL105">
        <v>0.16154328815257535</v>
      </c>
      <c r="AM105">
        <v>0.21106876938668917</v>
      </c>
      <c r="AN105">
        <v>0.18382732560953663</v>
      </c>
      <c r="AO105">
        <v>5.1194238781835155E-2</v>
      </c>
      <c r="AR105">
        <v>1.0349937243299134E-3</v>
      </c>
      <c r="AS105">
        <v>4.6917614825598974E-3</v>
      </c>
      <c r="AT105">
        <v>0.10080111570384687</v>
      </c>
      <c r="AU105">
        <v>1.9391742675666935E-3</v>
      </c>
      <c r="AV105">
        <v>2.036682682396096E-3</v>
      </c>
      <c r="AW105">
        <v>3.3056253009842366E-3</v>
      </c>
      <c r="AX105">
        <v>4.2256677750096561E-4</v>
      </c>
      <c r="AY105">
        <v>4.2688655116110614E-4</v>
      </c>
      <c r="BB105">
        <v>5.1962683769957829E-2</v>
      </c>
      <c r="BC105">
        <v>2.7346299379430814E-2</v>
      </c>
      <c r="BE105">
        <v>32844.234214366137</v>
      </c>
      <c r="BF105">
        <v>21.752569520510843</v>
      </c>
      <c r="BG105">
        <v>35025.686199656928</v>
      </c>
      <c r="BH105">
        <v>21.74253596422118</v>
      </c>
    </row>
    <row r="106" spans="3:60" x14ac:dyDescent="0.2">
      <c r="C106" s="138">
        <v>25469.835924241037</v>
      </c>
      <c r="D106">
        <v>21.534766519278374</v>
      </c>
      <c r="E106" s="138">
        <v>27926.800508469874</v>
      </c>
      <c r="F106" s="138">
        <v>21.532970055809091</v>
      </c>
      <c r="G106" s="138">
        <v>-2456.9645842288373</v>
      </c>
      <c r="H106" s="138">
        <v>1.7964634692830828E-3</v>
      </c>
      <c r="J106" s="135">
        <v>75000</v>
      </c>
      <c r="L106">
        <v>0.97599999999999998</v>
      </c>
      <c r="N106" s="138"/>
      <c r="O106" s="138"/>
      <c r="P106" s="138"/>
      <c r="R106">
        <v>223.62385340637434</v>
      </c>
      <c r="S106">
        <v>66.152129309553587</v>
      </c>
      <c r="T106">
        <v>240.01401782312141</v>
      </c>
      <c r="U106">
        <v>110.550586696248</v>
      </c>
      <c r="X106">
        <v>0.6210133607167404</v>
      </c>
      <c r="Y106">
        <v>0.71560950653532407</v>
      </c>
      <c r="Z106">
        <v>0.72501241211168377</v>
      </c>
      <c r="AA106">
        <v>0.42041999575944694</v>
      </c>
      <c r="AB106">
        <v>0.8541048988257216</v>
      </c>
      <c r="AC106">
        <v>0.70746989261492521</v>
      </c>
      <c r="AD106">
        <v>0.65950298724696221</v>
      </c>
      <c r="AE106">
        <v>0.83022447185807957</v>
      </c>
      <c r="AH106">
        <v>0.33469312345524682</v>
      </c>
      <c r="AI106">
        <v>0.13044186698583904</v>
      </c>
      <c r="AJ106">
        <v>6.1612414529734205E-2</v>
      </c>
      <c r="AK106">
        <v>0.2981652733595942</v>
      </c>
      <c r="AL106">
        <v>0.11192150331555117</v>
      </c>
      <c r="AM106">
        <v>0.22020605113942615</v>
      </c>
      <c r="AN106">
        <v>0.15367789927200759</v>
      </c>
      <c r="AO106">
        <v>4.1406012858089758E-2</v>
      </c>
      <c r="AR106">
        <v>9.5739752011947399E-4</v>
      </c>
      <c r="AS106">
        <v>4.4836634704401128E-3</v>
      </c>
      <c r="AT106">
        <v>9.9269122999015733E-2</v>
      </c>
      <c r="AU106">
        <v>1.9777379307565042E-3</v>
      </c>
      <c r="AV106">
        <v>2.0874921075715314E-3</v>
      </c>
      <c r="AW106">
        <v>3.5091594325574738E-3</v>
      </c>
      <c r="AX106">
        <v>5.1471613535847283E-4</v>
      </c>
      <c r="AY106">
        <v>3.7153736917050213E-4</v>
      </c>
      <c r="BB106">
        <v>5.1409050441282744E-2</v>
      </c>
      <c r="BC106">
        <v>3.7942253902746546E-2</v>
      </c>
      <c r="BE106">
        <v>25469.835924241037</v>
      </c>
      <c r="BF106">
        <v>21.534766519278374</v>
      </c>
      <c r="BG106">
        <v>27926.800508469874</v>
      </c>
      <c r="BH106">
        <v>21.532970055809091</v>
      </c>
    </row>
    <row r="107" spans="3:60" x14ac:dyDescent="0.2">
      <c r="C107" s="138">
        <v>30152.163779938219</v>
      </c>
      <c r="D107">
        <v>20.560720507385906</v>
      </c>
      <c r="E107" s="138">
        <v>33069.354882106498</v>
      </c>
      <c r="F107" s="138">
        <v>20.524182203772437</v>
      </c>
      <c r="G107" s="138">
        <v>-2917.191102168279</v>
      </c>
      <c r="H107" s="138">
        <v>3.653830361346877E-2</v>
      </c>
      <c r="J107" s="135">
        <v>77500</v>
      </c>
      <c r="L107">
        <v>0.97499999999999998</v>
      </c>
      <c r="N107" s="138"/>
      <c r="O107" s="138"/>
      <c r="P107" s="138"/>
      <c r="R107">
        <v>264.49590451325304</v>
      </c>
      <c r="S107">
        <v>53.076117585259247</v>
      </c>
      <c r="T107">
        <v>264.90780629709172</v>
      </c>
      <c r="U107">
        <v>81.502448323328096</v>
      </c>
      <c r="X107">
        <v>0.9857724046236096</v>
      </c>
      <c r="Y107">
        <v>0.8473218157216591</v>
      </c>
      <c r="Z107">
        <v>0.69044759186986371</v>
      </c>
      <c r="AA107">
        <v>0.69988856160687285</v>
      </c>
      <c r="AB107">
        <v>0.62045496782225662</v>
      </c>
      <c r="AC107">
        <v>0.80809178790625757</v>
      </c>
      <c r="AD107">
        <v>0.61405505694275875</v>
      </c>
      <c r="AE107">
        <v>0.68755552398004927</v>
      </c>
      <c r="AH107">
        <v>0.11872646347115245</v>
      </c>
      <c r="AI107">
        <v>2.3041592522597965E-2</v>
      </c>
      <c r="AJ107">
        <v>1.5558535200917989E-2</v>
      </c>
      <c r="AK107">
        <v>0.29435491131231373</v>
      </c>
      <c r="AL107">
        <v>1.9157726797894292E-2</v>
      </c>
      <c r="AM107">
        <v>0.23673167185036625</v>
      </c>
      <c r="AN107">
        <v>4.8226805599531075E-2</v>
      </c>
      <c r="AO107">
        <v>0.20732359073501438</v>
      </c>
      <c r="AR107">
        <v>9.6402533494011067E-4</v>
      </c>
      <c r="AS107">
        <v>4.7829197373587817E-3</v>
      </c>
      <c r="AT107">
        <v>9.9872544723158846E-2</v>
      </c>
      <c r="AU107">
        <v>1.8783639693278119E-3</v>
      </c>
      <c r="AV107">
        <v>1.942054219964841E-3</v>
      </c>
      <c r="AW107">
        <v>3.3831407943886618E-3</v>
      </c>
      <c r="AX107">
        <v>2.7929365739820034E-4</v>
      </c>
      <c r="AY107">
        <v>3.8172168143978981E-4</v>
      </c>
      <c r="BB107">
        <v>5.2252191302816442E-2</v>
      </c>
      <c r="BC107">
        <v>9.9485673091817994E-2</v>
      </c>
      <c r="BE107">
        <v>30152.163779938219</v>
      </c>
      <c r="BF107">
        <v>20.560720507385906</v>
      </c>
      <c r="BG107">
        <v>33069.354882106498</v>
      </c>
      <c r="BH107">
        <v>20.524182203772437</v>
      </c>
    </row>
    <row r="108" spans="3:60" x14ac:dyDescent="0.2">
      <c r="C108" s="138">
        <v>30051.303914412172</v>
      </c>
      <c r="D108">
        <v>21.438504345781311</v>
      </c>
      <c r="E108" s="138">
        <v>32000.361088175403</v>
      </c>
      <c r="F108" s="138">
        <v>21.450508663623101</v>
      </c>
      <c r="G108" s="138">
        <v>-1949.0571737632308</v>
      </c>
      <c r="H108" s="138">
        <v>-1.2004317841789458E-2</v>
      </c>
      <c r="J108" s="135">
        <v>80000</v>
      </c>
      <c r="L108">
        <v>0.97199999999999998</v>
      </c>
      <c r="N108" s="138"/>
      <c r="O108" s="138"/>
      <c r="P108" s="138"/>
      <c r="R108">
        <v>224.58769423938014</v>
      </c>
      <c r="S108">
        <v>68.15510794553839</v>
      </c>
      <c r="T108">
        <v>232.28341410088638</v>
      </c>
      <c r="U108">
        <v>100.09696530405333</v>
      </c>
      <c r="X108">
        <v>0.69601194456687254</v>
      </c>
      <c r="Y108">
        <v>0.89138976122247005</v>
      </c>
      <c r="Z108">
        <v>0.78882610563057332</v>
      </c>
      <c r="AA108">
        <v>0.86224705937638479</v>
      </c>
      <c r="AB108">
        <v>0.59530828641510158</v>
      </c>
      <c r="AC108">
        <v>0.88432158396988148</v>
      </c>
      <c r="AD108">
        <v>0.81527370510608588</v>
      </c>
      <c r="AE108">
        <v>0.7805698740040643</v>
      </c>
      <c r="AH108">
        <v>1.2038586967723086E-2</v>
      </c>
      <c r="AI108">
        <v>0.1083870387756356</v>
      </c>
      <c r="AJ108">
        <v>6.153562022315584E-2</v>
      </c>
      <c r="AK108">
        <v>0.29383384929713574</v>
      </c>
      <c r="AL108">
        <v>0.12855803839959679</v>
      </c>
      <c r="AM108">
        <v>0.16302072386473743</v>
      </c>
      <c r="AN108">
        <v>0.16547324215572823</v>
      </c>
      <c r="AO108">
        <v>6.6815668340314049E-2</v>
      </c>
      <c r="AR108">
        <v>9.6377234862898842E-4</v>
      </c>
      <c r="AS108">
        <v>4.2690829821358297E-3</v>
      </c>
      <c r="AT108">
        <v>9.9774353958635972E-2</v>
      </c>
      <c r="AU108">
        <v>2.1690189984570063E-3</v>
      </c>
      <c r="AV108">
        <v>2.1007666871666331E-3</v>
      </c>
      <c r="AW108">
        <v>3.4549029023808187E-3</v>
      </c>
      <c r="AX108">
        <v>4.840268317143348E-4</v>
      </c>
      <c r="AY108">
        <v>4.3266798817199765E-4</v>
      </c>
      <c r="BB108">
        <v>5.6707513262381881E-2</v>
      </c>
      <c r="BC108">
        <v>6.6620873009960224E-2</v>
      </c>
      <c r="BE108">
        <v>30051.303914412172</v>
      </c>
      <c r="BF108">
        <v>21.438504345781311</v>
      </c>
      <c r="BG108">
        <v>32000.361088175403</v>
      </c>
      <c r="BH108">
        <v>21.450508663623101</v>
      </c>
    </row>
    <row r="109" spans="3:60" x14ac:dyDescent="0.2">
      <c r="C109" s="138">
        <v>32525.764867474219</v>
      </c>
      <c r="D109">
        <v>20.738424847238043</v>
      </c>
      <c r="E109" s="138">
        <v>34580.845550151862</v>
      </c>
      <c r="F109" s="138">
        <v>20.747954147236513</v>
      </c>
      <c r="G109" s="138">
        <v>-2055.0806826776425</v>
      </c>
      <c r="H109" s="138">
        <v>-9.5292999984692983E-3</v>
      </c>
      <c r="J109" s="135">
        <v>82500</v>
      </c>
      <c r="L109">
        <v>0.97199999999999998</v>
      </c>
      <c r="N109" s="138"/>
      <c r="O109" s="138"/>
      <c r="P109" s="138"/>
      <c r="R109">
        <v>210.26032722030334</v>
      </c>
      <c r="S109">
        <v>61.507361961673588</v>
      </c>
      <c r="T109">
        <v>218.73307454189779</v>
      </c>
      <c r="U109">
        <v>76.349716617266211</v>
      </c>
      <c r="X109">
        <v>0.81891915252829395</v>
      </c>
      <c r="Y109">
        <v>0.94444901462561859</v>
      </c>
      <c r="Z109">
        <v>0.46570815769409019</v>
      </c>
      <c r="AA109">
        <v>0.73426519549788327</v>
      </c>
      <c r="AB109">
        <v>0.59333453097661193</v>
      </c>
      <c r="AC109">
        <v>0.56976482909655324</v>
      </c>
      <c r="AD109">
        <v>0.85042391248383953</v>
      </c>
      <c r="AE109">
        <v>0.71949573642607045</v>
      </c>
      <c r="AH109">
        <v>0.29591778300937788</v>
      </c>
      <c r="AI109">
        <v>0.15776454051497957</v>
      </c>
      <c r="AJ109">
        <v>0.11750311709542827</v>
      </c>
      <c r="AK109">
        <v>0.14782738812858898</v>
      </c>
      <c r="AL109">
        <v>2.8059975822975147E-2</v>
      </c>
      <c r="AM109">
        <v>4.6659515907206739E-2</v>
      </c>
      <c r="AN109">
        <v>7.2878255526916513E-2</v>
      </c>
      <c r="AO109">
        <v>6.399138731883347E-2</v>
      </c>
      <c r="AR109">
        <v>6.9357790601593308E-4</v>
      </c>
      <c r="AS109">
        <v>4.387702869392664E-3</v>
      </c>
      <c r="AT109">
        <v>0.10086192538648853</v>
      </c>
      <c r="AU109">
        <v>2.0022601175501142E-3</v>
      </c>
      <c r="AV109">
        <v>2.0535230846524533E-3</v>
      </c>
      <c r="AW109">
        <v>3.4246389622940576E-3</v>
      </c>
      <c r="AX109">
        <v>3.3992994826549623E-4</v>
      </c>
      <c r="AY109">
        <v>4.8307512202394598E-4</v>
      </c>
      <c r="BB109">
        <v>4.1545951000168065E-2</v>
      </c>
      <c r="BC109">
        <v>5.890098133774746E-2</v>
      </c>
      <c r="BE109">
        <v>32525.764867474219</v>
      </c>
      <c r="BF109">
        <v>20.738424847238043</v>
      </c>
      <c r="BG109">
        <v>34580.845550151862</v>
      </c>
      <c r="BH109">
        <v>20.747954147236513</v>
      </c>
    </row>
    <row r="110" spans="3:60" x14ac:dyDescent="0.2">
      <c r="C110" s="138">
        <v>26845.559217805483</v>
      </c>
      <c r="D110">
        <v>19.324476194209538</v>
      </c>
      <c r="E110" s="138">
        <v>28457.563937113599</v>
      </c>
      <c r="F110" s="138">
        <v>19.249518076288293</v>
      </c>
      <c r="G110" s="138">
        <v>-1612.0047193081155</v>
      </c>
      <c r="H110" s="138">
        <v>7.4958117921244849E-2</v>
      </c>
      <c r="J110" s="135">
        <v>85000</v>
      </c>
      <c r="L110">
        <v>0.96899999999999997</v>
      </c>
      <c r="N110" s="138"/>
      <c r="O110" s="138"/>
      <c r="P110" s="138"/>
      <c r="R110">
        <v>267.76758792582848</v>
      </c>
      <c r="S110">
        <v>51.164056107427484</v>
      </c>
      <c r="T110">
        <v>253.89971543214995</v>
      </c>
      <c r="U110">
        <v>105.72959977892687</v>
      </c>
      <c r="X110">
        <v>0.57373804496471748</v>
      </c>
      <c r="Y110">
        <v>0.90918010386283954</v>
      </c>
      <c r="Z110">
        <v>0.74842545207517963</v>
      </c>
      <c r="AA110">
        <v>0.85460660784919917</v>
      </c>
      <c r="AB110">
        <v>0.92421598614061029</v>
      </c>
      <c r="AC110">
        <v>0.84550121712776483</v>
      </c>
      <c r="AD110">
        <v>0.85736234688845681</v>
      </c>
      <c r="AE110">
        <v>0.74751672762792265</v>
      </c>
      <c r="AH110">
        <v>0.39920770029011887</v>
      </c>
      <c r="AI110">
        <v>0.20284791866167851</v>
      </c>
      <c r="AJ110">
        <v>9.6715506448160626E-2</v>
      </c>
      <c r="AK110">
        <v>6.1618026144656723E-2</v>
      </c>
      <c r="AL110">
        <v>0.18210944138895147</v>
      </c>
      <c r="AM110">
        <v>4.8243723699841423E-2</v>
      </c>
      <c r="AN110">
        <v>0.11478704448727561</v>
      </c>
      <c r="AO110">
        <v>9.4088843099499941E-2</v>
      </c>
      <c r="AR110">
        <v>9.9024665534863665E-4</v>
      </c>
      <c r="AS110">
        <v>4.7429417910169747E-3</v>
      </c>
      <c r="AT110">
        <v>9.9439121101576031E-2</v>
      </c>
      <c r="AU110">
        <v>1.732637509610829E-3</v>
      </c>
      <c r="AV110">
        <v>2.2145458689408759E-3</v>
      </c>
      <c r="AW110">
        <v>3.488529152350317E-3</v>
      </c>
      <c r="AX110">
        <v>4.9270364516140752E-4</v>
      </c>
      <c r="AY110">
        <v>5.2171382971866187E-4</v>
      </c>
      <c r="BB110">
        <v>4.3661234216625933E-2</v>
      </c>
      <c r="BC110">
        <v>1.9644189948826839E-2</v>
      </c>
      <c r="BE110">
        <v>26845.559217805483</v>
      </c>
      <c r="BF110">
        <v>19.324476194209538</v>
      </c>
      <c r="BG110">
        <v>28457.563937113599</v>
      </c>
      <c r="BH110">
        <v>19.249518076288293</v>
      </c>
    </row>
    <row r="111" spans="3:60" x14ac:dyDescent="0.2">
      <c r="C111" s="138">
        <v>28788.535064177009</v>
      </c>
      <c r="D111">
        <v>19.946915476968286</v>
      </c>
      <c r="E111" s="138">
        <v>30093.726455598608</v>
      </c>
      <c r="F111" s="138">
        <v>19.904007738887952</v>
      </c>
      <c r="G111" s="138">
        <v>-1305.1913914215984</v>
      </c>
      <c r="H111" s="138">
        <v>4.2907738080334212E-2</v>
      </c>
      <c r="J111" s="135">
        <v>87500</v>
      </c>
      <c r="L111">
        <v>0.96599999999999997</v>
      </c>
      <c r="N111" s="138"/>
      <c r="O111" s="138"/>
      <c r="P111" s="138"/>
      <c r="R111">
        <v>313.77573567156628</v>
      </c>
      <c r="S111">
        <v>70.045442748804291</v>
      </c>
      <c r="T111">
        <v>222.27669974432723</v>
      </c>
      <c r="U111">
        <v>98.466995619229365</v>
      </c>
      <c r="X111">
        <v>0.66801149301508778</v>
      </c>
      <c r="Y111">
        <v>0.68240132806406473</v>
      </c>
      <c r="Z111">
        <v>0.76853177870714096</v>
      </c>
      <c r="AA111">
        <v>0.45646062784657576</v>
      </c>
      <c r="AB111">
        <v>0.80866548448376729</v>
      </c>
      <c r="AC111">
        <v>0.91931042378267791</v>
      </c>
      <c r="AD111">
        <v>0.76034354117565983</v>
      </c>
      <c r="AE111">
        <v>0.77373884631582313</v>
      </c>
      <c r="AH111">
        <v>0.14784608717668668</v>
      </c>
      <c r="AI111">
        <v>0.10289154972017756</v>
      </c>
      <c r="AJ111">
        <v>7.190960984565431E-2</v>
      </c>
      <c r="AK111">
        <v>1.313012332275787E-2</v>
      </c>
      <c r="AL111">
        <v>0.35737714803456433</v>
      </c>
      <c r="AM111">
        <v>0.22376236123971593</v>
      </c>
      <c r="AN111">
        <v>0.26820735850503274</v>
      </c>
      <c r="AO111">
        <v>0.25361781161726349</v>
      </c>
      <c r="AR111">
        <v>9.6632684563013882E-4</v>
      </c>
      <c r="AS111">
        <v>4.1667601292475773E-3</v>
      </c>
      <c r="AT111">
        <v>0.10064538227682573</v>
      </c>
      <c r="AU111">
        <v>1.9558885453155018E-3</v>
      </c>
      <c r="AV111">
        <v>1.9173473017481343E-3</v>
      </c>
      <c r="AW111">
        <v>3.4371678113503945E-3</v>
      </c>
      <c r="AX111">
        <v>3.6863561592110082E-4</v>
      </c>
      <c r="AY111">
        <v>4.5601878787149275E-4</v>
      </c>
      <c r="BB111">
        <v>4.4328150043498819E-2</v>
      </c>
      <c r="BC111">
        <v>1.4093847256966703E-2</v>
      </c>
      <c r="BE111">
        <v>28788.535064177009</v>
      </c>
      <c r="BF111">
        <v>19.946915476968286</v>
      </c>
      <c r="BG111">
        <v>30093.726455598608</v>
      </c>
      <c r="BH111">
        <v>19.904007738887952</v>
      </c>
    </row>
    <row r="112" spans="3:60" x14ac:dyDescent="0.2">
      <c r="C112" s="138">
        <v>27858.546445395652</v>
      </c>
      <c r="D112">
        <v>21.395859179196265</v>
      </c>
      <c r="E112" s="138">
        <v>29849.177616818892</v>
      </c>
      <c r="F112" s="138">
        <v>21.370643487628392</v>
      </c>
      <c r="G112" s="138">
        <v>-1990.6311714232397</v>
      </c>
      <c r="H112" s="138">
        <v>2.5215691567872511E-2</v>
      </c>
      <c r="J112" s="135">
        <v>90000</v>
      </c>
      <c r="L112">
        <v>0.96399999999999997</v>
      </c>
      <c r="N112" s="138"/>
      <c r="O112" s="138"/>
      <c r="P112" s="138"/>
      <c r="R112">
        <v>209.03116875826908</v>
      </c>
      <c r="S112">
        <v>59.8991492625223</v>
      </c>
      <c r="T112">
        <v>260.82141645816705</v>
      </c>
      <c r="U112">
        <v>97.525480688387901</v>
      </c>
      <c r="X112">
        <v>0.7861314370904986</v>
      </c>
      <c r="Y112">
        <v>0.81870788161226615</v>
      </c>
      <c r="Z112">
        <v>0.92801597111440803</v>
      </c>
      <c r="AA112">
        <v>0.90525733860373414</v>
      </c>
      <c r="AB112">
        <v>0.5941852740438236</v>
      </c>
      <c r="AC112">
        <v>0.89127646506369884</v>
      </c>
      <c r="AD112">
        <v>0.69751664180352313</v>
      </c>
      <c r="AE112">
        <v>0.90256166389743786</v>
      </c>
      <c r="AH112">
        <v>7.9050922779253407E-2</v>
      </c>
      <c r="AI112">
        <v>8.8190853840726668E-2</v>
      </c>
      <c r="AJ112">
        <v>0.16478700853357164</v>
      </c>
      <c r="AK112">
        <v>1.457676091697846E-2</v>
      </c>
      <c r="AL112">
        <v>8.4048196115841467E-2</v>
      </c>
      <c r="AM112">
        <v>6.6419433638392866E-2</v>
      </c>
      <c r="AN112">
        <v>9.9183040849282866E-2</v>
      </c>
      <c r="AO112">
        <v>0.23093873210536753</v>
      </c>
      <c r="AR112">
        <v>9.6184207091998264E-4</v>
      </c>
      <c r="AS112">
        <v>4.2652220830049544E-3</v>
      </c>
      <c r="AT112">
        <v>0.10021941816039914</v>
      </c>
      <c r="AU112">
        <v>1.8288067564171573E-3</v>
      </c>
      <c r="AV112">
        <v>2.0342063324848558E-3</v>
      </c>
      <c r="AW112">
        <v>3.3396071818833982E-3</v>
      </c>
      <c r="AX112">
        <v>3.2548797859630887E-4</v>
      </c>
      <c r="AY112">
        <v>3.3409750911772069E-4</v>
      </c>
      <c r="BB112">
        <v>5.034215005984255E-2</v>
      </c>
      <c r="BC112">
        <v>6.3330592861378765E-2</v>
      </c>
      <c r="BE112">
        <v>27858.546445395652</v>
      </c>
      <c r="BF112">
        <v>21.395859179196265</v>
      </c>
      <c r="BG112">
        <v>29849.177616818892</v>
      </c>
      <c r="BH112">
        <v>21.370643487628392</v>
      </c>
    </row>
    <row r="113" spans="3:60" x14ac:dyDescent="0.2">
      <c r="C113" s="138">
        <v>33182.662890135391</v>
      </c>
      <c r="D113">
        <v>20.813090673257737</v>
      </c>
      <c r="E113" s="138">
        <v>35141.347255897374</v>
      </c>
      <c r="F113" s="138">
        <v>20.796288664623216</v>
      </c>
      <c r="G113" s="138">
        <v>-1958.6843657619829</v>
      </c>
      <c r="H113" s="138">
        <v>1.680200863452086E-2</v>
      </c>
      <c r="J113" s="135">
        <v>92500</v>
      </c>
      <c r="L113">
        <v>0.96299999999999997</v>
      </c>
      <c r="N113" s="138"/>
      <c r="O113" s="138"/>
      <c r="P113" s="138"/>
      <c r="R113">
        <v>291.32635539311104</v>
      </c>
      <c r="S113">
        <v>71.407929039745682</v>
      </c>
      <c r="T113">
        <v>292.0883035065068</v>
      </c>
      <c r="U113">
        <v>91.318936168367131</v>
      </c>
      <c r="X113">
        <v>0.83718538150803246</v>
      </c>
      <c r="Y113">
        <v>0.48161814125309849</v>
      </c>
      <c r="Z113">
        <v>0.86263552960876178</v>
      </c>
      <c r="AA113">
        <v>0.89118752660445777</v>
      </c>
      <c r="AB113">
        <v>0.89262601843171163</v>
      </c>
      <c r="AC113">
        <v>0.85336326285085562</v>
      </c>
      <c r="AD113">
        <v>0.83511431722325713</v>
      </c>
      <c r="AE113">
        <v>0.86653050200380655</v>
      </c>
      <c r="AH113">
        <v>0.15118811994864667</v>
      </c>
      <c r="AI113">
        <v>0.20203948077059108</v>
      </c>
      <c r="AJ113">
        <v>0.14561675436903332</v>
      </c>
      <c r="AK113">
        <v>7.3205138747961085E-2</v>
      </c>
      <c r="AL113">
        <v>7.6213254657623297E-2</v>
      </c>
      <c r="AM113">
        <v>0.23837405618338814</v>
      </c>
      <c r="AN113">
        <v>1.2637576703513842E-2</v>
      </c>
      <c r="AO113">
        <v>9.0824481030532533E-2</v>
      </c>
      <c r="AR113">
        <v>8.7089001348335466E-4</v>
      </c>
      <c r="AS113">
        <v>4.1098657039584981E-3</v>
      </c>
      <c r="AT113">
        <v>9.9663337956702833E-2</v>
      </c>
      <c r="AU113">
        <v>2.0420445360049833E-3</v>
      </c>
      <c r="AV113">
        <v>1.9633437709743475E-3</v>
      </c>
      <c r="AW113">
        <v>3.4238923196913129E-3</v>
      </c>
      <c r="AX113">
        <v>3.7258291538076158E-4</v>
      </c>
      <c r="AY113">
        <v>4.2909665301963865E-4</v>
      </c>
      <c r="BB113">
        <v>4.786071685325919E-2</v>
      </c>
      <c r="BC113">
        <v>5.5483588587875721E-2</v>
      </c>
      <c r="BE113">
        <v>33182.662890135391</v>
      </c>
      <c r="BF113">
        <v>20.813090673257737</v>
      </c>
      <c r="BG113">
        <v>35141.347255897374</v>
      </c>
      <c r="BH113">
        <v>20.796288664623216</v>
      </c>
    </row>
    <row r="114" spans="3:60" x14ac:dyDescent="0.2">
      <c r="C114" s="138">
        <v>33086.876523713319</v>
      </c>
      <c r="D114">
        <v>21.183358906177045</v>
      </c>
      <c r="E114" s="138">
        <v>35078.550314562075</v>
      </c>
      <c r="F114" s="138">
        <v>21.16917410393393</v>
      </c>
      <c r="G114" s="138">
        <v>-1991.6737908487557</v>
      </c>
      <c r="H114" s="138">
        <v>1.4184802243114802E-2</v>
      </c>
      <c r="J114" s="135">
        <v>95000</v>
      </c>
      <c r="L114">
        <v>0.96299999999999997</v>
      </c>
      <c r="N114" s="138"/>
      <c r="O114" s="138"/>
      <c r="P114" s="138"/>
      <c r="R114">
        <v>269.58423260645782</v>
      </c>
      <c r="S114">
        <v>71.761297712605725</v>
      </c>
      <c r="T114">
        <v>264.13169922284663</v>
      </c>
      <c r="U114">
        <v>80.705972005850981</v>
      </c>
      <c r="X114">
        <v>0.74381343540542721</v>
      </c>
      <c r="Y114">
        <v>0.67439937427158625</v>
      </c>
      <c r="Z114">
        <v>0.8079095119530324</v>
      </c>
      <c r="AA114">
        <v>0.46820313018813792</v>
      </c>
      <c r="AB114">
        <v>0.5939759827633706</v>
      </c>
      <c r="AC114">
        <v>0.72902771618573925</v>
      </c>
      <c r="AD114">
        <v>0.81259507689901644</v>
      </c>
      <c r="AE114">
        <v>0.9646645544150424</v>
      </c>
      <c r="AH114">
        <v>9.5004419405213536E-2</v>
      </c>
      <c r="AI114">
        <v>0.19522693866816443</v>
      </c>
      <c r="AJ114">
        <v>0.16619757594095463</v>
      </c>
      <c r="AK114">
        <v>0.30188764214854658</v>
      </c>
      <c r="AL114">
        <v>0.13004781083020922</v>
      </c>
      <c r="AM114">
        <v>4.2290648788614549E-2</v>
      </c>
      <c r="AN114">
        <v>0.22441451761155529</v>
      </c>
      <c r="AO114">
        <v>0.12361916708004927</v>
      </c>
      <c r="AR114">
        <v>8.5840932183728997E-4</v>
      </c>
      <c r="AS114">
        <v>4.5798854146572587E-3</v>
      </c>
      <c r="AT114">
        <v>0.10159949683513703</v>
      </c>
      <c r="AU114">
        <v>2.1037044736792465E-3</v>
      </c>
      <c r="AV114">
        <v>1.9568884139442508E-3</v>
      </c>
      <c r="AW114">
        <v>3.2705072853544946E-3</v>
      </c>
      <c r="AX114">
        <v>4.5662062696127936E-4</v>
      </c>
      <c r="AY114">
        <v>5.438144112358545E-4</v>
      </c>
      <c r="BB114">
        <v>5.3201229098672864E-2</v>
      </c>
      <c r="BC114">
        <v>4.7784978488817353E-2</v>
      </c>
      <c r="BE114">
        <v>33086.876523713319</v>
      </c>
      <c r="BF114">
        <v>21.183358906177045</v>
      </c>
      <c r="BG114">
        <v>35078.550314562075</v>
      </c>
      <c r="BH114">
        <v>21.16917410393393</v>
      </c>
    </row>
    <row r="115" spans="3:60" x14ac:dyDescent="0.2">
      <c r="C115" s="138">
        <v>35922.898295200263</v>
      </c>
      <c r="D115">
        <v>20.760893289208418</v>
      </c>
      <c r="E115" s="138">
        <v>37884.455222606259</v>
      </c>
      <c r="F115" s="138">
        <v>20.745838409625204</v>
      </c>
      <c r="G115" s="138">
        <v>-1961.5569274059962</v>
      </c>
      <c r="H115" s="138">
        <v>1.5054879583214387E-2</v>
      </c>
      <c r="J115" s="135">
        <v>97500</v>
      </c>
      <c r="L115">
        <v>0.96199999999999997</v>
      </c>
      <c r="N115" s="138"/>
      <c r="O115" s="138"/>
      <c r="P115" s="138"/>
      <c r="R115">
        <v>485.63635760795114</v>
      </c>
      <c r="S115">
        <v>65.421991524005605</v>
      </c>
      <c r="T115">
        <v>216.42543291987806</v>
      </c>
      <c r="U115">
        <v>101.32253467486653</v>
      </c>
      <c r="X115">
        <v>0.73242400113875994</v>
      </c>
      <c r="Y115">
        <v>0.853912254198258</v>
      </c>
      <c r="Z115">
        <v>0.48129917476150458</v>
      </c>
      <c r="AA115">
        <v>0.60514329214583351</v>
      </c>
      <c r="AB115">
        <v>0.82422191879984319</v>
      </c>
      <c r="AC115">
        <v>0.83352260428147007</v>
      </c>
      <c r="AD115">
        <v>0.52230107041555418</v>
      </c>
      <c r="AE115">
        <v>0.94820969084556483</v>
      </c>
      <c r="AH115">
        <v>9.2822618367487619E-2</v>
      </c>
      <c r="AI115">
        <v>3.8771095533510547E-2</v>
      </c>
      <c r="AJ115">
        <v>0.19271037437064564</v>
      </c>
      <c r="AK115">
        <v>0.11515893750512995</v>
      </c>
      <c r="AL115">
        <v>0.24318163955360217</v>
      </c>
      <c r="AM115">
        <v>0.15111693663999548</v>
      </c>
      <c r="AN115">
        <v>0.11802392027738973</v>
      </c>
      <c r="AO115">
        <v>0.16924391458711496</v>
      </c>
      <c r="AR115">
        <v>9.4507550199307566E-4</v>
      </c>
      <c r="AS115">
        <v>4.4205414259401304E-3</v>
      </c>
      <c r="AT115">
        <v>9.9117856261478871E-2</v>
      </c>
      <c r="AU115">
        <v>2.075625543141113E-3</v>
      </c>
      <c r="AV115">
        <v>1.8868644342615404E-3</v>
      </c>
      <c r="AW115">
        <v>3.6135910977119767E-3</v>
      </c>
      <c r="AX115">
        <v>3.2252423106644346E-4</v>
      </c>
      <c r="AY115">
        <v>5.1578378959538096E-4</v>
      </c>
      <c r="BB115">
        <v>5.5164576963413814E-2</v>
      </c>
      <c r="BC115">
        <v>5.571564083420899E-2</v>
      </c>
      <c r="BE115">
        <v>35922.898295200263</v>
      </c>
      <c r="BF115">
        <v>20.760893289208418</v>
      </c>
      <c r="BG115">
        <v>37884.455222606259</v>
      </c>
      <c r="BH115">
        <v>20.745838409625204</v>
      </c>
    </row>
    <row r="116" spans="3:60" x14ac:dyDescent="0.2">
      <c r="C116" s="138">
        <v>27670.253715660532</v>
      </c>
      <c r="D116">
        <v>20.845126899184649</v>
      </c>
      <c r="E116" s="138">
        <v>29254.759801594781</v>
      </c>
      <c r="F116" s="138">
        <v>20.810346099451088</v>
      </c>
      <c r="G116" s="138">
        <v>-1584.5060859342484</v>
      </c>
      <c r="H116" s="138">
        <v>3.4780799733560741E-2</v>
      </c>
      <c r="J116" s="135">
        <v>100000</v>
      </c>
      <c r="L116">
        <v>0.96099999999999997</v>
      </c>
      <c r="N116" s="138"/>
      <c r="O116" s="138"/>
      <c r="P116" s="138"/>
      <c r="R116">
        <v>315.02721702526503</v>
      </c>
      <c r="S116">
        <v>63.830527421950769</v>
      </c>
      <c r="T116">
        <v>236.56297445349477</v>
      </c>
      <c r="U116">
        <v>104.95525428382327</v>
      </c>
      <c r="X116">
        <v>0.61874686898298037</v>
      </c>
      <c r="Y116">
        <v>0.69461340105952929</v>
      </c>
      <c r="Z116">
        <v>0.80307170594604005</v>
      </c>
      <c r="AA116">
        <v>0.94761481131138869</v>
      </c>
      <c r="AB116">
        <v>0.79142902130044179</v>
      </c>
      <c r="AC116">
        <v>0.9006596696411342</v>
      </c>
      <c r="AD116">
        <v>0.74773167997915968</v>
      </c>
      <c r="AE116">
        <v>0.55581423889011206</v>
      </c>
      <c r="AH116">
        <v>0.19889375799327891</v>
      </c>
      <c r="AI116">
        <v>0.11121388903569218</v>
      </c>
      <c r="AJ116">
        <v>0.12250601708115372</v>
      </c>
      <c r="AK116">
        <v>0.26472006445269258</v>
      </c>
      <c r="AL116">
        <v>0.21177283866215502</v>
      </c>
      <c r="AM116">
        <v>0.11326830141480215</v>
      </c>
      <c r="AN116">
        <v>0.11879772336372552</v>
      </c>
      <c r="AO116">
        <v>9.2477752524730228E-2</v>
      </c>
      <c r="AR116">
        <v>7.5500041687752255E-4</v>
      </c>
      <c r="AS116">
        <v>4.8051017565418075E-3</v>
      </c>
      <c r="AT116">
        <v>9.9767697872290048E-2</v>
      </c>
      <c r="AU116">
        <v>2.2341275009921668E-3</v>
      </c>
      <c r="AV116">
        <v>1.7701617926582545E-3</v>
      </c>
      <c r="AW116">
        <v>3.5215469314572312E-3</v>
      </c>
      <c r="AX116">
        <v>3.9239415764600249E-4</v>
      </c>
      <c r="AY116">
        <v>5.3602102124816753E-4</v>
      </c>
      <c r="BB116">
        <v>4.7841248496231836E-2</v>
      </c>
      <c r="BC116">
        <v>5.0481569755056688E-2</v>
      </c>
      <c r="BE116">
        <v>27670.253715660532</v>
      </c>
      <c r="BF116">
        <v>20.845126899184649</v>
      </c>
      <c r="BG116">
        <v>29254.759801594781</v>
      </c>
      <c r="BH116">
        <v>20.810346099451088</v>
      </c>
    </row>
    <row r="117" spans="3:60" x14ac:dyDescent="0.2">
      <c r="C117" s="138">
        <v>38194.248231310747</v>
      </c>
      <c r="D117">
        <v>21.49772083961621</v>
      </c>
      <c r="E117" s="138">
        <v>40420.565968151794</v>
      </c>
      <c r="F117" s="138">
        <v>21.479967307464079</v>
      </c>
      <c r="G117" s="138">
        <v>-2226.317736841047</v>
      </c>
      <c r="H117" s="138">
        <v>1.7753532152131157E-2</v>
      </c>
      <c r="J117" s="135">
        <v>102500</v>
      </c>
      <c r="L117">
        <v>0.96</v>
      </c>
      <c r="N117" s="138"/>
      <c r="O117" s="138"/>
      <c r="P117" s="138"/>
      <c r="R117">
        <v>355.63230009433437</v>
      </c>
      <c r="S117">
        <v>76.742861890573437</v>
      </c>
      <c r="T117">
        <v>213.50958196146578</v>
      </c>
      <c r="U117">
        <v>100.48315585626479</v>
      </c>
      <c r="X117">
        <v>0.52002320462837859</v>
      </c>
      <c r="Y117">
        <v>0.84468465240014057</v>
      </c>
      <c r="Z117">
        <v>0.69450528735368611</v>
      </c>
      <c r="AA117">
        <v>0.5446439018126662</v>
      </c>
      <c r="AB117">
        <v>0.87003897196020019</v>
      </c>
      <c r="AC117">
        <v>0.57564476226693673</v>
      </c>
      <c r="AD117">
        <v>0.77940093682469613</v>
      </c>
      <c r="AE117">
        <v>0.77518730244866263</v>
      </c>
      <c r="AH117">
        <v>0.1211785204950705</v>
      </c>
      <c r="AI117">
        <v>0.14754139759542628</v>
      </c>
      <c r="AJ117">
        <v>3.2169554663132094E-2</v>
      </c>
      <c r="AK117">
        <v>3.3726760131673084E-2</v>
      </c>
      <c r="AL117">
        <v>1.6373749516660929E-2</v>
      </c>
      <c r="AM117">
        <v>0.21745705266941739</v>
      </c>
      <c r="AN117">
        <v>0.22661845273590842</v>
      </c>
      <c r="AO117">
        <v>0.17049518737735692</v>
      </c>
      <c r="AR117">
        <v>8.1114683898204671E-4</v>
      </c>
      <c r="AS117">
        <v>4.8698970025551347E-3</v>
      </c>
      <c r="AT117">
        <v>0.10105832717668406</v>
      </c>
      <c r="AU117">
        <v>2.4253206218839418E-3</v>
      </c>
      <c r="AV117">
        <v>2.2422811091935557E-3</v>
      </c>
      <c r="AW117">
        <v>3.2382230277841735E-3</v>
      </c>
      <c r="AX117">
        <v>3.9918341404387991E-4</v>
      </c>
      <c r="AY117">
        <v>4.3057087542743114E-4</v>
      </c>
      <c r="BB117">
        <v>5.1780571911199447E-2</v>
      </c>
      <c r="BC117">
        <v>3.6185321369435752E-2</v>
      </c>
      <c r="BE117">
        <v>38194.248231310747</v>
      </c>
      <c r="BF117">
        <v>21.49772083961621</v>
      </c>
      <c r="BG117">
        <v>40420.565968151794</v>
      </c>
      <c r="BH117">
        <v>21.479967307464079</v>
      </c>
    </row>
    <row r="118" spans="3:60" x14ac:dyDescent="0.2">
      <c r="C118" s="140">
        <v>34704.353306904042</v>
      </c>
      <c r="D118">
        <v>20.439449330350026</v>
      </c>
      <c r="E118" s="140">
        <v>36790.138160478476</v>
      </c>
      <c r="F118" s="140">
        <v>20.405798217436608</v>
      </c>
      <c r="G118" s="140">
        <v>-2085.7848535744342</v>
      </c>
      <c r="H118" s="140">
        <v>3.3651112913418046E-2</v>
      </c>
      <c r="J118" s="135">
        <v>105000</v>
      </c>
      <c r="L118">
        <v>0.95799999999999996</v>
      </c>
      <c r="N118" s="138"/>
      <c r="O118" s="138"/>
      <c r="P118" s="138"/>
      <c r="R118">
        <v>197.03818238168932</v>
      </c>
      <c r="S118">
        <v>66.024077658062026</v>
      </c>
      <c r="T118">
        <v>262.08594555672249</v>
      </c>
      <c r="U118">
        <v>85.258736147427499</v>
      </c>
      <c r="X118">
        <v>0.78997287577676878</v>
      </c>
      <c r="Y118">
        <v>0.64220638819612241</v>
      </c>
      <c r="Z118">
        <v>0.86767695560883251</v>
      </c>
      <c r="AA118">
        <v>0.64843972229658664</v>
      </c>
      <c r="AB118">
        <v>0.39016756039070444</v>
      </c>
      <c r="AC118">
        <v>0.74434892379588058</v>
      </c>
      <c r="AD118">
        <v>0.85132296697375209</v>
      </c>
      <c r="AE118">
        <v>0.88587314872759382</v>
      </c>
      <c r="AH118">
        <v>0.12254807335404783</v>
      </c>
      <c r="AI118">
        <v>8.8430143942020645E-2</v>
      </c>
      <c r="AJ118">
        <v>0.13878795762767648</v>
      </c>
      <c r="AK118">
        <v>4.0267682452175046E-2</v>
      </c>
      <c r="AL118">
        <v>0.19006278207282168</v>
      </c>
      <c r="AM118">
        <v>0.20464259502763049</v>
      </c>
      <c r="AN118">
        <v>0.19040677812472617</v>
      </c>
      <c r="AO118">
        <v>6.2371648682567504E-2</v>
      </c>
      <c r="AR118">
        <v>8.5937206398032219E-4</v>
      </c>
      <c r="AS118">
        <v>4.2263622163904203E-3</v>
      </c>
      <c r="AT118">
        <v>9.9347305552971027E-2</v>
      </c>
      <c r="AU118">
        <v>1.7833750172424781E-3</v>
      </c>
      <c r="AV118">
        <v>2.0957893794327775E-3</v>
      </c>
      <c r="AW118">
        <v>3.1244853289470759E-3</v>
      </c>
      <c r="AX118">
        <v>3.6781296643817029E-4</v>
      </c>
      <c r="AY118">
        <v>4.4879840313050146E-4</v>
      </c>
      <c r="BB118">
        <v>4.6350600477864622E-2</v>
      </c>
      <c r="BC118">
        <v>6.7602026681171101E-2</v>
      </c>
      <c r="BE118">
        <v>34704.353306904042</v>
      </c>
      <c r="BF118">
        <v>20.439449330350026</v>
      </c>
      <c r="BG118">
        <v>36790.138160478476</v>
      </c>
      <c r="BH118">
        <v>20.405798217436608</v>
      </c>
    </row>
    <row r="119" spans="3:60" x14ac:dyDescent="0.2">
      <c r="C119" s="138">
        <v>30445.26894045436</v>
      </c>
      <c r="D119">
        <v>19.636166782734403</v>
      </c>
      <c r="E119" s="138">
        <v>32305.960201235572</v>
      </c>
      <c r="F119" s="138">
        <v>19.559182921433464</v>
      </c>
      <c r="G119" s="138">
        <v>-1860.6912607812119</v>
      </c>
      <c r="H119" s="138">
        <v>7.6983861300938372E-2</v>
      </c>
      <c r="J119" s="135">
        <v>107500</v>
      </c>
      <c r="L119">
        <v>0.95599999999999996</v>
      </c>
      <c r="N119" s="138"/>
      <c r="O119" s="138"/>
      <c r="P119" s="138"/>
      <c r="R119">
        <v>253.89059687959832</v>
      </c>
      <c r="S119">
        <v>57.535686316482625</v>
      </c>
      <c r="T119">
        <v>285.17724023467179</v>
      </c>
      <c r="U119">
        <v>110.53173593567642</v>
      </c>
      <c r="X119">
        <v>0.78433206308821646</v>
      </c>
      <c r="Y119">
        <v>0.72687523348353389</v>
      </c>
      <c r="Z119">
        <v>0.60284739902735607</v>
      </c>
      <c r="AA119">
        <v>0.6792452071453432</v>
      </c>
      <c r="AB119">
        <v>0.63143287240680279</v>
      </c>
      <c r="AC119">
        <v>0.85921019478465943</v>
      </c>
      <c r="AD119">
        <v>0.70163220993550912</v>
      </c>
      <c r="AE119">
        <v>0.71401571954315812</v>
      </c>
      <c r="AH119">
        <v>0.15336978410150259</v>
      </c>
      <c r="AI119">
        <v>0.12134689593228054</v>
      </c>
      <c r="AJ119">
        <v>7.8405524997994247E-2</v>
      </c>
      <c r="AK119">
        <v>0.28125520615880484</v>
      </c>
      <c r="AL119">
        <v>0.18212819859166085</v>
      </c>
      <c r="AM119">
        <v>5.0870966839118514E-2</v>
      </c>
      <c r="AN119">
        <v>0.27476130478677163</v>
      </c>
      <c r="AO119">
        <v>0.18730274047237383</v>
      </c>
      <c r="AR119">
        <v>7.6826166620650057E-4</v>
      </c>
      <c r="AS119">
        <v>4.5445378224175936E-3</v>
      </c>
      <c r="AT119">
        <v>0.10011491147288232</v>
      </c>
      <c r="AU119">
        <v>2.0475744154304643E-3</v>
      </c>
      <c r="AV119">
        <v>2.2091961266198501E-3</v>
      </c>
      <c r="AW119">
        <v>3.3669977050421267E-3</v>
      </c>
      <c r="AX119">
        <v>3.0941384579205827E-4</v>
      </c>
      <c r="AY119">
        <v>5.1103228463778017E-4</v>
      </c>
      <c r="BB119">
        <v>5.1569090282865271E-2</v>
      </c>
      <c r="BC119">
        <v>0.1020604949881343</v>
      </c>
      <c r="BE119">
        <v>30445.26894045436</v>
      </c>
      <c r="BF119">
        <v>19.636166782734403</v>
      </c>
      <c r="BG119">
        <v>32305.960201235572</v>
      </c>
      <c r="BH119">
        <v>19.559182921433464</v>
      </c>
    </row>
    <row r="120" spans="3:60" x14ac:dyDescent="0.2">
      <c r="C120" s="138">
        <v>30256.00584441733</v>
      </c>
      <c r="D120">
        <v>21.574597408471075</v>
      </c>
      <c r="E120" s="138">
        <v>32198.049291447263</v>
      </c>
      <c r="F120" s="138">
        <v>21.57396270395779</v>
      </c>
      <c r="G120" s="138">
        <v>-1942.0434470299333</v>
      </c>
      <c r="H120" s="138">
        <v>6.3470451328484501E-4</v>
      </c>
      <c r="J120" s="135">
        <v>110000</v>
      </c>
      <c r="L120">
        <v>0.95599999999999996</v>
      </c>
      <c r="N120" s="138"/>
      <c r="O120" s="138"/>
      <c r="P120" s="138"/>
      <c r="R120">
        <v>314.41992103251317</v>
      </c>
      <c r="S120">
        <v>51.124602354981384</v>
      </c>
      <c r="T120">
        <v>225.1391333690226</v>
      </c>
      <c r="U120">
        <v>89.837699701841785</v>
      </c>
      <c r="X120">
        <v>0.85873489604309627</v>
      </c>
      <c r="Y120">
        <v>0.78553955397943498</v>
      </c>
      <c r="Z120">
        <v>0.75590638831982182</v>
      </c>
      <c r="AA120">
        <v>0.94457653517962004</v>
      </c>
      <c r="AB120">
        <v>0.76679670548420475</v>
      </c>
      <c r="AC120">
        <v>0.60323494881110562</v>
      </c>
      <c r="AD120">
        <v>0.82123907652325234</v>
      </c>
      <c r="AE120">
        <v>0.85035473993989008</v>
      </c>
      <c r="AH120">
        <v>0.29299131118939303</v>
      </c>
      <c r="AI120">
        <v>0.11871326955046935</v>
      </c>
      <c r="AJ120">
        <v>0.16820134088439831</v>
      </c>
      <c r="AK120">
        <v>0.2016515249091072</v>
      </c>
      <c r="AL120">
        <v>0.32652724639569841</v>
      </c>
      <c r="AM120">
        <v>5.2963369733313614E-2</v>
      </c>
      <c r="AN120">
        <v>0.11912535400020796</v>
      </c>
      <c r="AO120">
        <v>9.2547443542129515E-2</v>
      </c>
      <c r="AR120">
        <v>7.837814789627952E-4</v>
      </c>
      <c r="AS120">
        <v>4.5565895990301586E-3</v>
      </c>
      <c r="AT120">
        <v>0.10048397049525293</v>
      </c>
      <c r="AU120">
        <v>2.0500023827654257E-3</v>
      </c>
      <c r="AV120">
        <v>1.8138109079409105E-3</v>
      </c>
      <c r="AW120">
        <v>3.453525367760224E-3</v>
      </c>
      <c r="AX120">
        <v>4.080812038369519E-4</v>
      </c>
      <c r="AY120">
        <v>4.4617086161191622E-4</v>
      </c>
      <c r="BB120">
        <v>4.8366769568800677E-2</v>
      </c>
      <c r="BC120">
        <v>4.8157875631479996E-2</v>
      </c>
      <c r="BE120">
        <v>30256.00584441733</v>
      </c>
      <c r="BF120">
        <v>21.574597408471075</v>
      </c>
      <c r="BG120">
        <v>32198.049291447263</v>
      </c>
      <c r="BH120">
        <v>21.57396270395779</v>
      </c>
    </row>
    <row r="121" spans="3:60" x14ac:dyDescent="0.2">
      <c r="C121" s="138">
        <v>34802.130182295601</v>
      </c>
      <c r="D121">
        <v>20.570901760605828</v>
      </c>
      <c r="E121" s="138">
        <v>36488.12962723885</v>
      </c>
      <c r="F121" s="138">
        <v>20.560827739905726</v>
      </c>
      <c r="G121" s="138">
        <v>-1685.9994449432488</v>
      </c>
      <c r="H121" s="138">
        <v>1.0074020700102437E-2</v>
      </c>
      <c r="J121" s="135">
        <v>112500</v>
      </c>
      <c r="L121">
        <v>0.95599999999999996</v>
      </c>
      <c r="N121" s="138"/>
      <c r="O121" s="138"/>
      <c r="P121" s="138"/>
      <c r="R121">
        <v>208.03345940865742</v>
      </c>
      <c r="S121">
        <v>63.61749101826225</v>
      </c>
      <c r="T121">
        <v>234.32742950991326</v>
      </c>
      <c r="U121">
        <v>95.4180765853841</v>
      </c>
      <c r="X121">
        <v>0.81348414022609261</v>
      </c>
      <c r="Y121">
        <v>0.55876711362998976</v>
      </c>
      <c r="Z121">
        <v>0.80514924609564809</v>
      </c>
      <c r="AA121">
        <v>0.90774551943188708</v>
      </c>
      <c r="AB121">
        <v>0.72767537636370705</v>
      </c>
      <c r="AC121">
        <v>0.94500238400562842</v>
      </c>
      <c r="AD121">
        <v>0.88761517861423433</v>
      </c>
      <c r="AE121">
        <v>0.54699079028418529</v>
      </c>
      <c r="AH121">
        <v>8.2449852948068281E-2</v>
      </c>
      <c r="AI121">
        <v>2.4048503654180209E-2</v>
      </c>
      <c r="AJ121">
        <v>8.2232250711964161E-2</v>
      </c>
      <c r="AK121">
        <v>0.12536047101585812</v>
      </c>
      <c r="AL121">
        <v>8.4197207338152502E-2</v>
      </c>
      <c r="AM121">
        <v>6.513879506663145E-2</v>
      </c>
      <c r="AN121">
        <v>4.4919361470852515E-2</v>
      </c>
      <c r="AO121">
        <v>3.8653546957694962E-2</v>
      </c>
      <c r="AR121">
        <v>9.4268378479855919E-4</v>
      </c>
      <c r="AS121">
        <v>4.685341381098107E-3</v>
      </c>
      <c r="AT121">
        <v>9.8376285814054568E-2</v>
      </c>
      <c r="AU121">
        <v>1.8567123342983795E-3</v>
      </c>
      <c r="AV121">
        <v>1.7690706388789809E-3</v>
      </c>
      <c r="AW121">
        <v>3.4101631314273906E-3</v>
      </c>
      <c r="AX121">
        <v>4.9277870206287933E-4</v>
      </c>
      <c r="AY121">
        <v>3.340600278088795E-4</v>
      </c>
      <c r="BB121">
        <v>5.3943934946941274E-2</v>
      </c>
      <c r="BC121">
        <v>9.1616754707982473E-2</v>
      </c>
      <c r="BE121">
        <v>34802.130182295601</v>
      </c>
      <c r="BF121">
        <v>20.570901760605828</v>
      </c>
      <c r="BG121">
        <v>36488.12962723885</v>
      </c>
      <c r="BH121">
        <v>20.560827739905726</v>
      </c>
    </row>
    <row r="122" spans="3:60" x14ac:dyDescent="0.2">
      <c r="C122" s="138">
        <v>26991.547427510581</v>
      </c>
      <c r="D122">
        <v>21.510595425158431</v>
      </c>
      <c r="E122" s="138">
        <v>28707.054180513493</v>
      </c>
      <c r="F122" s="138">
        <v>21.502410930963407</v>
      </c>
      <c r="G122" s="138">
        <v>-1715.5067530029119</v>
      </c>
      <c r="H122" s="138">
        <v>8.1844941950244277E-3</v>
      </c>
      <c r="J122" s="135">
        <v>115000</v>
      </c>
      <c r="L122">
        <v>0.95499999999999996</v>
      </c>
      <c r="N122" s="138"/>
      <c r="O122" s="138"/>
      <c r="P122" s="138"/>
      <c r="R122">
        <v>236.10979860411996</v>
      </c>
      <c r="S122">
        <v>61.771996318198305</v>
      </c>
      <c r="T122">
        <v>242.00608634007236</v>
      </c>
      <c r="U122">
        <v>94.361046668739149</v>
      </c>
      <c r="X122">
        <v>0.77118051664812082</v>
      </c>
      <c r="Y122">
        <v>0.86664600004982073</v>
      </c>
      <c r="Z122">
        <v>0.69931916682904971</v>
      </c>
      <c r="AA122">
        <v>0.75904736513664772</v>
      </c>
      <c r="AB122">
        <v>0.88921677542336908</v>
      </c>
      <c r="AC122">
        <v>0.84541101929221962</v>
      </c>
      <c r="AD122">
        <v>0.63086519087676751</v>
      </c>
      <c r="AE122">
        <v>0.70706808271199451</v>
      </c>
      <c r="AH122">
        <v>1.1583142241112565E-2</v>
      </c>
      <c r="AI122">
        <v>0.29276783706091813</v>
      </c>
      <c r="AJ122">
        <v>0.11027088422224673</v>
      </c>
      <c r="AK122">
        <v>0.19233548604436723</v>
      </c>
      <c r="AL122">
        <v>2.6209562296606648E-2</v>
      </c>
      <c r="AM122">
        <v>9.954905786128454E-2</v>
      </c>
      <c r="AN122">
        <v>5.7828139399908718E-2</v>
      </c>
      <c r="AO122">
        <v>0.10226614944682844</v>
      </c>
      <c r="AR122">
        <v>7.3131619143179303E-4</v>
      </c>
      <c r="AS122">
        <v>4.6661697707247596E-3</v>
      </c>
      <c r="AT122">
        <v>9.9089081066478207E-2</v>
      </c>
      <c r="AU122">
        <v>1.7786415122246668E-3</v>
      </c>
      <c r="AV122">
        <v>1.9718124189926829E-3</v>
      </c>
      <c r="AW122">
        <v>3.4301969322524384E-3</v>
      </c>
      <c r="AX122">
        <v>3.1699815734135975E-4</v>
      </c>
      <c r="AY122">
        <v>4.2201651552345812E-4</v>
      </c>
      <c r="BB122">
        <v>4.6618685739304479E-2</v>
      </c>
      <c r="BC122">
        <v>5.6192667909522598E-2</v>
      </c>
      <c r="BE122">
        <v>26991.547427510581</v>
      </c>
      <c r="BF122">
        <v>21.510595425158431</v>
      </c>
      <c r="BG122">
        <v>28707.054180513493</v>
      </c>
      <c r="BH122">
        <v>21.502410930963407</v>
      </c>
    </row>
    <row r="123" spans="3:60" x14ac:dyDescent="0.2">
      <c r="C123" s="138">
        <v>31422.952710783047</v>
      </c>
      <c r="D123">
        <v>21.674393995378512</v>
      </c>
      <c r="E123" s="138">
        <v>32805.727335543706</v>
      </c>
      <c r="F123" s="138">
        <v>21.666930862881941</v>
      </c>
      <c r="G123" s="138">
        <v>-1382.7746247606592</v>
      </c>
      <c r="H123" s="138">
        <v>7.4631324965714896E-3</v>
      </c>
      <c r="J123" s="135">
        <v>117500</v>
      </c>
      <c r="L123">
        <v>0.95399999999999996</v>
      </c>
      <c r="N123" s="138"/>
      <c r="O123" s="138"/>
      <c r="P123" s="138"/>
      <c r="R123">
        <v>382.43001905354356</v>
      </c>
      <c r="S123">
        <v>61.514779018405221</v>
      </c>
      <c r="T123">
        <v>249.3402754647764</v>
      </c>
      <c r="U123">
        <v>94.551520196169307</v>
      </c>
      <c r="X123">
        <v>0.70505767067703673</v>
      </c>
      <c r="Y123">
        <v>0.62850099265416992</v>
      </c>
      <c r="Z123">
        <v>0.87917796693436645</v>
      </c>
      <c r="AA123">
        <v>0.93487729431815458</v>
      </c>
      <c r="AB123">
        <v>0.83261771336159662</v>
      </c>
      <c r="AC123">
        <v>0.84344298046346822</v>
      </c>
      <c r="AD123">
        <v>0.67922546123094918</v>
      </c>
      <c r="AE123">
        <v>0.67793688714630984</v>
      </c>
      <c r="AH123">
        <v>0.1264266467855496</v>
      </c>
      <c r="AI123">
        <v>0.33484658159371372</v>
      </c>
      <c r="AJ123">
        <v>0.15188540287440955</v>
      </c>
      <c r="AK123">
        <v>0.22706950312304286</v>
      </c>
      <c r="AL123">
        <v>2.8271204237026781E-2</v>
      </c>
      <c r="AM123">
        <v>0.24539212284400747</v>
      </c>
      <c r="AN123">
        <v>4.4912490966416696E-2</v>
      </c>
      <c r="AO123">
        <v>5.8584675417515442E-2</v>
      </c>
      <c r="AR123">
        <v>9.4320450523932564E-4</v>
      </c>
      <c r="AS123">
        <v>4.7704345378664081E-3</v>
      </c>
      <c r="AT123">
        <v>9.899963965240513E-2</v>
      </c>
      <c r="AU123">
        <v>2.0990290623658092E-3</v>
      </c>
      <c r="AV123">
        <v>1.911988800061085E-3</v>
      </c>
      <c r="AW123">
        <v>3.7322003205227938E-3</v>
      </c>
      <c r="AX123">
        <v>3.2533427501365593E-4</v>
      </c>
      <c r="AY123">
        <v>4.6084601346974008E-4</v>
      </c>
      <c r="BB123">
        <v>5.5263381813765777E-2</v>
      </c>
      <c r="BC123">
        <v>4.0958431485381225E-2</v>
      </c>
      <c r="BE123">
        <v>31422.952710783047</v>
      </c>
      <c r="BF123">
        <v>21.674393995378512</v>
      </c>
      <c r="BG123">
        <v>32805.727335543706</v>
      </c>
      <c r="BH123">
        <v>21.666930862881941</v>
      </c>
    </row>
    <row r="124" spans="3:60" x14ac:dyDescent="0.2">
      <c r="C124" s="138">
        <v>26622.655902285111</v>
      </c>
      <c r="D124">
        <v>21.422050663922086</v>
      </c>
      <c r="E124" s="138">
        <v>28659.727834002431</v>
      </c>
      <c r="F124" s="138">
        <v>21.411314849911868</v>
      </c>
      <c r="G124" s="138">
        <v>-2037.0719317173207</v>
      </c>
      <c r="H124" s="138">
        <v>1.0735814010217837E-2</v>
      </c>
      <c r="J124" s="135">
        <v>120000</v>
      </c>
      <c r="L124">
        <v>0.95199999999999996</v>
      </c>
      <c r="N124" s="138"/>
      <c r="O124" s="138"/>
      <c r="P124" s="138"/>
      <c r="R124">
        <v>180.23706239781109</v>
      </c>
      <c r="S124">
        <v>64.447742699415002</v>
      </c>
      <c r="T124">
        <v>213.80074150413753</v>
      </c>
      <c r="U124">
        <v>94.287076959100204</v>
      </c>
      <c r="X124">
        <v>0.92221272888620487</v>
      </c>
      <c r="Y124">
        <v>0.7301840772444872</v>
      </c>
      <c r="Z124">
        <v>0.83907090843789978</v>
      </c>
      <c r="AA124">
        <v>0.6329673157414436</v>
      </c>
      <c r="AB124">
        <v>0.87013966539360188</v>
      </c>
      <c r="AC124">
        <v>0.5041993752866949</v>
      </c>
      <c r="AD124">
        <v>0.92319815153805496</v>
      </c>
      <c r="AE124">
        <v>0.71402019071436507</v>
      </c>
      <c r="AH124">
        <v>3.8256877274782997E-2</v>
      </c>
      <c r="AI124">
        <v>0.11458463490369875</v>
      </c>
      <c r="AJ124">
        <v>3.8326278147963633E-2</v>
      </c>
      <c r="AK124">
        <v>0.17594535566194369</v>
      </c>
      <c r="AL124">
        <v>0.16343574091308499</v>
      </c>
      <c r="AM124">
        <v>7.5015751074223314E-2</v>
      </c>
      <c r="AN124">
        <v>0.10561172291850851</v>
      </c>
      <c r="AO124">
        <v>6.4885711328947271E-2</v>
      </c>
      <c r="AR124">
        <v>7.9937013240669356E-4</v>
      </c>
      <c r="AS124">
        <v>4.4954958361816851E-3</v>
      </c>
      <c r="AT124">
        <v>9.8768315841380655E-2</v>
      </c>
      <c r="AU124">
        <v>1.9018657900011044E-3</v>
      </c>
      <c r="AV124">
        <v>1.9121587433282032E-3</v>
      </c>
      <c r="AW124">
        <v>3.4714742890202821E-3</v>
      </c>
      <c r="AX124">
        <v>4.0429903282546142E-4</v>
      </c>
      <c r="AY124">
        <v>4.9324165437636402E-4</v>
      </c>
      <c r="BB124">
        <v>5.0901140996299943E-2</v>
      </c>
      <c r="BC124">
        <v>2.8415079438410248E-2</v>
      </c>
      <c r="BE124">
        <v>26622.655902285111</v>
      </c>
      <c r="BF124">
        <v>21.422050663922086</v>
      </c>
      <c r="BG124">
        <v>28659.727834002431</v>
      </c>
      <c r="BH124">
        <v>21.411314849911868</v>
      </c>
    </row>
    <row r="125" spans="3:60" x14ac:dyDescent="0.2">
      <c r="C125" s="138">
        <v>29563.143110434627</v>
      </c>
      <c r="D125">
        <v>21.28265812904414</v>
      </c>
      <c r="E125" s="138">
        <v>31494.585133687204</v>
      </c>
      <c r="F125" s="138">
        <v>21.315796574275833</v>
      </c>
      <c r="G125" s="138">
        <v>-1931.4420232525772</v>
      </c>
      <c r="H125" s="138">
        <v>-3.3138445231692515E-2</v>
      </c>
      <c r="J125" s="135">
        <v>122500</v>
      </c>
      <c r="L125">
        <v>0.95</v>
      </c>
      <c r="N125" s="138"/>
      <c r="O125" s="138"/>
      <c r="P125" s="138"/>
      <c r="R125">
        <v>347.04979779449764</v>
      </c>
      <c r="S125">
        <v>72.408656883808604</v>
      </c>
      <c r="T125">
        <v>215.14529886305058</v>
      </c>
      <c r="U125">
        <v>85.317317917775256</v>
      </c>
      <c r="X125">
        <v>0.62260029974935904</v>
      </c>
      <c r="Y125">
        <v>0.84139534358683621</v>
      </c>
      <c r="Z125">
        <v>0.91516617233543529</v>
      </c>
      <c r="AA125">
        <v>0.75641065469090407</v>
      </c>
      <c r="AB125">
        <v>0.68377696517251951</v>
      </c>
      <c r="AC125">
        <v>0.83092611066135313</v>
      </c>
      <c r="AD125">
        <v>0.56125082671605575</v>
      </c>
      <c r="AE125">
        <v>0.83993602126450784</v>
      </c>
      <c r="AH125">
        <v>0.24563650518734126</v>
      </c>
      <c r="AI125">
        <v>2.2477402114216227E-2</v>
      </c>
      <c r="AJ125">
        <v>4.4351468319657306E-2</v>
      </c>
      <c r="AK125">
        <v>6.281369889937416E-2</v>
      </c>
      <c r="AL125">
        <v>5.6514650536565569E-2</v>
      </c>
      <c r="AM125">
        <v>6.3020452507948521E-2</v>
      </c>
      <c r="AN125">
        <v>0.24111664480962602</v>
      </c>
      <c r="AO125">
        <v>9.2531096017018477E-2</v>
      </c>
      <c r="AR125">
        <v>9.2367087072686704E-4</v>
      </c>
      <c r="AS125">
        <v>4.4848019694108711E-3</v>
      </c>
      <c r="AT125">
        <v>9.9713156434246095E-2</v>
      </c>
      <c r="AU125">
        <v>1.9529086555042379E-3</v>
      </c>
      <c r="AV125">
        <v>2.1339555100560181E-3</v>
      </c>
      <c r="AW125">
        <v>3.2382589861141386E-3</v>
      </c>
      <c r="AX125">
        <v>3.4873040963507939E-4</v>
      </c>
      <c r="AY125">
        <v>4.8503046166636921E-4</v>
      </c>
      <c r="BB125">
        <v>5.716262515499515E-2</v>
      </c>
      <c r="BC125">
        <v>3.8185567672572897E-2</v>
      </c>
      <c r="BE125">
        <v>29563.143110434627</v>
      </c>
      <c r="BF125">
        <v>21.28265812904414</v>
      </c>
      <c r="BG125">
        <v>31494.585133687204</v>
      </c>
      <c r="BH125">
        <v>21.315796574275833</v>
      </c>
    </row>
    <row r="126" spans="3:60" x14ac:dyDescent="0.2">
      <c r="C126" s="138">
        <v>32613.208131010932</v>
      </c>
      <c r="D126">
        <v>21.16995417984289</v>
      </c>
      <c r="E126" s="138">
        <v>34649.889809963977</v>
      </c>
      <c r="F126" s="138">
        <v>21.127455871303869</v>
      </c>
      <c r="G126" s="138">
        <v>-2036.6816789530458</v>
      </c>
      <c r="H126" s="138">
        <v>4.2498308539020258E-2</v>
      </c>
      <c r="J126" s="135">
        <v>125000</v>
      </c>
      <c r="L126">
        <v>0.94899999999999995</v>
      </c>
      <c r="N126" s="138"/>
      <c r="O126" s="138"/>
      <c r="P126" s="138"/>
      <c r="R126">
        <v>180.72394286163842</v>
      </c>
      <c r="S126">
        <v>58.246829204770336</v>
      </c>
      <c r="T126">
        <v>221.11695668618285</v>
      </c>
      <c r="U126">
        <v>121.42456180346764</v>
      </c>
      <c r="X126">
        <v>0.63283604703483309</v>
      </c>
      <c r="Y126">
        <v>0.79741906063708989</v>
      </c>
      <c r="Z126">
        <v>0.82992594297904565</v>
      </c>
      <c r="AA126">
        <v>0.69459012815862353</v>
      </c>
      <c r="AB126">
        <v>0.96334576778370984</v>
      </c>
      <c r="AC126">
        <v>0.85006407672568118</v>
      </c>
      <c r="AD126">
        <v>0.83981498566385593</v>
      </c>
      <c r="AE126">
        <v>0.74725368032157924</v>
      </c>
      <c r="AH126">
        <v>0.16759409178730533</v>
      </c>
      <c r="AI126">
        <v>4.5017545692570993E-2</v>
      </c>
      <c r="AJ126">
        <v>3.929604549087129E-2</v>
      </c>
      <c r="AK126">
        <v>8.7829030963062604E-2</v>
      </c>
      <c r="AL126">
        <v>7.241433235575534E-2</v>
      </c>
      <c r="AM126">
        <v>0.11345659020209475</v>
      </c>
      <c r="AN126">
        <v>4.4669483300688206E-2</v>
      </c>
      <c r="AO126">
        <v>4.1850782735638026E-2</v>
      </c>
      <c r="AR126">
        <v>8.6132296974371185E-4</v>
      </c>
      <c r="AS126">
        <v>4.2548937534270135E-3</v>
      </c>
      <c r="AT126">
        <v>9.8835176647976059E-2</v>
      </c>
      <c r="AU126">
        <v>1.9501882571237306E-3</v>
      </c>
      <c r="AV126">
        <v>1.9821545955287876E-3</v>
      </c>
      <c r="AW126">
        <v>3.1273919515345523E-3</v>
      </c>
      <c r="AX126">
        <v>3.7969747053563662E-4</v>
      </c>
      <c r="AY126">
        <v>5.2961393231676368E-4</v>
      </c>
      <c r="BB126">
        <v>5.0715860805843116E-2</v>
      </c>
      <c r="BC126">
        <v>7.5164957906932339E-2</v>
      </c>
      <c r="BE126">
        <v>32613.208131010932</v>
      </c>
      <c r="BF126">
        <v>21.16995417984289</v>
      </c>
      <c r="BG126">
        <v>34649.889809963977</v>
      </c>
      <c r="BH126">
        <v>21.127455871303869</v>
      </c>
    </row>
    <row r="127" spans="3:60" x14ac:dyDescent="0.2">
      <c r="C127" s="138">
        <v>33797.507805888999</v>
      </c>
      <c r="D127">
        <v>20.611169149468111</v>
      </c>
      <c r="E127" s="138">
        <v>35909.125387003267</v>
      </c>
      <c r="F127" s="138">
        <v>20.572479724166829</v>
      </c>
      <c r="G127" s="138">
        <v>-2111.6175811142675</v>
      </c>
      <c r="H127" s="138">
        <v>3.8689425301281943E-2</v>
      </c>
      <c r="J127" s="135">
        <v>127500</v>
      </c>
      <c r="L127">
        <v>0.94799999999999995</v>
      </c>
      <c r="N127" s="138"/>
      <c r="O127" s="138"/>
      <c r="P127" s="138"/>
      <c r="R127">
        <v>86.888612358500865</v>
      </c>
      <c r="S127">
        <v>54.324049431673998</v>
      </c>
      <c r="T127">
        <v>271.7353564790759</v>
      </c>
      <c r="U127">
        <v>87.96993774303327</v>
      </c>
      <c r="X127">
        <v>0.90593692044119334</v>
      </c>
      <c r="Y127">
        <v>0.70071420529072337</v>
      </c>
      <c r="Z127">
        <v>0.49573055430230623</v>
      </c>
      <c r="AA127">
        <v>0.7389561370353831</v>
      </c>
      <c r="AB127">
        <v>0.47237031757178771</v>
      </c>
      <c r="AC127">
        <v>0.54082810883993171</v>
      </c>
      <c r="AD127">
        <v>0.686470004195186</v>
      </c>
      <c r="AE127">
        <v>0.79066362239843424</v>
      </c>
      <c r="AH127">
        <v>5.1259338021714784E-2</v>
      </c>
      <c r="AI127">
        <v>0.11713938858071782</v>
      </c>
      <c r="AJ127">
        <v>0.21986391208579892</v>
      </c>
      <c r="AK127">
        <v>7.8281283770771037E-2</v>
      </c>
      <c r="AL127">
        <v>9.2032278161522818E-2</v>
      </c>
      <c r="AM127">
        <v>0.14596566795849886</v>
      </c>
      <c r="AN127">
        <v>6.1547582143945068E-2</v>
      </c>
      <c r="AO127">
        <v>0.16383251818572175</v>
      </c>
      <c r="AR127">
        <v>8.4847384023889211E-4</v>
      </c>
      <c r="AS127">
        <v>4.6734791710969503E-3</v>
      </c>
      <c r="AT127">
        <v>9.8855307771260531E-2</v>
      </c>
      <c r="AU127">
        <v>1.9924358120443535E-3</v>
      </c>
      <c r="AV127">
        <v>1.7005711152405798E-3</v>
      </c>
      <c r="AW127">
        <v>3.3548460492400694E-3</v>
      </c>
      <c r="AX127">
        <v>4.2895431983058785E-4</v>
      </c>
      <c r="AY127">
        <v>4.1355834256606819E-4</v>
      </c>
      <c r="BB127">
        <v>4.2702093711333593E-2</v>
      </c>
      <c r="BC127">
        <v>8.6250518899513184E-2</v>
      </c>
      <c r="BE127">
        <v>33797.507805888999</v>
      </c>
      <c r="BF127">
        <v>20.611169149468111</v>
      </c>
      <c r="BG127">
        <v>35909.125387003267</v>
      </c>
      <c r="BH127">
        <v>20.572479724166829</v>
      </c>
    </row>
    <row r="128" spans="3:60" x14ac:dyDescent="0.2">
      <c r="C128" s="138">
        <v>29932.947024024386</v>
      </c>
      <c r="D128">
        <v>21.434436418686357</v>
      </c>
      <c r="E128" s="138">
        <v>32179.729973303434</v>
      </c>
      <c r="F128" s="138">
        <v>21.40612079420799</v>
      </c>
      <c r="G128" s="138">
        <v>-2246.7829492790479</v>
      </c>
      <c r="H128" s="138">
        <v>2.8315624478366885E-2</v>
      </c>
      <c r="J128" s="135">
        <v>130000</v>
      </c>
      <c r="L128">
        <v>0.94599999999999995</v>
      </c>
      <c r="N128" s="138"/>
      <c r="O128" s="138"/>
      <c r="P128" s="138"/>
      <c r="R128">
        <v>448.22605971919279</v>
      </c>
      <c r="S128">
        <v>63.032182916135106</v>
      </c>
      <c r="T128">
        <v>237.04637198616564</v>
      </c>
      <c r="U128">
        <v>110.44196922851772</v>
      </c>
      <c r="X128">
        <v>0.9602093311781581</v>
      </c>
      <c r="Y128">
        <v>0.94158062846491097</v>
      </c>
      <c r="Z128">
        <v>0.66368003490839023</v>
      </c>
      <c r="AA128">
        <v>0.80710734033259102</v>
      </c>
      <c r="AB128">
        <v>0.79765876174982053</v>
      </c>
      <c r="AC128">
        <v>0.87471409896312791</v>
      </c>
      <c r="AD128">
        <v>0.92032623094229016</v>
      </c>
      <c r="AE128">
        <v>0.75106556163330229</v>
      </c>
      <c r="AH128">
        <v>0.26229523652185416</v>
      </c>
      <c r="AI128">
        <v>0.22432439490951195</v>
      </c>
      <c r="AJ128">
        <v>0.12278753937597742</v>
      </c>
      <c r="AK128">
        <v>0.14934138153999765</v>
      </c>
      <c r="AL128">
        <v>0.11546598532699626</v>
      </c>
      <c r="AM128">
        <v>8.5640122341917868E-2</v>
      </c>
      <c r="AN128">
        <v>0.31594197651898259</v>
      </c>
      <c r="AO128">
        <v>0.16945552657865315</v>
      </c>
      <c r="AR128">
        <v>9.7579893625199254E-4</v>
      </c>
      <c r="AS128">
        <v>4.416927514588667E-3</v>
      </c>
      <c r="AT128">
        <v>0.1011521400783254</v>
      </c>
      <c r="AU128">
        <v>1.9434543933653067E-3</v>
      </c>
      <c r="AV128">
        <v>2.284018538195598E-3</v>
      </c>
      <c r="AW128">
        <v>3.403618197906526E-3</v>
      </c>
      <c r="AX128">
        <v>4.326883993693853E-4</v>
      </c>
      <c r="AY128">
        <v>4.346580061775823E-4</v>
      </c>
      <c r="BB128">
        <v>5.2705362208928297E-2</v>
      </c>
      <c r="BC128">
        <v>2.9780790145638152E-2</v>
      </c>
      <c r="BE128">
        <v>29932.947024024386</v>
      </c>
      <c r="BF128">
        <v>21.434436418686357</v>
      </c>
      <c r="BG128">
        <v>32179.729973303434</v>
      </c>
      <c r="BH128">
        <v>21.40612079420799</v>
      </c>
    </row>
    <row r="129" spans="3:60" x14ac:dyDescent="0.2">
      <c r="C129" s="138">
        <v>28096.766081388072</v>
      </c>
      <c r="D129">
        <v>20.608712593996433</v>
      </c>
      <c r="E129" s="138">
        <v>30358.530663235117</v>
      </c>
      <c r="F129" s="138">
        <v>20.559884750955842</v>
      </c>
      <c r="G129" s="138">
        <v>-2261.7645818470446</v>
      </c>
      <c r="H129" s="138">
        <v>4.882784304059129E-2</v>
      </c>
      <c r="J129" s="135">
        <v>132500</v>
      </c>
      <c r="L129">
        <v>0.94399999999999995</v>
      </c>
      <c r="N129" s="138"/>
      <c r="O129" s="138"/>
      <c r="P129" s="138"/>
      <c r="R129">
        <v>331.4375847037565</v>
      </c>
      <c r="S129">
        <v>71.677302662461429</v>
      </c>
      <c r="T129">
        <v>267.85080460927549</v>
      </c>
      <c r="U129">
        <v>107.02685911926801</v>
      </c>
      <c r="X129">
        <v>0.79992352820054169</v>
      </c>
      <c r="Y129">
        <v>0.91950795872445212</v>
      </c>
      <c r="Z129">
        <v>0.81320734468242861</v>
      </c>
      <c r="AA129">
        <v>0.86939866683170197</v>
      </c>
      <c r="AB129">
        <v>0.69838679945116633</v>
      </c>
      <c r="AC129">
        <v>0.95543379777778625</v>
      </c>
      <c r="AD129">
        <v>0.59686087489158246</v>
      </c>
      <c r="AE129">
        <v>0.62362311863148856</v>
      </c>
      <c r="AH129">
        <v>0.1485456752442238</v>
      </c>
      <c r="AI129">
        <v>0.36755572566827799</v>
      </c>
      <c r="AJ129">
        <v>0.32082459837109467</v>
      </c>
      <c r="AK129">
        <v>0.14225735880900048</v>
      </c>
      <c r="AL129">
        <v>9.3323745362074995E-3</v>
      </c>
      <c r="AM129">
        <v>0.19875186347379536</v>
      </c>
      <c r="AN129">
        <v>0.28849467709875709</v>
      </c>
      <c r="AO129">
        <v>0.26330475963024125</v>
      </c>
      <c r="AR129">
        <v>9.0644694779451473E-4</v>
      </c>
      <c r="AS129">
        <v>4.5442780325739562E-3</v>
      </c>
      <c r="AT129">
        <v>0.10096109337936632</v>
      </c>
      <c r="AU129">
        <v>2.0031757328546895E-3</v>
      </c>
      <c r="AV129">
        <v>2.0430307395384872E-3</v>
      </c>
      <c r="AW129">
        <v>3.5011685106585144E-3</v>
      </c>
      <c r="AX129">
        <v>3.9630089224235377E-4</v>
      </c>
      <c r="AY129">
        <v>4.0262346964054104E-4</v>
      </c>
      <c r="BB129">
        <v>4.5642546797980112E-2</v>
      </c>
      <c r="BC129">
        <v>8.6055020359559253E-2</v>
      </c>
      <c r="BE129">
        <v>28096.766081388072</v>
      </c>
      <c r="BF129">
        <v>20.608712593996433</v>
      </c>
      <c r="BG129">
        <v>30358.530663235117</v>
      </c>
      <c r="BH129">
        <v>20.559884750955842</v>
      </c>
    </row>
    <row r="130" spans="3:60" x14ac:dyDescent="0.2">
      <c r="C130" s="138">
        <v>29582.461875522164</v>
      </c>
      <c r="D130">
        <v>21.647364202062541</v>
      </c>
      <c r="E130" s="138">
        <v>30998.896375496315</v>
      </c>
      <c r="F130" s="138">
        <v>21.632260237460496</v>
      </c>
      <c r="G130" s="138">
        <v>-1416.4344999741515</v>
      </c>
      <c r="H130" s="138">
        <v>1.5103964602044329E-2</v>
      </c>
      <c r="J130" s="135">
        <v>135000</v>
      </c>
      <c r="L130">
        <v>0.94299999999999995</v>
      </c>
      <c r="N130" s="138"/>
      <c r="O130" s="138"/>
      <c r="P130" s="138"/>
      <c r="R130">
        <v>287.60780383517658</v>
      </c>
      <c r="S130">
        <v>73.13799202886743</v>
      </c>
      <c r="T130">
        <v>256.55496365218323</v>
      </c>
      <c r="U130">
        <v>104.75230346137896</v>
      </c>
      <c r="X130">
        <v>0.69807398831231926</v>
      </c>
      <c r="Y130">
        <v>0.89683567710557632</v>
      </c>
      <c r="Z130">
        <v>0.65435220072905453</v>
      </c>
      <c r="AA130">
        <v>0.70424426167117071</v>
      </c>
      <c r="AB130">
        <v>0.75765850786195366</v>
      </c>
      <c r="AC130">
        <v>0.65425833157216284</v>
      </c>
      <c r="AD130">
        <v>0.56805323449845557</v>
      </c>
      <c r="AE130">
        <v>0.84493165200451548</v>
      </c>
      <c r="AH130">
        <v>0.16431532924073555</v>
      </c>
      <c r="AI130">
        <v>0.12446825716485344</v>
      </c>
      <c r="AJ130">
        <v>0.16050698499472116</v>
      </c>
      <c r="AK130">
        <v>0.32150883833606692</v>
      </c>
      <c r="AL130">
        <v>0.15727313969541856</v>
      </c>
      <c r="AM130">
        <v>0.24463277112782722</v>
      </c>
      <c r="AN130">
        <v>0.18518535922206425</v>
      </c>
      <c r="AO130">
        <v>9.8511467807601449E-2</v>
      </c>
      <c r="AR130">
        <v>9.7258320642190643E-4</v>
      </c>
      <c r="AS130">
        <v>4.2498423581491607E-3</v>
      </c>
      <c r="AT130">
        <v>0.10069478733408233</v>
      </c>
      <c r="AU130">
        <v>2.0522793599293543E-3</v>
      </c>
      <c r="AV130">
        <v>1.9885689432848491E-3</v>
      </c>
      <c r="AW130">
        <v>3.5503450919421864E-3</v>
      </c>
      <c r="AX130">
        <v>4.3047798871609366E-4</v>
      </c>
      <c r="AY130">
        <v>3.7374531939133226E-4</v>
      </c>
      <c r="BB130">
        <v>5.1115672770208787E-2</v>
      </c>
      <c r="BC130">
        <v>4.798578196583414E-2</v>
      </c>
      <c r="BE130">
        <v>29582.461875522164</v>
      </c>
      <c r="BF130">
        <v>21.647364202062541</v>
      </c>
      <c r="BG130">
        <v>30998.896375496315</v>
      </c>
      <c r="BH130">
        <v>21.632260237460496</v>
      </c>
    </row>
    <row r="131" spans="3:60" x14ac:dyDescent="0.2">
      <c r="C131" s="138">
        <v>43066.721882316575</v>
      </c>
      <c r="D131">
        <v>19.825694073569935</v>
      </c>
      <c r="E131" s="138">
        <v>45382.349207763094</v>
      </c>
      <c r="F131" s="138">
        <v>19.781504426003043</v>
      </c>
      <c r="G131" s="138">
        <v>-2315.6273254465195</v>
      </c>
      <c r="H131" s="138">
        <v>4.4189647566891921E-2</v>
      </c>
      <c r="J131" s="135">
        <v>137500</v>
      </c>
      <c r="L131">
        <v>0.94199999999999995</v>
      </c>
      <c r="N131" s="138"/>
      <c r="O131" s="138"/>
      <c r="P131" s="138"/>
      <c r="R131">
        <v>368.82143038702986</v>
      </c>
      <c r="S131">
        <v>60.050367067025768</v>
      </c>
      <c r="T131">
        <v>240.22400411441902</v>
      </c>
      <c r="U131">
        <v>96.112896271282793</v>
      </c>
      <c r="X131">
        <v>0.71568280524640981</v>
      </c>
      <c r="Y131">
        <v>0.72898745401640852</v>
      </c>
      <c r="Z131">
        <v>0.73001146968377395</v>
      </c>
      <c r="AA131">
        <v>0.64380467673179853</v>
      </c>
      <c r="AB131">
        <v>0.89554202057580712</v>
      </c>
      <c r="AC131">
        <v>0.80861246972059231</v>
      </c>
      <c r="AD131">
        <v>0.54843215983541316</v>
      </c>
      <c r="AE131">
        <v>0.78201086116103369</v>
      </c>
      <c r="AH131">
        <v>0.1122457693559531</v>
      </c>
      <c r="AI131">
        <v>0.14885898197654912</v>
      </c>
      <c r="AJ131">
        <v>8.9550882824629419E-2</v>
      </c>
      <c r="AK131">
        <v>3.8211371807094219E-2</v>
      </c>
      <c r="AL131">
        <v>0.16839935695033359</v>
      </c>
      <c r="AM131">
        <v>0.18062443684568019</v>
      </c>
      <c r="AN131">
        <v>0.12064055362254467</v>
      </c>
      <c r="AO131">
        <v>0.10141568407953949</v>
      </c>
      <c r="AR131">
        <v>8.6805865614877681E-4</v>
      </c>
      <c r="AS131">
        <v>4.4888728928090789E-3</v>
      </c>
      <c r="AT131">
        <v>9.8147061577651157E-2</v>
      </c>
      <c r="AU131">
        <v>1.8708757384627882E-3</v>
      </c>
      <c r="AV131">
        <v>2.0680306984146579E-3</v>
      </c>
      <c r="AW131">
        <v>3.4881203577640241E-3</v>
      </c>
      <c r="AX131">
        <v>4.1500206515254767E-4</v>
      </c>
      <c r="AY131">
        <v>4.5015610994436628E-4</v>
      </c>
      <c r="BB131">
        <v>5.4950028080612223E-2</v>
      </c>
      <c r="BC131">
        <v>1.5343624838894428E-2</v>
      </c>
      <c r="BE131">
        <v>43066.721882316575</v>
      </c>
      <c r="BF131">
        <v>19.825694073569935</v>
      </c>
      <c r="BG131">
        <v>45382.349207763094</v>
      </c>
      <c r="BH131">
        <v>19.781504426003043</v>
      </c>
    </row>
    <row r="132" spans="3:60" x14ac:dyDescent="0.2">
      <c r="C132" s="138">
        <v>35850.871679024815</v>
      </c>
      <c r="D132">
        <v>20.142523172711552</v>
      </c>
      <c r="E132" s="138">
        <v>37854.052969685348</v>
      </c>
      <c r="F132" s="138">
        <v>20.075612750478513</v>
      </c>
      <c r="G132" s="138">
        <v>-2003.1812906605337</v>
      </c>
      <c r="H132" s="138">
        <v>6.6910422233039668E-2</v>
      </c>
      <c r="J132" s="135">
        <v>140000</v>
      </c>
      <c r="L132">
        <v>0.94099999999999995</v>
      </c>
      <c r="N132" s="138"/>
      <c r="O132" s="138"/>
      <c r="P132" s="138"/>
      <c r="R132">
        <v>412.23611122531139</v>
      </c>
      <c r="S132">
        <v>67.737738933436987</v>
      </c>
      <c r="T132">
        <v>266.69988432589673</v>
      </c>
      <c r="U132">
        <v>123.27491757416674</v>
      </c>
      <c r="X132">
        <v>0.79765653610721454</v>
      </c>
      <c r="Y132">
        <v>0.8089152232390977</v>
      </c>
      <c r="Z132">
        <v>0.80542783945972474</v>
      </c>
      <c r="AA132">
        <v>0.73412550674081445</v>
      </c>
      <c r="AB132">
        <v>0.76984836824158964</v>
      </c>
      <c r="AC132">
        <v>0.70775373067544922</v>
      </c>
      <c r="AD132">
        <v>0.89753580285030798</v>
      </c>
      <c r="AE132">
        <v>0.9141161567611289</v>
      </c>
      <c r="AH132">
        <v>4.6788356424717348E-2</v>
      </c>
      <c r="AI132">
        <v>7.9720070962083778E-3</v>
      </c>
      <c r="AJ132">
        <v>0.16804299687339441</v>
      </c>
      <c r="AK132">
        <v>5.6016024279419652E-2</v>
      </c>
      <c r="AL132">
        <v>0.10951349416849654</v>
      </c>
      <c r="AM132">
        <v>0.10035355601368112</v>
      </c>
      <c r="AN132">
        <v>0.11929204849423847</v>
      </c>
      <c r="AO132">
        <v>6.3678972993941985E-2</v>
      </c>
      <c r="AR132">
        <v>9.9385849114286273E-4</v>
      </c>
      <c r="AS132">
        <v>4.6793381450188631E-3</v>
      </c>
      <c r="AT132">
        <v>9.9969981263648533E-2</v>
      </c>
      <c r="AU132">
        <v>2.0507859358779301E-3</v>
      </c>
      <c r="AV132">
        <v>1.8336462985345079E-3</v>
      </c>
      <c r="AW132">
        <v>3.549656446827254E-3</v>
      </c>
      <c r="AX132">
        <v>3.8164732310221511E-4</v>
      </c>
      <c r="AY132">
        <v>5.8245437817672219E-4</v>
      </c>
      <c r="BB132">
        <v>5.9371494287072224E-2</v>
      </c>
      <c r="BC132">
        <v>7.8152161885521876E-2</v>
      </c>
      <c r="BE132">
        <v>35850.871679024815</v>
      </c>
      <c r="BF132">
        <v>20.142523172711552</v>
      </c>
      <c r="BG132">
        <v>37854.052969685348</v>
      </c>
      <c r="BH132">
        <v>20.075612750478513</v>
      </c>
    </row>
    <row r="133" spans="3:60" x14ac:dyDescent="0.2">
      <c r="C133" s="138">
        <v>35583.198987539312</v>
      </c>
      <c r="D133">
        <v>20.737570296693558</v>
      </c>
      <c r="E133" s="138">
        <v>37965.014928929908</v>
      </c>
      <c r="F133" s="138">
        <v>20.757422316206824</v>
      </c>
      <c r="G133" s="138">
        <v>-2381.815941390596</v>
      </c>
      <c r="H133" s="138">
        <v>-1.9852019513265873E-2</v>
      </c>
      <c r="J133" s="135">
        <v>142500</v>
      </c>
      <c r="L133">
        <v>0.93899999999999995</v>
      </c>
      <c r="N133" s="138"/>
      <c r="O133" s="138"/>
      <c r="P133" s="138"/>
      <c r="R133">
        <v>377.13308667041571</v>
      </c>
      <c r="S133">
        <v>61.107935907417897</v>
      </c>
      <c r="T133">
        <v>245.15681397047663</v>
      </c>
      <c r="U133">
        <v>78.005081048920076</v>
      </c>
      <c r="X133">
        <v>0.73455420578487951</v>
      </c>
      <c r="Y133">
        <v>0.52343259244099127</v>
      </c>
      <c r="Z133">
        <v>0.83688430650364332</v>
      </c>
      <c r="AA133">
        <v>0.71195229470051469</v>
      </c>
      <c r="AB133">
        <v>0.71209009528494538</v>
      </c>
      <c r="AC133">
        <v>0.7952787070250944</v>
      </c>
      <c r="AD133">
        <v>0.85063412474354461</v>
      </c>
      <c r="AE133">
        <v>0.64089755176704544</v>
      </c>
      <c r="AH133">
        <v>4.1114154858698737E-2</v>
      </c>
      <c r="AI133">
        <v>0.37742612114253704</v>
      </c>
      <c r="AJ133">
        <v>0.10644908476778869</v>
      </c>
      <c r="AK133">
        <v>2.4387108314918082E-2</v>
      </c>
      <c r="AL133">
        <v>0.19376172742113584</v>
      </c>
      <c r="AM133">
        <v>0.11107008279735675</v>
      </c>
      <c r="AN133">
        <v>4.7073841163132957E-2</v>
      </c>
      <c r="AO133">
        <v>0.16255337127989034</v>
      </c>
      <c r="AR133">
        <v>7.1856084800322876E-4</v>
      </c>
      <c r="AS133">
        <v>4.4504319531263768E-3</v>
      </c>
      <c r="AT133">
        <v>9.8978516847366596E-2</v>
      </c>
      <c r="AU133">
        <v>1.8724744618353988E-3</v>
      </c>
      <c r="AV133">
        <v>1.9971419566197079E-3</v>
      </c>
      <c r="AW133">
        <v>3.7003929562259286E-3</v>
      </c>
      <c r="AX133">
        <v>4.8467532022300475E-4</v>
      </c>
      <c r="AY133">
        <v>4.1388096287958123E-4</v>
      </c>
      <c r="BB133">
        <v>4.2398560212581753E-2</v>
      </c>
      <c r="BC133">
        <v>4.5929257603113539E-2</v>
      </c>
      <c r="BE133">
        <v>35583.198987539312</v>
      </c>
      <c r="BF133">
        <v>20.737570296693558</v>
      </c>
      <c r="BG133">
        <v>37965.014928929908</v>
      </c>
      <c r="BH133">
        <v>20.757422316206824</v>
      </c>
    </row>
    <row r="134" spans="3:60" x14ac:dyDescent="0.2">
      <c r="C134" s="138">
        <v>31772.300346542946</v>
      </c>
      <c r="D134">
        <v>20.16911322555185</v>
      </c>
      <c r="E134" s="138">
        <v>33804.847739561883</v>
      </c>
      <c r="F134" s="138">
        <v>20.113320830574377</v>
      </c>
      <c r="G134" s="138">
        <v>-2032.5473930189364</v>
      </c>
      <c r="H134" s="138">
        <v>5.5792394977473236E-2</v>
      </c>
      <c r="J134" s="135">
        <v>145000</v>
      </c>
      <c r="L134">
        <v>0.93899999999999995</v>
      </c>
      <c r="N134" s="138"/>
      <c r="O134" s="138"/>
      <c r="P134" s="138"/>
      <c r="R134">
        <v>186.69635443416382</v>
      </c>
      <c r="S134">
        <v>67.016377482131915</v>
      </c>
      <c r="T134">
        <v>267.78228516765921</v>
      </c>
      <c r="U134">
        <v>85.827201370550924</v>
      </c>
      <c r="X134">
        <v>0.51355128628472402</v>
      </c>
      <c r="Y134">
        <v>0.71597102012754366</v>
      </c>
      <c r="Z134">
        <v>0.70265827989691199</v>
      </c>
      <c r="AA134">
        <v>0.92236186433741074</v>
      </c>
      <c r="AB134">
        <v>0.55052384384312014</v>
      </c>
      <c r="AC134">
        <v>0.90832015449025705</v>
      </c>
      <c r="AD134">
        <v>0.51141710459928358</v>
      </c>
      <c r="AE134">
        <v>0.88865297734717097</v>
      </c>
      <c r="AH134">
        <v>0.20302311857858524</v>
      </c>
      <c r="AI134">
        <v>0.18987697788471192</v>
      </c>
      <c r="AJ134">
        <v>8.7542954112604265E-2</v>
      </c>
      <c r="AK134">
        <v>3.2131679109127842E-2</v>
      </c>
      <c r="AL134">
        <v>7.3468299629222633E-2</v>
      </c>
      <c r="AM134">
        <v>0.11821886423676009</v>
      </c>
      <c r="AN134">
        <v>0.19673896978365835</v>
      </c>
      <c r="AO134">
        <v>0.25588299895791788</v>
      </c>
      <c r="AR134">
        <v>1.0166556609314537E-3</v>
      </c>
      <c r="AS134">
        <v>4.4102374518072158E-3</v>
      </c>
      <c r="AT134">
        <v>0.10028156116833686</v>
      </c>
      <c r="AU134">
        <v>2.08027750929074E-3</v>
      </c>
      <c r="AV134">
        <v>1.8755630982274464E-3</v>
      </c>
      <c r="AW134">
        <v>3.8090880633626645E-3</v>
      </c>
      <c r="AX134">
        <v>3.3336537034613236E-4</v>
      </c>
      <c r="AY134">
        <v>3.9761271994833585E-4</v>
      </c>
      <c r="BB134">
        <v>4.572006620723898E-2</v>
      </c>
      <c r="BC134">
        <v>3.5307060070493092E-2</v>
      </c>
      <c r="BE134">
        <v>31772.300346542946</v>
      </c>
      <c r="BF134">
        <v>20.16911322555185</v>
      </c>
      <c r="BG134">
        <v>33804.847739561883</v>
      </c>
      <c r="BH134">
        <v>20.113320830574377</v>
      </c>
    </row>
    <row r="135" spans="3:60" x14ac:dyDescent="0.2">
      <c r="C135" s="138">
        <v>29062.612532942228</v>
      </c>
      <c r="D135">
        <v>21.461081659187865</v>
      </c>
      <c r="E135" s="138">
        <v>30627.180485618199</v>
      </c>
      <c r="F135" s="138">
        <v>21.45001120915094</v>
      </c>
      <c r="G135" s="138">
        <v>-1564.5679526759704</v>
      </c>
      <c r="H135" s="138">
        <v>1.1070450036925195E-2</v>
      </c>
      <c r="J135" s="135">
        <v>147500</v>
      </c>
      <c r="L135">
        <v>0.93700000000000006</v>
      </c>
      <c r="N135" s="138"/>
      <c r="O135" s="138"/>
      <c r="P135" s="138"/>
      <c r="R135">
        <v>225.76440941681864</v>
      </c>
      <c r="S135">
        <v>57.492638431344005</v>
      </c>
      <c r="T135">
        <v>291.24784487065938</v>
      </c>
      <c r="U135">
        <v>95.824383215426167</v>
      </c>
      <c r="X135">
        <v>0.70295868897176306</v>
      </c>
      <c r="Y135">
        <v>0.51125278236016669</v>
      </c>
      <c r="Z135">
        <v>0.73773687247040909</v>
      </c>
      <c r="AA135">
        <v>0.79863305442445576</v>
      </c>
      <c r="AB135">
        <v>0.8388079332309194</v>
      </c>
      <c r="AC135">
        <v>0.59904339653459682</v>
      </c>
      <c r="AD135">
        <v>0.87775306568045752</v>
      </c>
      <c r="AE135">
        <v>0.83201548912579693</v>
      </c>
      <c r="AH135">
        <v>4.6050345838337448E-2</v>
      </c>
      <c r="AI135">
        <v>5.7915642218209884E-2</v>
      </c>
      <c r="AJ135">
        <v>6.1257824926190696E-2</v>
      </c>
      <c r="AK135">
        <v>0.12515401731780629</v>
      </c>
      <c r="AL135">
        <v>8.0381540916644956E-2</v>
      </c>
      <c r="AM135">
        <v>4.3312390777503929E-2</v>
      </c>
      <c r="AN135">
        <v>9.8332862263866394E-2</v>
      </c>
      <c r="AO135">
        <v>6.6629737966576785E-2</v>
      </c>
      <c r="AR135">
        <v>7.6330295669166566E-4</v>
      </c>
      <c r="AS135">
        <v>4.5282214543068688E-3</v>
      </c>
      <c r="AT135">
        <v>0.1005215917844916</v>
      </c>
      <c r="AU135">
        <v>2.210790439888588E-3</v>
      </c>
      <c r="AV135">
        <v>1.9380767687340592E-3</v>
      </c>
      <c r="AW135">
        <v>3.4505110458753485E-3</v>
      </c>
      <c r="AX135">
        <v>3.9473711926282763E-4</v>
      </c>
      <c r="AY135">
        <v>4.481268699322305E-4</v>
      </c>
      <c r="BB135">
        <v>5.2577063715401828E-2</v>
      </c>
      <c r="BC135">
        <v>3.9566270370488203E-2</v>
      </c>
      <c r="BE135">
        <v>29062.612532942228</v>
      </c>
      <c r="BF135">
        <v>21.461081659187865</v>
      </c>
      <c r="BG135">
        <v>30627.180485618199</v>
      </c>
      <c r="BH135">
        <v>21.45001120915094</v>
      </c>
    </row>
    <row r="136" spans="3:60" x14ac:dyDescent="0.2">
      <c r="C136" s="138">
        <v>27249.787670249811</v>
      </c>
      <c r="D136">
        <v>20.947009683644517</v>
      </c>
      <c r="E136" s="138">
        <v>29176.671131529823</v>
      </c>
      <c r="F136" s="138">
        <v>20.910022511883504</v>
      </c>
      <c r="G136" s="138">
        <v>-1926.8834612800129</v>
      </c>
      <c r="H136" s="138">
        <v>3.6987171761012405E-2</v>
      </c>
      <c r="J136" s="135">
        <v>150000</v>
      </c>
      <c r="L136">
        <v>0.93400000000000005</v>
      </c>
      <c r="N136" s="138"/>
      <c r="O136" s="138"/>
      <c r="P136" s="138"/>
      <c r="R136">
        <v>306.07427524533125</v>
      </c>
      <c r="S136">
        <v>64.065381618305437</v>
      </c>
      <c r="T136">
        <v>229.00477742016176</v>
      </c>
      <c r="U136">
        <v>77.719547355380683</v>
      </c>
      <c r="X136">
        <v>0.83108675097450924</v>
      </c>
      <c r="Y136">
        <v>0.42450175672571111</v>
      </c>
      <c r="Z136">
        <v>0.79425042694011627</v>
      </c>
      <c r="AA136">
        <v>0.72739265866443448</v>
      </c>
      <c r="AB136">
        <v>0.85660650314431797</v>
      </c>
      <c r="AC136">
        <v>0.93222816893354499</v>
      </c>
      <c r="AD136">
        <v>0.9524734233340526</v>
      </c>
      <c r="AE136">
        <v>0.44428129602085414</v>
      </c>
      <c r="AH136">
        <v>0.32593448276548986</v>
      </c>
      <c r="AI136">
        <v>8.1864442942161775E-2</v>
      </c>
      <c r="AJ136">
        <v>0.15960044241995153</v>
      </c>
      <c r="AK136">
        <v>2.5642100789456945E-2</v>
      </c>
      <c r="AL136">
        <v>7.6450119463456367E-2</v>
      </c>
      <c r="AM136">
        <v>8.3574101910676157E-2</v>
      </c>
      <c r="AN136">
        <v>0.20874707673666437</v>
      </c>
      <c r="AO136">
        <v>0.16612384478342201</v>
      </c>
      <c r="AR136">
        <v>9.1978296259476178E-4</v>
      </c>
      <c r="AS136">
        <v>4.4460930159588418E-3</v>
      </c>
      <c r="AT136">
        <v>0.10100278634400661</v>
      </c>
      <c r="AU136">
        <v>2.0509454777336567E-3</v>
      </c>
      <c r="AV136">
        <v>1.9208573970765103E-3</v>
      </c>
      <c r="AW136">
        <v>3.1579255633823436E-3</v>
      </c>
      <c r="AX136">
        <v>3.9772605728005672E-4</v>
      </c>
      <c r="AY136">
        <v>4.0315021807695413E-4</v>
      </c>
      <c r="BB136">
        <v>5.342656550730629E-2</v>
      </c>
      <c r="BC136">
        <v>7.0522423034694803E-2</v>
      </c>
      <c r="BE136">
        <v>27249.787670249811</v>
      </c>
      <c r="BF136">
        <v>20.947009683644517</v>
      </c>
      <c r="BG136">
        <v>29176.671131529823</v>
      </c>
      <c r="BH136">
        <v>20.910022511883504</v>
      </c>
    </row>
    <row r="137" spans="3:60" x14ac:dyDescent="0.2">
      <c r="C137" s="138">
        <v>34355.851906762713</v>
      </c>
      <c r="D137">
        <v>20.673467000522777</v>
      </c>
      <c r="E137" s="138">
        <v>36380.600873234951</v>
      </c>
      <c r="F137" s="138">
        <v>20.634369960719319</v>
      </c>
      <c r="G137" s="138">
        <v>-2024.748966472238</v>
      </c>
      <c r="H137" s="138">
        <v>3.9097039803458244E-2</v>
      </c>
      <c r="J137" s="135">
        <v>152500</v>
      </c>
      <c r="L137">
        <v>0.93400000000000005</v>
      </c>
      <c r="N137" s="138"/>
      <c r="O137" s="138"/>
      <c r="P137" s="138"/>
      <c r="R137">
        <v>182.79458440608303</v>
      </c>
      <c r="S137">
        <v>53.296619565861171</v>
      </c>
      <c r="T137">
        <v>253.1048591716924</v>
      </c>
      <c r="U137">
        <v>85.563295902693042</v>
      </c>
      <c r="X137">
        <v>0.8540632238079906</v>
      </c>
      <c r="Y137">
        <v>0.85074165558140313</v>
      </c>
      <c r="Z137">
        <v>0.94303169441604739</v>
      </c>
      <c r="AA137">
        <v>0.8444238429509564</v>
      </c>
      <c r="AB137">
        <v>0.57590724137559834</v>
      </c>
      <c r="AC137">
        <v>0.90216219457925251</v>
      </c>
      <c r="AD137">
        <v>0.75972557953600928</v>
      </c>
      <c r="AE137">
        <v>0.44307015754257101</v>
      </c>
      <c r="AH137">
        <v>6.9242675025906752E-3</v>
      </c>
      <c r="AI137">
        <v>9.9765457700664362E-2</v>
      </c>
      <c r="AJ137">
        <v>0.17700827121451623</v>
      </c>
      <c r="AK137">
        <v>0.25863199889433797</v>
      </c>
      <c r="AL137">
        <v>0.19834468752912693</v>
      </c>
      <c r="AM137">
        <v>0.15641634579871488</v>
      </c>
      <c r="AN137">
        <v>0.12376162485286579</v>
      </c>
      <c r="AO137">
        <v>9.452379300051672E-2</v>
      </c>
      <c r="AR137">
        <v>8.2842847909984582E-4</v>
      </c>
      <c r="AS137">
        <v>4.6242450187558015E-3</v>
      </c>
      <c r="AT137">
        <v>0.10193830571756657</v>
      </c>
      <c r="AU137">
        <v>1.9802100185487776E-3</v>
      </c>
      <c r="AV137">
        <v>1.8833948597055347E-3</v>
      </c>
      <c r="AW137">
        <v>3.3633876154193039E-3</v>
      </c>
      <c r="AX137">
        <v>3.7037454064969849E-4</v>
      </c>
      <c r="AY137">
        <v>4.0543978088512751E-4</v>
      </c>
      <c r="BB137">
        <v>4.732633238124296E-2</v>
      </c>
      <c r="BC137">
        <v>3.2795288658977864E-2</v>
      </c>
      <c r="BE137">
        <v>34355.851906762713</v>
      </c>
      <c r="BF137">
        <v>20.673467000522777</v>
      </c>
      <c r="BG137">
        <v>36380.600873234951</v>
      </c>
      <c r="BH137">
        <v>20.634369960719319</v>
      </c>
    </row>
    <row r="138" spans="3:60" x14ac:dyDescent="0.2">
      <c r="C138" s="138">
        <v>34753.673260857038</v>
      </c>
      <c r="D138">
        <v>21.15625810782149</v>
      </c>
      <c r="E138" s="138">
        <v>36668.857750796378</v>
      </c>
      <c r="F138" s="138">
        <v>21.13018903621192</v>
      </c>
      <c r="G138" s="138">
        <v>-1915.18448993934</v>
      </c>
      <c r="H138" s="138">
        <v>2.6069071609569505E-2</v>
      </c>
      <c r="J138" s="135">
        <v>155000</v>
      </c>
      <c r="L138">
        <v>0.93200000000000005</v>
      </c>
      <c r="N138" s="138"/>
      <c r="O138" s="138"/>
      <c r="P138" s="138"/>
      <c r="R138">
        <v>276.82078171138966</v>
      </c>
      <c r="S138">
        <v>56.673777609342046</v>
      </c>
      <c r="T138">
        <v>287.30219662688506</v>
      </c>
      <c r="U138">
        <v>90.922391922651073</v>
      </c>
      <c r="X138">
        <v>0.78824723201077573</v>
      </c>
      <c r="Y138">
        <v>0.79241522932449082</v>
      </c>
      <c r="Z138">
        <v>0.78497411898836977</v>
      </c>
      <c r="AA138">
        <v>0.72567646120622575</v>
      </c>
      <c r="AB138">
        <v>0.66205603749258923</v>
      </c>
      <c r="AC138">
        <v>0.56854048634810717</v>
      </c>
      <c r="AD138">
        <v>0.80850024819652666</v>
      </c>
      <c r="AE138">
        <v>0.70741541284791687</v>
      </c>
      <c r="AH138">
        <v>6.7358853091301851E-2</v>
      </c>
      <c r="AI138">
        <v>0.14096438558523094</v>
      </c>
      <c r="AJ138">
        <v>2.724831666633809E-2</v>
      </c>
      <c r="AK138">
        <v>0.21002896624867395</v>
      </c>
      <c r="AL138">
        <v>8.1365073620734529E-2</v>
      </c>
      <c r="AM138">
        <v>0.11059690902675212</v>
      </c>
      <c r="AN138">
        <v>0.19999601619090257</v>
      </c>
      <c r="AO138">
        <v>0.25706287557411589</v>
      </c>
      <c r="AR138">
        <v>8.8038262097236595E-4</v>
      </c>
      <c r="AS138">
        <v>4.456435635465726E-3</v>
      </c>
      <c r="AT138">
        <v>0.1001719272191538</v>
      </c>
      <c r="AU138">
        <v>1.948488423795032E-3</v>
      </c>
      <c r="AV138">
        <v>1.9058132776142067E-3</v>
      </c>
      <c r="AW138">
        <v>3.4520457430704532E-3</v>
      </c>
      <c r="AX138">
        <v>3.8800191498772482E-4</v>
      </c>
      <c r="AY138">
        <v>3.8337257915104536E-4</v>
      </c>
      <c r="BB138">
        <v>4.3626030577936896E-2</v>
      </c>
      <c r="BC138">
        <v>3.2271625580546068E-2</v>
      </c>
      <c r="BE138">
        <v>34753.673260857038</v>
      </c>
      <c r="BF138">
        <v>21.15625810782149</v>
      </c>
      <c r="BG138">
        <v>36668.857750796378</v>
      </c>
      <c r="BH138">
        <v>21.13018903621192</v>
      </c>
    </row>
    <row r="139" spans="3:60" x14ac:dyDescent="0.2">
      <c r="C139" s="138">
        <v>33851.929465467525</v>
      </c>
      <c r="D139">
        <v>21.294080719467331</v>
      </c>
      <c r="E139" s="138">
        <v>36085.87794368976</v>
      </c>
      <c r="F139" s="138">
        <v>21.270915226086629</v>
      </c>
      <c r="G139" s="138">
        <v>-2233.9484782222353</v>
      </c>
      <c r="H139" s="138">
        <v>2.3165493380702173E-2</v>
      </c>
      <c r="J139" s="135">
        <v>157500</v>
      </c>
      <c r="L139">
        <v>0.93200000000000005</v>
      </c>
      <c r="N139" s="138"/>
      <c r="O139" s="138"/>
      <c r="P139" s="138"/>
      <c r="R139">
        <v>295.06935970226709</v>
      </c>
      <c r="S139">
        <v>75.752458893240131</v>
      </c>
      <c r="T139">
        <v>280.2786856314936</v>
      </c>
      <c r="U139">
        <v>84.935242639896416</v>
      </c>
      <c r="X139">
        <v>0.7528076457570092</v>
      </c>
      <c r="Y139">
        <v>0.79396028498813664</v>
      </c>
      <c r="Z139">
        <v>0.44076996919873485</v>
      </c>
      <c r="AA139">
        <v>0.77888252154514537</v>
      </c>
      <c r="AB139">
        <v>0.7521617075293332</v>
      </c>
      <c r="AC139">
        <v>0.74345258456244967</v>
      </c>
      <c r="AD139">
        <v>0.94809313760203351</v>
      </c>
      <c r="AE139">
        <v>0.63106963848807507</v>
      </c>
      <c r="AH139">
        <v>0.21415543575034779</v>
      </c>
      <c r="AI139">
        <v>0.21685477707803558</v>
      </c>
      <c r="AJ139">
        <v>0.14184701800878285</v>
      </c>
      <c r="AK139">
        <v>0.21968751168169331</v>
      </c>
      <c r="AL139">
        <v>6.5692750542470923E-2</v>
      </c>
      <c r="AM139">
        <v>0.15906539786419238</v>
      </c>
      <c r="AN139">
        <v>0.18634743815672927</v>
      </c>
      <c r="AO139">
        <v>3.3291532906183363E-2</v>
      </c>
      <c r="AR139">
        <v>8.8152209593643548E-4</v>
      </c>
      <c r="AS139">
        <v>4.6666498558308733E-3</v>
      </c>
      <c r="AT139">
        <v>0.10024724747288583</v>
      </c>
      <c r="AU139">
        <v>1.8162650116618241E-3</v>
      </c>
      <c r="AV139">
        <v>1.9979626330978162E-3</v>
      </c>
      <c r="AW139">
        <v>3.5812512040548361E-3</v>
      </c>
      <c r="AX139">
        <v>3.3004897576501371E-4</v>
      </c>
      <c r="AY139">
        <v>4.1504918301486104E-4</v>
      </c>
      <c r="BB139">
        <v>5.3129291854435601E-2</v>
      </c>
      <c r="BC139">
        <v>8.6999069789691741E-2</v>
      </c>
      <c r="BE139">
        <v>33851.929465467525</v>
      </c>
      <c r="BF139">
        <v>21.294080719467331</v>
      </c>
      <c r="BG139">
        <v>36085.87794368976</v>
      </c>
      <c r="BH139">
        <v>21.270915226086629</v>
      </c>
    </row>
    <row r="140" spans="3:60" x14ac:dyDescent="0.2">
      <c r="C140" s="138">
        <v>27635.822538287961</v>
      </c>
      <c r="D140">
        <v>21.238212331285293</v>
      </c>
      <c r="E140" s="138">
        <v>29267.297766278527</v>
      </c>
      <c r="F140" s="138">
        <v>21.209844092720111</v>
      </c>
      <c r="G140" s="138">
        <v>-1631.4752279905661</v>
      </c>
      <c r="H140" s="138">
        <v>2.8368238565182224E-2</v>
      </c>
      <c r="J140" s="135">
        <v>160000</v>
      </c>
      <c r="L140">
        <v>0.93200000000000005</v>
      </c>
      <c r="N140" s="138"/>
      <c r="O140" s="138"/>
      <c r="P140" s="138"/>
      <c r="R140">
        <v>364.63943932975747</v>
      </c>
      <c r="S140">
        <v>77.768200191767676</v>
      </c>
      <c r="T140">
        <v>233.50063482736681</v>
      </c>
      <c r="U140">
        <v>96.214726786588258</v>
      </c>
      <c r="X140">
        <v>0.68637424883469833</v>
      </c>
      <c r="Y140">
        <v>0.51676154504227834</v>
      </c>
      <c r="Z140">
        <v>0.84843138330429069</v>
      </c>
      <c r="AA140">
        <v>0.74930777562184103</v>
      </c>
      <c r="AB140">
        <v>0.64191520433105798</v>
      </c>
      <c r="AC140">
        <v>0.67265870860132326</v>
      </c>
      <c r="AD140">
        <v>0.50165397006845103</v>
      </c>
      <c r="AE140">
        <v>0.8130521950465468</v>
      </c>
      <c r="AH140">
        <v>4.1622944078020918E-2</v>
      </c>
      <c r="AI140">
        <v>9.2397600714602013E-2</v>
      </c>
      <c r="AJ140">
        <v>0.17956366807779389</v>
      </c>
      <c r="AK140">
        <v>6.9856966157194944E-2</v>
      </c>
      <c r="AL140">
        <v>2.6539390130564389E-2</v>
      </c>
      <c r="AM140">
        <v>0.17959775424557223</v>
      </c>
      <c r="AN140">
        <v>8.3860323115727553E-2</v>
      </c>
      <c r="AO140">
        <v>0.11588710673712288</v>
      </c>
      <c r="AR140">
        <v>8.7482410586139047E-4</v>
      </c>
      <c r="AS140">
        <v>4.3477417336454374E-3</v>
      </c>
      <c r="AT140">
        <v>0.10090624121129232</v>
      </c>
      <c r="AU140">
        <v>1.856485208491334E-3</v>
      </c>
      <c r="AV140">
        <v>2.1401880988611843E-3</v>
      </c>
      <c r="AW140">
        <v>3.2716926054321594E-3</v>
      </c>
      <c r="AX140">
        <v>3.6641673542832539E-4</v>
      </c>
      <c r="AY140">
        <v>4.7098591472660711E-4</v>
      </c>
      <c r="BB140">
        <v>4.1639455719827592E-2</v>
      </c>
      <c r="BC140">
        <v>6.7727486957438243E-2</v>
      </c>
      <c r="BE140">
        <v>27635.822538287961</v>
      </c>
      <c r="BF140">
        <v>21.238212331285293</v>
      </c>
      <c r="BG140">
        <v>29267.297766278527</v>
      </c>
      <c r="BH140">
        <v>21.209844092720111</v>
      </c>
    </row>
    <row r="141" spans="3:60" x14ac:dyDescent="0.2">
      <c r="C141" s="138">
        <v>30320.47178912552</v>
      </c>
      <c r="D141">
        <v>20.898110588500856</v>
      </c>
      <c r="E141" s="138">
        <v>32263.861516613139</v>
      </c>
      <c r="F141" s="138">
        <v>20.874798551243885</v>
      </c>
      <c r="G141" s="138">
        <v>-1943.3897274876181</v>
      </c>
      <c r="H141" s="138">
        <v>2.3312037256971507E-2</v>
      </c>
      <c r="J141" s="135">
        <v>162500</v>
      </c>
      <c r="L141">
        <v>0.93100000000000005</v>
      </c>
      <c r="N141" s="138"/>
      <c r="O141" s="138"/>
      <c r="P141" s="138"/>
      <c r="R141">
        <v>350.26617509959914</v>
      </c>
      <c r="S141">
        <v>68.208587124700159</v>
      </c>
      <c r="T141">
        <v>282.68659602954972</v>
      </c>
      <c r="U141">
        <v>98.040054748332608</v>
      </c>
      <c r="X141">
        <v>0.55970328309785922</v>
      </c>
      <c r="Y141">
        <v>0.82379078858674049</v>
      </c>
      <c r="Z141">
        <v>0.68213719858738975</v>
      </c>
      <c r="AA141">
        <v>0.83799210789722323</v>
      </c>
      <c r="AB141">
        <v>0.48205125356366396</v>
      </c>
      <c r="AC141">
        <v>0.87859023366882816</v>
      </c>
      <c r="AD141">
        <v>0.85949870920006555</v>
      </c>
      <c r="AE141">
        <v>0.76638031126395267</v>
      </c>
      <c r="AH141">
        <v>0.13018563166644059</v>
      </c>
      <c r="AI141">
        <v>0.35202571352282952</v>
      </c>
      <c r="AJ141">
        <v>0.1340093393119548</v>
      </c>
      <c r="AK141">
        <v>0.22059953808585486</v>
      </c>
      <c r="AL141">
        <v>8.2227485977544146E-2</v>
      </c>
      <c r="AM141">
        <v>5.3410512438874513E-2</v>
      </c>
      <c r="AN141">
        <v>0.28919963994169551</v>
      </c>
      <c r="AO141">
        <v>7.2955601490418465E-2</v>
      </c>
      <c r="AR141">
        <v>8.5379750362853406E-4</v>
      </c>
      <c r="AS141">
        <v>4.2369256944964316E-3</v>
      </c>
      <c r="AT141">
        <v>9.9555692475492924E-2</v>
      </c>
      <c r="AU141">
        <v>2.1565084503615273E-3</v>
      </c>
      <c r="AV141">
        <v>2.0398073838120423E-3</v>
      </c>
      <c r="AW141">
        <v>3.5758940465022704E-3</v>
      </c>
      <c r="AX141">
        <v>4.0711362981571408E-4</v>
      </c>
      <c r="AY141">
        <v>4.7586333483773391E-4</v>
      </c>
      <c r="BB141">
        <v>5.5832770855367087E-2</v>
      </c>
      <c r="BC141">
        <v>5.9866442084616556E-2</v>
      </c>
      <c r="BE141">
        <v>30320.47178912552</v>
      </c>
      <c r="BF141">
        <v>20.898110588500856</v>
      </c>
      <c r="BG141">
        <v>32263.861516613139</v>
      </c>
      <c r="BH141">
        <v>20.874798551243885</v>
      </c>
    </row>
    <row r="142" spans="3:60" x14ac:dyDescent="0.2">
      <c r="C142" s="138">
        <v>28986.718959283262</v>
      </c>
      <c r="D142">
        <v>21.44880251087454</v>
      </c>
      <c r="E142" s="138">
        <v>30974.803957249762</v>
      </c>
      <c r="F142" s="138">
        <v>21.453570426202926</v>
      </c>
      <c r="G142" s="138">
        <v>-1988.0849979664999</v>
      </c>
      <c r="H142" s="138">
        <v>-4.7679153283866071E-3</v>
      </c>
      <c r="J142" s="135">
        <v>165000</v>
      </c>
      <c r="L142">
        <v>0.93100000000000005</v>
      </c>
      <c r="N142" s="138"/>
      <c r="O142" s="138"/>
      <c r="P142" s="138"/>
      <c r="R142">
        <v>119.08131327606486</v>
      </c>
      <c r="S142">
        <v>70.167408948243619</v>
      </c>
      <c r="T142">
        <v>254.3743215662733</v>
      </c>
      <c r="U142">
        <v>95.189828532634351</v>
      </c>
      <c r="X142">
        <v>0.94964251236430264</v>
      </c>
      <c r="Y142">
        <v>0.8332158738601888</v>
      </c>
      <c r="Z142">
        <v>0.87777831097720427</v>
      </c>
      <c r="AA142">
        <v>0.91240133741902107</v>
      </c>
      <c r="AB142">
        <v>0.65258958799734113</v>
      </c>
      <c r="AC142">
        <v>0.64403595728931129</v>
      </c>
      <c r="AD142">
        <v>0.81907618626462242</v>
      </c>
      <c r="AE142">
        <v>0.81908565250123122</v>
      </c>
      <c r="AH142">
        <v>0.16126593916252596</v>
      </c>
      <c r="AI142">
        <v>0.19679847470222034</v>
      </c>
      <c r="AJ142">
        <v>0.10882571008046993</v>
      </c>
      <c r="AK142">
        <v>0.14715321199266784</v>
      </c>
      <c r="AL142">
        <v>0.12250928520028537</v>
      </c>
      <c r="AM142">
        <v>0.21904622833174392</v>
      </c>
      <c r="AN142">
        <v>0.1373264615832287</v>
      </c>
      <c r="AO142">
        <v>3.7171552080922599E-2</v>
      </c>
      <c r="AR142">
        <v>7.8309812239662363E-4</v>
      </c>
      <c r="AS142">
        <v>4.441060702938383E-3</v>
      </c>
      <c r="AT142">
        <v>0.10092591769773984</v>
      </c>
      <c r="AU142">
        <v>2.0801721622292213E-3</v>
      </c>
      <c r="AV142">
        <v>1.9323643213133598E-3</v>
      </c>
      <c r="AW142">
        <v>3.5090691636376903E-3</v>
      </c>
      <c r="AX142">
        <v>3.4348706161705972E-4</v>
      </c>
      <c r="AY142">
        <v>3.5634111802579328E-4</v>
      </c>
      <c r="BB142">
        <v>6.2265484805649307E-2</v>
      </c>
      <c r="BC142">
        <v>9.378884835204282E-2</v>
      </c>
      <c r="BE142">
        <v>28986.718959283262</v>
      </c>
      <c r="BF142">
        <v>21.44880251087454</v>
      </c>
      <c r="BG142">
        <v>30974.803957249762</v>
      </c>
      <c r="BH142">
        <v>21.453570426202926</v>
      </c>
    </row>
    <row r="143" spans="3:60" x14ac:dyDescent="0.2">
      <c r="C143" s="138">
        <v>26030.130455795221</v>
      </c>
      <c r="D143">
        <v>21.582701937708613</v>
      </c>
      <c r="E143" s="138">
        <v>27776.495911656693</v>
      </c>
      <c r="F143" s="138">
        <v>21.58138952744698</v>
      </c>
      <c r="G143" s="138">
        <v>-1746.3654558614726</v>
      </c>
      <c r="H143" s="138">
        <v>1.3124102616330902E-3</v>
      </c>
      <c r="J143" s="135">
        <v>167500</v>
      </c>
      <c r="L143">
        <v>0.93</v>
      </c>
      <c r="N143" s="138"/>
      <c r="O143" s="138"/>
      <c r="P143" s="138"/>
      <c r="R143">
        <v>344.84379175068398</v>
      </c>
      <c r="S143">
        <v>60.543093260782058</v>
      </c>
      <c r="T143">
        <v>279.89842997810177</v>
      </c>
      <c r="U143">
        <v>111.94241595069579</v>
      </c>
      <c r="X143">
        <v>0.97679005249387685</v>
      </c>
      <c r="Y143">
        <v>0.87196250404191178</v>
      </c>
      <c r="Z143">
        <v>0.85992599513681811</v>
      </c>
      <c r="AA143">
        <v>0.57185767037366719</v>
      </c>
      <c r="AB143">
        <v>0.67022562502515082</v>
      </c>
      <c r="AC143">
        <v>0.88552747795466502</v>
      </c>
      <c r="AD143">
        <v>0.98001473549700435</v>
      </c>
      <c r="AE143">
        <v>0.90352917331370719</v>
      </c>
      <c r="AH143">
        <v>0.20270492791776684</v>
      </c>
      <c r="AI143">
        <v>0.11294985982305217</v>
      </c>
      <c r="AJ143">
        <v>0.12672709263535209</v>
      </c>
      <c r="AK143">
        <v>0.13313901744980072</v>
      </c>
      <c r="AL143">
        <v>1.4435556746482447E-2</v>
      </c>
      <c r="AM143">
        <v>1.6945479966634869E-2</v>
      </c>
      <c r="AN143">
        <v>0.12524972991995864</v>
      </c>
      <c r="AO143">
        <v>0.2520456371717581</v>
      </c>
      <c r="AR143">
        <v>9.063713603171264E-4</v>
      </c>
      <c r="AS143">
        <v>4.5264568307800124E-3</v>
      </c>
      <c r="AT143">
        <v>0.10102299734182951</v>
      </c>
      <c r="AU143">
        <v>2.3788169197457298E-3</v>
      </c>
      <c r="AV143">
        <v>1.9751450061028294E-3</v>
      </c>
      <c r="AW143">
        <v>3.3323016507896658E-3</v>
      </c>
      <c r="AX143">
        <v>3.803014438118803E-4</v>
      </c>
      <c r="AY143">
        <v>4.4495495417228861E-4</v>
      </c>
      <c r="BB143">
        <v>3.8960127426126902E-2</v>
      </c>
      <c r="BC143">
        <v>1.1742069156844344E-2</v>
      </c>
      <c r="BE143">
        <v>26030.130455795221</v>
      </c>
      <c r="BF143">
        <v>21.582701937708613</v>
      </c>
      <c r="BG143">
        <v>27776.495911656693</v>
      </c>
      <c r="BH143">
        <v>21.58138952744698</v>
      </c>
    </row>
    <row r="144" spans="3:60" x14ac:dyDescent="0.2">
      <c r="C144" s="138">
        <v>32218.876130291883</v>
      </c>
      <c r="D144">
        <v>20.30497680756892</v>
      </c>
      <c r="E144" s="138">
        <v>35160.357927672914</v>
      </c>
      <c r="F144" s="138">
        <v>20.283223014201269</v>
      </c>
      <c r="G144" s="138">
        <v>-2941.4817973810314</v>
      </c>
      <c r="H144" s="138">
        <v>2.1753793367651042E-2</v>
      </c>
      <c r="J144" s="135">
        <v>170000</v>
      </c>
      <c r="L144">
        <v>0.92900000000000005</v>
      </c>
      <c r="N144" s="138"/>
      <c r="O144" s="138"/>
      <c r="P144" s="138"/>
      <c r="R144">
        <v>79.989077579470205</v>
      </c>
      <c r="S144">
        <v>64.746553882675713</v>
      </c>
      <c r="T144">
        <v>231.36151735335167</v>
      </c>
      <c r="U144">
        <v>92.949476925425955</v>
      </c>
      <c r="X144">
        <v>0.88665648155855148</v>
      </c>
      <c r="Y144">
        <v>0.91050532630601988</v>
      </c>
      <c r="Z144">
        <v>0.86255976763957509</v>
      </c>
      <c r="AA144">
        <v>0.68465726397790339</v>
      </c>
      <c r="AB144">
        <v>0.7964183708608199</v>
      </c>
      <c r="AC144">
        <v>0.56686843373364271</v>
      </c>
      <c r="AD144">
        <v>0.838198313687195</v>
      </c>
      <c r="AE144">
        <v>0.60182741281156993</v>
      </c>
      <c r="AH144">
        <v>0.2498550742653991</v>
      </c>
      <c r="AI144">
        <v>0.11102091033889006</v>
      </c>
      <c r="AJ144">
        <v>0.17086962158497798</v>
      </c>
      <c r="AK144">
        <v>1.6246014367172101E-2</v>
      </c>
      <c r="AL144">
        <v>0.431894305720807</v>
      </c>
      <c r="AM144">
        <v>0.10696040165298404</v>
      </c>
      <c r="AN144">
        <v>6.6922864060545706E-2</v>
      </c>
      <c r="AO144">
        <v>9.0453431284798103E-2</v>
      </c>
      <c r="AR144">
        <v>8.1069323474033679E-4</v>
      </c>
      <c r="AS144">
        <v>4.7326913716083663E-3</v>
      </c>
      <c r="AT144">
        <v>9.9023754211057025E-2</v>
      </c>
      <c r="AU144">
        <v>2.0542643157815954E-3</v>
      </c>
      <c r="AV144">
        <v>1.8669503714118247E-3</v>
      </c>
      <c r="AW144">
        <v>3.5116031752986387E-3</v>
      </c>
      <c r="AX144">
        <v>3.621950548761692E-4</v>
      </c>
      <c r="AY144">
        <v>4.0372799503510823E-4</v>
      </c>
      <c r="BB144">
        <v>5.8220792008464528E-2</v>
      </c>
      <c r="BC144">
        <v>3.6008750297748013E-2</v>
      </c>
      <c r="BE144">
        <v>32218.876130291883</v>
      </c>
      <c r="BF144">
        <v>20.30497680756892</v>
      </c>
      <c r="BG144">
        <v>35160.357927672914</v>
      </c>
      <c r="BH144">
        <v>20.283223014201269</v>
      </c>
    </row>
    <row r="145" spans="3:60" x14ac:dyDescent="0.2">
      <c r="C145" s="138">
        <v>30938.926213566068</v>
      </c>
      <c r="D145">
        <v>20.902585634949787</v>
      </c>
      <c r="E145" s="138">
        <v>32695.370110983651</v>
      </c>
      <c r="F145" s="138">
        <v>20.860749549240623</v>
      </c>
      <c r="G145" s="138">
        <v>-1756.4438974175828</v>
      </c>
      <c r="H145" s="138">
        <v>4.1836085709164195E-2</v>
      </c>
      <c r="J145" s="135">
        <v>172500</v>
      </c>
      <c r="L145">
        <v>0.92800000000000005</v>
      </c>
      <c r="N145" s="138"/>
      <c r="O145" s="138"/>
      <c r="P145" s="138"/>
      <c r="R145">
        <v>246.99554126608925</v>
      </c>
      <c r="S145">
        <v>54.032793574990535</v>
      </c>
      <c r="T145">
        <v>272.4588437111085</v>
      </c>
      <c r="U145">
        <v>83.750899302723383</v>
      </c>
      <c r="X145">
        <v>0.66778092026689295</v>
      </c>
      <c r="Y145">
        <v>0.74585153489680589</v>
      </c>
      <c r="Z145">
        <v>0.47014402817713119</v>
      </c>
      <c r="AA145">
        <v>0.71239976391706239</v>
      </c>
      <c r="AB145">
        <v>0.67955495221224671</v>
      </c>
      <c r="AC145">
        <v>0.70740363093056646</v>
      </c>
      <c r="AD145">
        <v>0.70298419032472981</v>
      </c>
      <c r="AE145">
        <v>0.75565059954030944</v>
      </c>
      <c r="AH145">
        <v>0.26482538767313157</v>
      </c>
      <c r="AI145">
        <v>4.3812685657231842E-2</v>
      </c>
      <c r="AJ145">
        <v>0.158485190111466</v>
      </c>
      <c r="AK145">
        <v>0.3701577098908162</v>
      </c>
      <c r="AL145">
        <v>0.13583512467869396</v>
      </c>
      <c r="AM145">
        <v>8.6085928950304313E-2</v>
      </c>
      <c r="AN145">
        <v>0.20448901989126145</v>
      </c>
      <c r="AO145">
        <v>4.7744232825330135E-2</v>
      </c>
      <c r="AR145">
        <v>8.0242402456510357E-4</v>
      </c>
      <c r="AS145">
        <v>4.4673068734171857E-3</v>
      </c>
      <c r="AT145">
        <v>0.1020710749648025</v>
      </c>
      <c r="AU145">
        <v>1.696595205628962E-3</v>
      </c>
      <c r="AV145">
        <v>2.0614708513020386E-3</v>
      </c>
      <c r="AW145">
        <v>3.6441190414709945E-3</v>
      </c>
      <c r="AX145">
        <v>3.8485507564418663E-4</v>
      </c>
      <c r="AY145">
        <v>4.2251355954258507E-4</v>
      </c>
      <c r="BB145">
        <v>4.7159911516183109E-2</v>
      </c>
      <c r="BC145">
        <v>5.5017727354255697E-2</v>
      </c>
      <c r="BE145">
        <v>30938.926213566068</v>
      </c>
      <c r="BF145">
        <v>20.902585634949787</v>
      </c>
      <c r="BG145">
        <v>32695.370110983651</v>
      </c>
      <c r="BH145">
        <v>20.860749549240623</v>
      </c>
    </row>
    <row r="146" spans="3:60" x14ac:dyDescent="0.2">
      <c r="C146" s="138">
        <v>36896.096455180406</v>
      </c>
      <c r="D146">
        <v>21.268913566331591</v>
      </c>
      <c r="E146" s="138">
        <v>38758.568081379097</v>
      </c>
      <c r="F146" s="138">
        <v>21.242331918007672</v>
      </c>
      <c r="G146" s="138">
        <v>-1862.4716261986905</v>
      </c>
      <c r="H146" s="138">
        <v>2.6581648323919183E-2</v>
      </c>
      <c r="J146" s="135">
        <v>175000</v>
      </c>
      <c r="L146">
        <v>0.92800000000000005</v>
      </c>
      <c r="N146" s="138"/>
      <c r="O146" s="138"/>
      <c r="P146" s="138"/>
      <c r="R146">
        <v>232.36258352081114</v>
      </c>
      <c r="S146">
        <v>51.643554667114017</v>
      </c>
      <c r="T146">
        <v>245.13016421073561</v>
      </c>
      <c r="U146">
        <v>86.097262625271611</v>
      </c>
      <c r="X146">
        <v>0.76994792055029504</v>
      </c>
      <c r="Y146">
        <v>0.83602941715728685</v>
      </c>
      <c r="Z146">
        <v>0.62877053350907242</v>
      </c>
      <c r="AA146">
        <v>0.66228597259900046</v>
      </c>
      <c r="AB146">
        <v>0.92544432290899259</v>
      </c>
      <c r="AC146">
        <v>0.74040372704363255</v>
      </c>
      <c r="AD146">
        <v>0.80986708221512904</v>
      </c>
      <c r="AE146">
        <v>0.91509895467405655</v>
      </c>
      <c r="AH146">
        <v>6.4781715507614357E-2</v>
      </c>
      <c r="AI146">
        <v>7.1399401010982744E-2</v>
      </c>
      <c r="AJ146">
        <v>6.9450535354728671E-2</v>
      </c>
      <c r="AK146">
        <v>6.0982591447227064E-2</v>
      </c>
      <c r="AL146">
        <v>0.30186580474353097</v>
      </c>
      <c r="AM146">
        <v>0.13623822805254482</v>
      </c>
      <c r="AN146">
        <v>0.26872165813896498</v>
      </c>
      <c r="AO146">
        <v>0.20591493001688588</v>
      </c>
      <c r="AR146">
        <v>7.417883409044935E-4</v>
      </c>
      <c r="AS146">
        <v>4.2241486141825473E-3</v>
      </c>
      <c r="AT146">
        <v>0.10110891706656755</v>
      </c>
      <c r="AU146">
        <v>2.2179297914993734E-3</v>
      </c>
      <c r="AV146">
        <v>2.2024850327161394E-3</v>
      </c>
      <c r="AW146">
        <v>3.7955311059928443E-3</v>
      </c>
      <c r="AX146">
        <v>4.6683064490116166E-4</v>
      </c>
      <c r="AY146">
        <v>4.7215224207297624E-4</v>
      </c>
      <c r="BB146">
        <v>5.203449015279249E-2</v>
      </c>
      <c r="BC146">
        <v>7.8878472183702808E-2</v>
      </c>
      <c r="BE146">
        <v>36896.096455180406</v>
      </c>
      <c r="BF146">
        <v>21.268913566331591</v>
      </c>
      <c r="BG146">
        <v>38758.568081379097</v>
      </c>
      <c r="BH146">
        <v>21.242331918007672</v>
      </c>
    </row>
    <row r="147" spans="3:60" x14ac:dyDescent="0.2">
      <c r="C147" s="138">
        <v>30980.124875105248</v>
      </c>
      <c r="D147">
        <v>20.692943925694159</v>
      </c>
      <c r="E147" s="138">
        <v>32852.000860642285</v>
      </c>
      <c r="F147" s="138">
        <v>20.64657351203973</v>
      </c>
      <c r="G147" s="138">
        <v>-1871.8759855370372</v>
      </c>
      <c r="H147" s="138">
        <v>4.6370413654429399E-2</v>
      </c>
      <c r="J147" s="135">
        <v>177500</v>
      </c>
      <c r="L147">
        <v>0.92600000000000005</v>
      </c>
      <c r="N147" s="138"/>
      <c r="O147" s="138"/>
      <c r="P147" s="138"/>
      <c r="R147">
        <v>245.64383694588057</v>
      </c>
      <c r="S147">
        <v>60.530469812109004</v>
      </c>
      <c r="T147">
        <v>253.17155627495092</v>
      </c>
      <c r="U147">
        <v>90.53009471069555</v>
      </c>
      <c r="X147">
        <v>0.85735270819517795</v>
      </c>
      <c r="Y147">
        <v>0.91201189954115414</v>
      </c>
      <c r="Z147">
        <v>0.82884544806928251</v>
      </c>
      <c r="AA147">
        <v>0.69140157268024316</v>
      </c>
      <c r="AB147">
        <v>0.92605945282249591</v>
      </c>
      <c r="AC147">
        <v>0.87717806714707725</v>
      </c>
      <c r="AD147">
        <v>0.58213062466916465</v>
      </c>
      <c r="AE147">
        <v>0.63656146165803218</v>
      </c>
      <c r="AH147">
        <v>0.13602563509280707</v>
      </c>
      <c r="AI147">
        <v>0.18607253157074011</v>
      </c>
      <c r="AJ147">
        <v>0.28757672963694392</v>
      </c>
      <c r="AK147">
        <v>0.19307867742673845</v>
      </c>
      <c r="AL147">
        <v>0.10361222374042312</v>
      </c>
      <c r="AM147">
        <v>0.13990058538877725</v>
      </c>
      <c r="AN147">
        <v>0.1800462164172586</v>
      </c>
      <c r="AO147">
        <v>5.7774206353968127E-2</v>
      </c>
      <c r="AR147">
        <v>8.4899013840846393E-4</v>
      </c>
      <c r="AS147">
        <v>4.377582209624334E-3</v>
      </c>
      <c r="AT147">
        <v>9.9277974531174873E-2</v>
      </c>
      <c r="AU147">
        <v>1.8668714584997065E-3</v>
      </c>
      <c r="AV147">
        <v>1.8891283424247775E-3</v>
      </c>
      <c r="AW147">
        <v>3.1974184330818564E-3</v>
      </c>
      <c r="AX147">
        <v>3.3684211260969567E-4</v>
      </c>
      <c r="AY147">
        <v>4.1420007848305988E-4</v>
      </c>
      <c r="BB147">
        <v>4.3994697842402869E-2</v>
      </c>
      <c r="BC147">
        <v>8.600691921011927E-2</v>
      </c>
      <c r="BE147">
        <v>30980.124875105248</v>
      </c>
      <c r="BF147">
        <v>20.692943925694159</v>
      </c>
      <c r="BG147">
        <v>32852.000860642285</v>
      </c>
      <c r="BH147">
        <v>20.64657351203973</v>
      </c>
    </row>
    <row r="148" spans="3:60" x14ac:dyDescent="0.2">
      <c r="C148" s="138">
        <v>35095.11243174359</v>
      </c>
      <c r="D148">
        <v>20.57661107587025</v>
      </c>
      <c r="E148" s="138">
        <v>36633.410476264326</v>
      </c>
      <c r="F148" s="138">
        <v>20.529675087738607</v>
      </c>
      <c r="G148" s="138">
        <v>-1538.2980445207359</v>
      </c>
      <c r="H148" s="138">
        <v>4.6935988131643569E-2</v>
      </c>
      <c r="J148" s="135">
        <v>180000</v>
      </c>
      <c r="L148">
        <v>0.92600000000000005</v>
      </c>
      <c r="N148" s="138"/>
      <c r="O148" s="138"/>
      <c r="P148" s="138"/>
      <c r="R148">
        <v>403.61508415635615</v>
      </c>
      <c r="S148">
        <v>70.434570670754368</v>
      </c>
      <c r="T148">
        <v>229.40958092061618</v>
      </c>
      <c r="U148">
        <v>98.186216900011345</v>
      </c>
      <c r="X148">
        <v>0.74230313643496471</v>
      </c>
      <c r="Y148">
        <v>0.72917766976071985</v>
      </c>
      <c r="Z148">
        <v>0.73277314243526459</v>
      </c>
      <c r="AA148">
        <v>0.68255043381539615</v>
      </c>
      <c r="AB148">
        <v>0.86998036425304981</v>
      </c>
      <c r="AC148">
        <v>0.75826966484307678</v>
      </c>
      <c r="AD148">
        <v>0.73542918759063713</v>
      </c>
      <c r="AE148">
        <v>0.8526041495116029</v>
      </c>
      <c r="AH148">
        <v>3.6601466116401804E-2</v>
      </c>
      <c r="AI148">
        <v>0.21779406773169252</v>
      </c>
      <c r="AJ148">
        <v>0.26324866001118197</v>
      </c>
      <c r="AK148">
        <v>0.10045449523803396</v>
      </c>
      <c r="AL148">
        <v>8.6207200137800921E-2</v>
      </c>
      <c r="AM148">
        <v>3.6555088285592952E-2</v>
      </c>
      <c r="AN148">
        <v>2.5997811456057729E-2</v>
      </c>
      <c r="AO148">
        <v>0.15522051786503066</v>
      </c>
      <c r="AR148">
        <v>9.1709174461074294E-4</v>
      </c>
      <c r="AS148">
        <v>4.5655107021951302E-3</v>
      </c>
      <c r="AT148">
        <v>9.9792454164570249E-2</v>
      </c>
      <c r="AU148">
        <v>1.7284085520418268E-3</v>
      </c>
      <c r="AV148">
        <v>1.937894721647687E-3</v>
      </c>
      <c r="AW148">
        <v>3.1229386063459067E-3</v>
      </c>
      <c r="AX148">
        <v>3.7920268831172097E-4</v>
      </c>
      <c r="AY148">
        <v>4.601317252208581E-4</v>
      </c>
      <c r="BB148">
        <v>5.4021059443431829E-2</v>
      </c>
      <c r="BC148">
        <v>6.0710471560065704E-2</v>
      </c>
      <c r="BE148">
        <v>35095.11243174359</v>
      </c>
      <c r="BF148">
        <v>20.57661107587025</v>
      </c>
      <c r="BG148">
        <v>36633.410476264326</v>
      </c>
      <c r="BH148">
        <v>20.529675087738607</v>
      </c>
    </row>
    <row r="149" spans="3:60" x14ac:dyDescent="0.2">
      <c r="C149" s="138">
        <v>25118.061256023324</v>
      </c>
      <c r="D149">
        <v>20.749045190163987</v>
      </c>
      <c r="E149" s="138">
        <v>26691.334519970729</v>
      </c>
      <c r="F149" s="138">
        <v>20.716675820753061</v>
      </c>
      <c r="G149" s="138">
        <v>-1573.2732639474052</v>
      </c>
      <c r="H149" s="138">
        <v>3.2369369410925941E-2</v>
      </c>
      <c r="J149" s="135">
        <v>182500</v>
      </c>
      <c r="L149">
        <v>0.92600000000000005</v>
      </c>
      <c r="N149" s="138"/>
      <c r="O149" s="138"/>
      <c r="P149" s="138"/>
      <c r="R149">
        <v>272.624689330595</v>
      </c>
      <c r="S149">
        <v>51.394779506163218</v>
      </c>
      <c r="T149">
        <v>245.74003460887388</v>
      </c>
      <c r="U149">
        <v>93.25379883707383</v>
      </c>
      <c r="X149">
        <v>0.89488339016713314</v>
      </c>
      <c r="Y149">
        <v>0.84539503933725479</v>
      </c>
      <c r="Z149">
        <v>0.54943436384014943</v>
      </c>
      <c r="AA149">
        <v>0.62180091955727457</v>
      </c>
      <c r="AB149">
        <v>0.92337069115586956</v>
      </c>
      <c r="AC149">
        <v>0.8301243481765419</v>
      </c>
      <c r="AD149">
        <v>0.71191877590795094</v>
      </c>
      <c r="AE149">
        <v>0.71511172750688645</v>
      </c>
      <c r="AH149">
        <v>0.28223651361416768</v>
      </c>
      <c r="AI149">
        <v>0.18297833817481579</v>
      </c>
      <c r="AJ149">
        <v>1.7453136770482991E-2</v>
      </c>
      <c r="AK149">
        <v>0.16418247443767642</v>
      </c>
      <c r="AL149">
        <v>0.10110493151193789</v>
      </c>
      <c r="AM149">
        <v>8.9330102786888688E-2</v>
      </c>
      <c r="AN149">
        <v>7.3854454051638374E-2</v>
      </c>
      <c r="AO149">
        <v>0.12039292555650438</v>
      </c>
      <c r="AR149">
        <v>1.0604743230798741E-3</v>
      </c>
      <c r="AS149">
        <v>5.0465164944369922E-3</v>
      </c>
      <c r="AT149">
        <v>0.10039223675494102</v>
      </c>
      <c r="AU149">
        <v>1.9091880454492906E-3</v>
      </c>
      <c r="AV149">
        <v>1.9983552743773059E-3</v>
      </c>
      <c r="AW149">
        <v>3.4437743628734641E-3</v>
      </c>
      <c r="AX149">
        <v>3.7354569390095956E-4</v>
      </c>
      <c r="AY149">
        <v>3.9102784411409596E-4</v>
      </c>
      <c r="BB149">
        <v>4.6048092382706442E-2</v>
      </c>
      <c r="BC149">
        <v>4.1488005068933721E-2</v>
      </c>
      <c r="BE149">
        <v>25118.061256023324</v>
      </c>
      <c r="BF149">
        <v>20.749045190163987</v>
      </c>
      <c r="BG149">
        <v>26691.334519970729</v>
      </c>
      <c r="BH149">
        <v>20.716675820753061</v>
      </c>
    </row>
    <row r="150" spans="3:60" x14ac:dyDescent="0.2">
      <c r="C150" s="138">
        <v>30526.5597430448</v>
      </c>
      <c r="D150">
        <v>20.139918558304462</v>
      </c>
      <c r="E150" s="138">
        <v>32332.262218406671</v>
      </c>
      <c r="F150" s="138">
        <v>20.133684945875711</v>
      </c>
      <c r="G150" s="138">
        <v>-1805.7024753618716</v>
      </c>
      <c r="H150" s="138">
        <v>6.2336124287512007E-3</v>
      </c>
      <c r="J150" s="135">
        <v>185000</v>
      </c>
      <c r="L150">
        <v>0.92600000000000005</v>
      </c>
      <c r="N150" s="138"/>
      <c r="O150" s="138"/>
      <c r="P150" s="138"/>
      <c r="R150">
        <v>575.6272927861562</v>
      </c>
      <c r="S150">
        <v>69.193326339755785</v>
      </c>
      <c r="T150">
        <v>230.88996772365175</v>
      </c>
      <c r="U150">
        <v>86.629140331594499</v>
      </c>
      <c r="X150">
        <v>0.765509096793623</v>
      </c>
      <c r="Y150">
        <v>0.74419647414937473</v>
      </c>
      <c r="Z150">
        <v>0.8004556692504694</v>
      </c>
      <c r="AA150">
        <v>0.60746460426008397</v>
      </c>
      <c r="AB150">
        <v>0.72865088501373487</v>
      </c>
      <c r="AC150">
        <v>0.79613547583727495</v>
      </c>
      <c r="AD150">
        <v>0.86373588883443619</v>
      </c>
      <c r="AE150">
        <v>0.68011392065128284</v>
      </c>
      <c r="AH150">
        <v>6.4296175008975998E-2</v>
      </c>
      <c r="AI150">
        <v>0.16721035278376017</v>
      </c>
      <c r="AJ150">
        <v>5.2022119392620136E-2</v>
      </c>
      <c r="AK150">
        <v>0.26112171553050345</v>
      </c>
      <c r="AL150">
        <v>6.6125978776768179E-2</v>
      </c>
      <c r="AM150">
        <v>6.7882094429145168E-2</v>
      </c>
      <c r="AN150">
        <v>0.15249171485467339</v>
      </c>
      <c r="AO150">
        <v>4.7011373116440769E-2</v>
      </c>
      <c r="AR150">
        <v>8.5632247221355934E-4</v>
      </c>
      <c r="AS150">
        <v>4.6458637862917262E-3</v>
      </c>
      <c r="AT150">
        <v>0.10114669553914746</v>
      </c>
      <c r="AU150">
        <v>1.8700054491114471E-3</v>
      </c>
      <c r="AV150">
        <v>1.9416967352204339E-3</v>
      </c>
      <c r="AW150">
        <v>3.4272303667800541E-3</v>
      </c>
      <c r="AX150">
        <v>4.2218918336789368E-4</v>
      </c>
      <c r="AY150">
        <v>3.4861538408987642E-4</v>
      </c>
      <c r="BB150">
        <v>3.7708425868882914E-2</v>
      </c>
      <c r="BC150">
        <v>5.3981302454268465E-2</v>
      </c>
      <c r="BE150">
        <v>30526.5597430448</v>
      </c>
      <c r="BF150">
        <v>20.139918558304462</v>
      </c>
      <c r="BG150">
        <v>32332.262218406671</v>
      </c>
      <c r="BH150">
        <v>20.133684945875711</v>
      </c>
    </row>
    <row r="151" spans="3:60" x14ac:dyDescent="0.2">
      <c r="C151" s="138">
        <v>34291.79997205289</v>
      </c>
      <c r="D151">
        <v>20.183714989333716</v>
      </c>
      <c r="E151" s="138">
        <v>36209.589890451345</v>
      </c>
      <c r="F151" s="138">
        <v>20.135206740416784</v>
      </c>
      <c r="G151" s="138">
        <v>-1917.7899183984555</v>
      </c>
      <c r="H151" s="138">
        <v>4.8508248916931507E-2</v>
      </c>
      <c r="J151" s="135">
        <v>187500</v>
      </c>
      <c r="L151">
        <v>0.92400000000000004</v>
      </c>
      <c r="N151" s="138"/>
      <c r="O151" s="138"/>
      <c r="P151" s="138"/>
      <c r="R151">
        <v>255.09187077979547</v>
      </c>
      <c r="S151">
        <v>62.747054285044271</v>
      </c>
      <c r="T151">
        <v>228.62357106310083</v>
      </c>
      <c r="U151">
        <v>90.08557914151335</v>
      </c>
      <c r="X151">
        <v>0.72207030758377544</v>
      </c>
      <c r="Y151">
        <v>0.72492849574409701</v>
      </c>
      <c r="Z151">
        <v>0.90173292605017208</v>
      </c>
      <c r="AA151">
        <v>0.74256518041135122</v>
      </c>
      <c r="AB151">
        <v>0.77283555390470782</v>
      </c>
      <c r="AC151">
        <v>0.60242760135328877</v>
      </c>
      <c r="AD151">
        <v>0.57716996210743965</v>
      </c>
      <c r="AE151">
        <v>0.78990406289071569</v>
      </c>
      <c r="AH151">
        <v>0.13186478023960702</v>
      </c>
      <c r="AI151">
        <v>0.25684856232955511</v>
      </c>
      <c r="AJ151">
        <v>0.16965400806603392</v>
      </c>
      <c r="AK151">
        <v>0.21680711833031518</v>
      </c>
      <c r="AL151">
        <v>0.2204095619198555</v>
      </c>
      <c r="AM151">
        <v>3.9877666468044026E-2</v>
      </c>
      <c r="AN151">
        <v>0.20326594794737141</v>
      </c>
      <c r="AO151">
        <v>7.6517796827772822E-2</v>
      </c>
      <c r="AR151">
        <v>9.4243827997553264E-4</v>
      </c>
      <c r="AS151">
        <v>4.4210049202811448E-3</v>
      </c>
      <c r="AT151">
        <v>0.10032497892130221</v>
      </c>
      <c r="AU151">
        <v>2.1944217479470396E-3</v>
      </c>
      <c r="AV151">
        <v>2.1826015042294422E-3</v>
      </c>
      <c r="AW151">
        <v>3.5781181726040057E-3</v>
      </c>
      <c r="AX151">
        <v>4.3662329671811939E-4</v>
      </c>
      <c r="AY151">
        <v>4.2720080112967408E-4</v>
      </c>
      <c r="BB151">
        <v>4.3218547258158935E-2</v>
      </c>
      <c r="BC151">
        <v>7.0280084777734397E-2</v>
      </c>
      <c r="BE151">
        <v>34291.79997205289</v>
      </c>
      <c r="BF151">
        <v>20.183714989333716</v>
      </c>
      <c r="BG151">
        <v>36209.589890451345</v>
      </c>
      <c r="BH151">
        <v>20.135206740416784</v>
      </c>
    </row>
    <row r="152" spans="3:60" x14ac:dyDescent="0.2">
      <c r="C152" s="138">
        <v>29798.45225121154</v>
      </c>
      <c r="D152">
        <v>21.051236810789163</v>
      </c>
      <c r="E152" s="138">
        <v>31888.625193263932</v>
      </c>
      <c r="F152" s="138">
        <v>21.01888693981665</v>
      </c>
      <c r="G152" s="138">
        <v>-2090.1729420523916</v>
      </c>
      <c r="H152" s="138">
        <v>3.2349870972513628E-2</v>
      </c>
      <c r="J152" s="135">
        <v>190000</v>
      </c>
      <c r="L152">
        <v>0.92400000000000004</v>
      </c>
      <c r="N152" s="138"/>
      <c r="O152" s="138"/>
      <c r="P152" s="138"/>
      <c r="R152">
        <v>170.21785836250012</v>
      </c>
      <c r="S152">
        <v>66.104648469433585</v>
      </c>
      <c r="T152">
        <v>233.07922297280612</v>
      </c>
      <c r="U152">
        <v>90.606160162735506</v>
      </c>
      <c r="X152">
        <v>0.72788948120579244</v>
      </c>
      <c r="Y152">
        <v>0.9625767302039232</v>
      </c>
      <c r="Z152">
        <v>0.76779641775839746</v>
      </c>
      <c r="AA152">
        <v>0.887952443479474</v>
      </c>
      <c r="AB152">
        <v>0.81060879628943228</v>
      </c>
      <c r="AC152">
        <v>0.46068127026398181</v>
      </c>
      <c r="AD152">
        <v>0.68577295861520804</v>
      </c>
      <c r="AE152">
        <v>0.8499441433301812</v>
      </c>
      <c r="AH152">
        <v>9.0811417305337483E-2</v>
      </c>
      <c r="AI152">
        <v>0.19084646930044935</v>
      </c>
      <c r="AJ152">
        <v>0.11657214298423846</v>
      </c>
      <c r="AK152">
        <v>0.11111577671440975</v>
      </c>
      <c r="AL152">
        <v>0.22033738209204456</v>
      </c>
      <c r="AM152">
        <v>0.12240240906535216</v>
      </c>
      <c r="AN152">
        <v>9.0772200683833071E-2</v>
      </c>
      <c r="AO152">
        <v>0.25892608340384549</v>
      </c>
      <c r="AR152">
        <v>9.0855773862830169E-4</v>
      </c>
      <c r="AS152">
        <v>4.6421837637233843E-3</v>
      </c>
      <c r="AT152">
        <v>0.10069285637523639</v>
      </c>
      <c r="AU152">
        <v>1.8231125786307859E-3</v>
      </c>
      <c r="AV152">
        <v>2.1248990434127313E-3</v>
      </c>
      <c r="AW152">
        <v>3.4415630047338608E-3</v>
      </c>
      <c r="AX152">
        <v>4.6399143536446363E-4</v>
      </c>
      <c r="AY152">
        <v>4.4969741680567221E-4</v>
      </c>
      <c r="BB152">
        <v>4.8856746178659774E-2</v>
      </c>
      <c r="BC152">
        <v>3.0535427095718357E-2</v>
      </c>
      <c r="BE152">
        <v>29798.45225121154</v>
      </c>
      <c r="BF152">
        <v>21.051236810789163</v>
      </c>
      <c r="BG152">
        <v>31888.625193263932</v>
      </c>
      <c r="BH152">
        <v>21.01888693981665</v>
      </c>
    </row>
    <row r="153" spans="3:60" x14ac:dyDescent="0.2">
      <c r="C153" s="138">
        <v>31890.66907887422</v>
      </c>
      <c r="D153">
        <v>20.252517742346487</v>
      </c>
      <c r="E153" s="138">
        <v>33887.132004044826</v>
      </c>
      <c r="F153" s="138">
        <v>20.210907928875628</v>
      </c>
      <c r="G153" s="138">
        <v>-1996.4629251706065</v>
      </c>
      <c r="H153" s="138">
        <v>4.1609813470859791E-2</v>
      </c>
      <c r="J153" s="135">
        <v>192500</v>
      </c>
      <c r="L153">
        <v>0.92400000000000004</v>
      </c>
      <c r="N153" s="138"/>
      <c r="O153" s="138"/>
      <c r="P153" s="138"/>
      <c r="R153">
        <v>317.98917217741763</v>
      </c>
      <c r="S153">
        <v>68.280270244309719</v>
      </c>
      <c r="T153">
        <v>241.76197131567338</v>
      </c>
      <c r="U153">
        <v>86.349326488151149</v>
      </c>
      <c r="X153">
        <v>0.72204907696185716</v>
      </c>
      <c r="Y153">
        <v>0.8563096578537337</v>
      </c>
      <c r="Z153">
        <v>0.83309355979230504</v>
      </c>
      <c r="AA153">
        <v>0.75652619553937583</v>
      </c>
      <c r="AB153">
        <v>0.82235768015601951</v>
      </c>
      <c r="AC153">
        <v>0.57789616367304231</v>
      </c>
      <c r="AD153">
        <v>0.89939646347268631</v>
      </c>
      <c r="AE153">
        <v>0.84105380517014261</v>
      </c>
      <c r="AH153">
        <v>9.8628276196349285E-2</v>
      </c>
      <c r="AI153">
        <v>7.5366344874532532E-2</v>
      </c>
      <c r="AJ153">
        <v>0.18153069254430054</v>
      </c>
      <c r="AK153">
        <v>7.5404958910428421E-2</v>
      </c>
      <c r="AL153">
        <v>7.7429120439252874E-2</v>
      </c>
      <c r="AM153">
        <v>3.0839992391508586E-2</v>
      </c>
      <c r="AN153">
        <v>0.17130272367865174</v>
      </c>
      <c r="AO153">
        <v>0.34762791376581714</v>
      </c>
      <c r="AR153">
        <v>1.0011831897942525E-3</v>
      </c>
      <c r="AS153">
        <v>4.5267830968183098E-3</v>
      </c>
      <c r="AT153">
        <v>9.8293700724704822E-2</v>
      </c>
      <c r="AU153">
        <v>1.8477720895481501E-3</v>
      </c>
      <c r="AV153">
        <v>1.9848285899008253E-3</v>
      </c>
      <c r="AW153">
        <v>3.5950808631425302E-3</v>
      </c>
      <c r="AX153">
        <v>4.7504582429080955E-4</v>
      </c>
      <c r="AY153">
        <v>3.7132998475557916E-4</v>
      </c>
      <c r="BB153">
        <v>4.6769204710949058E-2</v>
      </c>
      <c r="BC153">
        <v>8.7042045875258101E-2</v>
      </c>
      <c r="BE153">
        <v>31890.66907887422</v>
      </c>
      <c r="BF153">
        <v>20.252517742346487</v>
      </c>
      <c r="BG153">
        <v>33887.132004044826</v>
      </c>
      <c r="BH153">
        <v>20.210907928875628</v>
      </c>
    </row>
    <row r="154" spans="3:60" x14ac:dyDescent="0.2">
      <c r="C154" s="138">
        <v>33547.191215848703</v>
      </c>
      <c r="D154">
        <v>20.027586863952749</v>
      </c>
      <c r="E154" s="138">
        <v>36195.503142269794</v>
      </c>
      <c r="F154" s="138">
        <v>20.043386854046922</v>
      </c>
      <c r="G154" s="138">
        <v>-2648.3119264210909</v>
      </c>
      <c r="H154" s="138">
        <v>-1.5799990094173211E-2</v>
      </c>
      <c r="J154" s="135">
        <v>195000</v>
      </c>
      <c r="L154">
        <v>0.92200000000000004</v>
      </c>
      <c r="N154" s="138"/>
      <c r="O154" s="138"/>
      <c r="P154" s="138"/>
      <c r="R154">
        <v>133.24960832716363</v>
      </c>
      <c r="S154">
        <v>62.095804395332706</v>
      </c>
      <c r="T154">
        <v>194.9357879031914</v>
      </c>
      <c r="U154">
        <v>107.70056091593204</v>
      </c>
      <c r="X154">
        <v>0.86627458616125974</v>
      </c>
      <c r="Y154">
        <v>0.86755569787927966</v>
      </c>
      <c r="Z154">
        <v>0.65597661950649599</v>
      </c>
      <c r="AA154">
        <v>0.77457928317703295</v>
      </c>
      <c r="AB154">
        <v>0.95163560706056538</v>
      </c>
      <c r="AC154">
        <v>0.77569518861259867</v>
      </c>
      <c r="AD154">
        <v>0.74712344745577308</v>
      </c>
      <c r="AE154">
        <v>0.594053874925905</v>
      </c>
      <c r="AH154">
        <v>0.30491353539754429</v>
      </c>
      <c r="AI154">
        <v>5.8551293491709289E-2</v>
      </c>
      <c r="AJ154">
        <v>0.12471781000673243</v>
      </c>
      <c r="AK154">
        <v>8.5226057820850132E-2</v>
      </c>
      <c r="AL154">
        <v>0.10857204522613961</v>
      </c>
      <c r="AM154">
        <v>0.13911465842951809</v>
      </c>
      <c r="AN154">
        <v>3.4777232462233409E-2</v>
      </c>
      <c r="AO154">
        <v>9.4112609297054894E-2</v>
      </c>
      <c r="AR154">
        <v>8.1978417804337079E-4</v>
      </c>
      <c r="AS154">
        <v>4.6321361889097856E-3</v>
      </c>
      <c r="AT154">
        <v>0.1016925799971814</v>
      </c>
      <c r="AU154">
        <v>2.3262155027246045E-3</v>
      </c>
      <c r="AV154">
        <v>1.8499455502613937E-3</v>
      </c>
      <c r="AW154">
        <v>3.6556666688823958E-3</v>
      </c>
      <c r="AX154">
        <v>4.0983519137904878E-4</v>
      </c>
      <c r="AY154">
        <v>4.5204639164764249E-4</v>
      </c>
      <c r="BB154">
        <v>5.5101982277564132E-2</v>
      </c>
      <c r="BC154">
        <v>1.3170495078496941E-2</v>
      </c>
      <c r="BE154">
        <v>33547.191215848703</v>
      </c>
      <c r="BF154">
        <v>20.027586863952749</v>
      </c>
      <c r="BG154">
        <v>36195.503142269794</v>
      </c>
      <c r="BH154">
        <v>20.043386854046922</v>
      </c>
    </row>
    <row r="155" spans="3:60" x14ac:dyDescent="0.2">
      <c r="C155" s="138">
        <v>27003.060725884476</v>
      </c>
      <c r="D155">
        <v>21.096545584898429</v>
      </c>
      <c r="E155" s="138">
        <v>29606.876387302025</v>
      </c>
      <c r="F155" s="138">
        <v>21.083114832463234</v>
      </c>
      <c r="G155" s="138">
        <v>-2603.8156614175496</v>
      </c>
      <c r="H155" s="138">
        <v>1.3430752435194648E-2</v>
      </c>
      <c r="J155" s="135">
        <v>197500</v>
      </c>
      <c r="L155">
        <v>0.92200000000000004</v>
      </c>
      <c r="N155" s="138"/>
      <c r="O155" s="138"/>
      <c r="P155" s="138"/>
      <c r="R155">
        <v>149.51400898381817</v>
      </c>
      <c r="S155">
        <v>47.907587354575995</v>
      </c>
      <c r="T155">
        <v>216.56394923149895</v>
      </c>
      <c r="U155">
        <v>98.594081702350849</v>
      </c>
      <c r="X155">
        <v>0.85205139151061005</v>
      </c>
      <c r="Y155">
        <v>0.83173256877710378</v>
      </c>
      <c r="Z155">
        <v>0.72352246198628389</v>
      </c>
      <c r="AA155">
        <v>0.93090583016042316</v>
      </c>
      <c r="AB155">
        <v>0.91524714820802044</v>
      </c>
      <c r="AC155">
        <v>0.80351438533054509</v>
      </c>
      <c r="AD155">
        <v>0.88259215099759092</v>
      </c>
      <c r="AE155">
        <v>0.814264268674467</v>
      </c>
      <c r="AH155">
        <v>6.4184711302565089E-2</v>
      </c>
      <c r="AI155">
        <v>0.23093176438515572</v>
      </c>
      <c r="AJ155">
        <v>0.16598554917203356</v>
      </c>
      <c r="AK155">
        <v>0.14904477682296025</v>
      </c>
      <c r="AL155">
        <v>2.1012990085454986E-2</v>
      </c>
      <c r="AM155">
        <v>0.10923152500187916</v>
      </c>
      <c r="AN155">
        <v>7.6939723022293238E-2</v>
      </c>
      <c r="AO155">
        <v>0.18137099165446002</v>
      </c>
      <c r="AR155">
        <v>9.3605633418003542E-4</v>
      </c>
      <c r="AS155">
        <v>4.1733477694638815E-3</v>
      </c>
      <c r="AT155">
        <v>9.9323161119303949E-2</v>
      </c>
      <c r="AU155">
        <v>1.9511041397397106E-3</v>
      </c>
      <c r="AV155">
        <v>1.9046254089772664E-3</v>
      </c>
      <c r="AW155">
        <v>3.2987647965527478E-3</v>
      </c>
      <c r="AX155">
        <v>4.9569950099559446E-4</v>
      </c>
      <c r="AY155">
        <v>5.4064178466906032E-4</v>
      </c>
      <c r="BB155">
        <v>4.8968779066321778E-2</v>
      </c>
      <c r="BC155">
        <v>5.1447111395841905E-2</v>
      </c>
      <c r="BE155">
        <v>27003.060725884476</v>
      </c>
      <c r="BF155">
        <v>21.096545584898429</v>
      </c>
      <c r="BG155">
        <v>29606.876387302025</v>
      </c>
      <c r="BH155">
        <v>21.083114832463234</v>
      </c>
    </row>
    <row r="156" spans="3:60" x14ac:dyDescent="0.2">
      <c r="C156" s="138">
        <v>34581.888234798709</v>
      </c>
      <c r="D156">
        <v>19.964426378370415</v>
      </c>
      <c r="E156" s="138">
        <v>37068.730747401634</v>
      </c>
      <c r="F156" s="138">
        <v>19.89005501748839</v>
      </c>
      <c r="G156" s="138">
        <v>-2486.8425126029251</v>
      </c>
      <c r="H156" s="138">
        <v>7.4371360882025783E-2</v>
      </c>
      <c r="J156" s="135">
        <v>200000</v>
      </c>
      <c r="L156">
        <v>0.92100000000000004</v>
      </c>
      <c r="N156" s="138"/>
      <c r="O156" s="138"/>
      <c r="P156" s="138"/>
      <c r="R156">
        <v>175.05643631553923</v>
      </c>
      <c r="S156">
        <v>64.753956071532315</v>
      </c>
      <c r="T156">
        <v>250.75017870128457</v>
      </c>
      <c r="U156">
        <v>98.311869234399936</v>
      </c>
      <c r="X156">
        <v>0.89871115152676684</v>
      </c>
      <c r="Y156">
        <v>0.56466827612923454</v>
      </c>
      <c r="Z156">
        <v>0.86270159159483573</v>
      </c>
      <c r="AA156">
        <v>0.61059722547581186</v>
      </c>
      <c r="AB156">
        <v>0.77279134194803412</v>
      </c>
      <c r="AC156">
        <v>0.67163507844145898</v>
      </c>
      <c r="AD156">
        <v>0.61349107077947529</v>
      </c>
      <c r="AE156">
        <v>0.84522967100419477</v>
      </c>
      <c r="AH156">
        <v>4.5320166100453863E-2</v>
      </c>
      <c r="AI156">
        <v>0.16016402078526637</v>
      </c>
      <c r="AJ156">
        <v>0.24351626571256979</v>
      </c>
      <c r="AK156">
        <v>0.22877420523061121</v>
      </c>
      <c r="AL156">
        <v>7.0385028278769246E-2</v>
      </c>
      <c r="AM156">
        <v>0.10442523237892987</v>
      </c>
      <c r="AN156">
        <v>7.6670614622615485E-2</v>
      </c>
      <c r="AO156">
        <v>4.7585542295562555E-2</v>
      </c>
      <c r="AR156">
        <v>1.0720709522764604E-3</v>
      </c>
      <c r="AS156">
        <v>4.7547678303242469E-3</v>
      </c>
      <c r="AT156">
        <v>9.9291573540576744E-2</v>
      </c>
      <c r="AU156">
        <v>2.0465428550552334E-3</v>
      </c>
      <c r="AV156">
        <v>2.1394823465488155E-3</v>
      </c>
      <c r="AW156">
        <v>3.2930975788870824E-3</v>
      </c>
      <c r="AX156">
        <v>3.6947831439833979E-4</v>
      </c>
      <c r="AY156">
        <v>4.1235435323825308E-4</v>
      </c>
      <c r="BB156">
        <v>6.5090661284384677E-2</v>
      </c>
      <c r="BC156">
        <v>5.1712887645585792E-2</v>
      </c>
      <c r="BE156">
        <v>34581.888234798709</v>
      </c>
      <c r="BF156">
        <v>19.964426378370415</v>
      </c>
      <c r="BG156">
        <v>37068.730747401634</v>
      </c>
      <c r="BH156">
        <v>19.89005501748839</v>
      </c>
    </row>
    <row r="157" spans="3:60" x14ac:dyDescent="0.2">
      <c r="C157" s="138">
        <v>30387.38876121501</v>
      </c>
      <c r="D157">
        <v>20.841857674314312</v>
      </c>
      <c r="E157" s="138">
        <v>32098.497589351566</v>
      </c>
      <c r="F157" s="138">
        <v>20.839717685274401</v>
      </c>
      <c r="G157" s="138">
        <v>-1711.1088281365555</v>
      </c>
      <c r="H157" s="138">
        <v>2.1399890399109722E-3</v>
      </c>
      <c r="N157" s="138"/>
      <c r="O157" s="138"/>
      <c r="P157" s="138"/>
      <c r="R157">
        <v>265.33187628734896</v>
      </c>
      <c r="S157">
        <v>63.18362403385639</v>
      </c>
      <c r="T157">
        <v>246.02433405403349</v>
      </c>
      <c r="U157">
        <v>86.770100769612142</v>
      </c>
      <c r="X157">
        <v>0.62099161586608809</v>
      </c>
      <c r="Y157">
        <v>0.80593396088967006</v>
      </c>
      <c r="Z157">
        <v>0.45333383828341595</v>
      </c>
      <c r="AA157">
        <v>0.85553640690596167</v>
      </c>
      <c r="AB157">
        <v>0.29426650759819717</v>
      </c>
      <c r="AC157">
        <v>0.45985890276236624</v>
      </c>
      <c r="AD157">
        <v>0.6463594650687573</v>
      </c>
      <c r="AE157">
        <v>0.72781100822922506</v>
      </c>
      <c r="AH157">
        <v>3.0373152361906852E-2</v>
      </c>
      <c r="AI157">
        <v>7.914311647866179E-2</v>
      </c>
      <c r="AJ157">
        <v>0.14083411267262069</v>
      </c>
      <c r="AK157">
        <v>4.7287798099661993E-2</v>
      </c>
      <c r="AL157">
        <v>0.18358666778317001</v>
      </c>
      <c r="AM157">
        <v>5.7524090908813941E-2</v>
      </c>
      <c r="AN157">
        <v>4.3757300992532278E-2</v>
      </c>
      <c r="AO157">
        <v>8.3431858393697711E-2</v>
      </c>
      <c r="AR157">
        <v>1.0756015813029318E-3</v>
      </c>
      <c r="AS157">
        <v>4.3831549427297009E-3</v>
      </c>
      <c r="AT157">
        <v>9.9399343619765948E-2</v>
      </c>
      <c r="AU157">
        <v>1.9883555190312913E-3</v>
      </c>
      <c r="AV157">
        <v>2.0197175943561518E-3</v>
      </c>
      <c r="AW157">
        <v>3.1808990072507313E-3</v>
      </c>
      <c r="AX157">
        <v>3.9545536744185365E-4</v>
      </c>
      <c r="AY157">
        <v>6.3365341955390342E-4</v>
      </c>
      <c r="BB157">
        <v>5.531330602714879E-2</v>
      </c>
      <c r="BC157">
        <v>0.11550438529861706</v>
      </c>
      <c r="BE157">
        <v>30387.38876121501</v>
      </c>
      <c r="BF157">
        <v>20.841857674314312</v>
      </c>
      <c r="BG157">
        <v>32098.497589351566</v>
      </c>
      <c r="BH157">
        <v>20.839717685274401</v>
      </c>
    </row>
    <row r="158" spans="3:60" x14ac:dyDescent="0.2">
      <c r="C158" s="138">
        <v>32074.680998179185</v>
      </c>
      <c r="D158">
        <v>20.408505410633062</v>
      </c>
      <c r="E158" s="138">
        <v>33623.798416933489</v>
      </c>
      <c r="F158" s="138">
        <v>20.359459858065609</v>
      </c>
      <c r="G158" s="138">
        <v>-1549.1174187543038</v>
      </c>
      <c r="H158" s="138">
        <v>4.9045552567452688E-2</v>
      </c>
      <c r="N158" s="138"/>
      <c r="O158" s="138"/>
      <c r="P158" s="138"/>
      <c r="R158">
        <v>477.8942596348611</v>
      </c>
      <c r="S158">
        <v>56.71157298897019</v>
      </c>
      <c r="T158">
        <v>225.70412767731909</v>
      </c>
      <c r="U158">
        <v>88.100435645253654</v>
      </c>
      <c r="X158">
        <v>0.64177900191299686</v>
      </c>
      <c r="Y158">
        <v>0.68346781432282111</v>
      </c>
      <c r="Z158">
        <v>0.62519289941896472</v>
      </c>
      <c r="AA158">
        <v>0.667068102255713</v>
      </c>
      <c r="AB158">
        <v>0.88864133666783118</v>
      </c>
      <c r="AC158">
        <v>0.76707883259732434</v>
      </c>
      <c r="AD158">
        <v>0.56766804422828154</v>
      </c>
      <c r="AE158">
        <v>0.5437862978925182</v>
      </c>
      <c r="AH158">
        <v>0.26643653592214744</v>
      </c>
      <c r="AI158">
        <v>0.11818251734751994</v>
      </c>
      <c r="AJ158">
        <v>6.0818709035232454E-2</v>
      </c>
      <c r="AK158">
        <v>0.15192547299315562</v>
      </c>
      <c r="AL158">
        <v>0.1411920278744504</v>
      </c>
      <c r="AM158">
        <v>7.0787914000704499E-2</v>
      </c>
      <c r="AN158">
        <v>9.6710633220085551E-2</v>
      </c>
      <c r="AO158">
        <v>0.12225242117230906</v>
      </c>
      <c r="AR158">
        <v>9.6442218220815779E-4</v>
      </c>
      <c r="AS158">
        <v>4.4789571724958505E-3</v>
      </c>
      <c r="AT158">
        <v>9.8336998028313097E-2</v>
      </c>
      <c r="AU158">
        <v>1.7752591691771605E-3</v>
      </c>
      <c r="AV158">
        <v>2.1172116290808507E-3</v>
      </c>
      <c r="AW158">
        <v>3.4883552673506957E-3</v>
      </c>
      <c r="AX158">
        <v>5.1699311879493948E-4</v>
      </c>
      <c r="AY158">
        <v>4.0872454745778062E-4</v>
      </c>
      <c r="BB158">
        <v>5.6564072967102308E-2</v>
      </c>
      <c r="BC158">
        <v>4.9723675070969975E-2</v>
      </c>
      <c r="BE158">
        <v>32074.680998179185</v>
      </c>
      <c r="BF158">
        <v>20.408505410633062</v>
      </c>
      <c r="BG158">
        <v>33623.798416933489</v>
      </c>
      <c r="BH158">
        <v>20.359459858065609</v>
      </c>
    </row>
    <row r="159" spans="3:60" x14ac:dyDescent="0.2">
      <c r="C159" s="138">
        <v>31589.906007301848</v>
      </c>
      <c r="D159">
        <v>21.318241553415689</v>
      </c>
      <c r="E159" s="138">
        <v>33874.835545545015</v>
      </c>
      <c r="F159" s="138">
        <v>21.319722298731627</v>
      </c>
      <c r="G159" s="138">
        <v>-2284.9295382431665</v>
      </c>
      <c r="H159" s="138">
        <v>-1.4807453159377815E-3</v>
      </c>
      <c r="N159" s="138"/>
      <c r="O159" s="138"/>
      <c r="P159" s="138"/>
      <c r="R159">
        <v>150.70101138144662</v>
      </c>
      <c r="S159">
        <v>73.197030482312428</v>
      </c>
      <c r="T159">
        <v>242.97323900251254</v>
      </c>
      <c r="U159">
        <v>110.31218987546083</v>
      </c>
      <c r="X159">
        <v>0.88069195328526928</v>
      </c>
      <c r="Y159">
        <v>0.75968944610813838</v>
      </c>
      <c r="Z159">
        <v>0.67998387691394602</v>
      </c>
      <c r="AA159">
        <v>0.55712674265385242</v>
      </c>
      <c r="AB159">
        <v>0.93858738950665299</v>
      </c>
      <c r="AC159">
        <v>0.80622916676740308</v>
      </c>
      <c r="AD159">
        <v>0.72050776276999362</v>
      </c>
      <c r="AE159">
        <v>0.64619618018049041</v>
      </c>
      <c r="AH159">
        <v>0.22203817669502923</v>
      </c>
      <c r="AI159">
        <v>0.28361889869054757</v>
      </c>
      <c r="AJ159">
        <v>7.1609176278657816E-2</v>
      </c>
      <c r="AK159">
        <v>0.15279497625462846</v>
      </c>
      <c r="AL159">
        <v>0.28433832554656813</v>
      </c>
      <c r="AM159">
        <v>0.35577534961129231</v>
      </c>
      <c r="AN159">
        <v>0.18710272344864576</v>
      </c>
      <c r="AO159">
        <v>0.26053016627489833</v>
      </c>
      <c r="AR159">
        <v>8.6702898796439827E-4</v>
      </c>
      <c r="AS159">
        <v>4.3884838440489231E-3</v>
      </c>
      <c r="AT159">
        <v>0.10011175385052096</v>
      </c>
      <c r="AU159">
        <v>1.9251361945501607E-3</v>
      </c>
      <c r="AV159">
        <v>1.9777782780348819E-3</v>
      </c>
      <c r="AW159">
        <v>3.5319917127316636E-3</v>
      </c>
      <c r="AX159">
        <v>4.6195433533502417E-4</v>
      </c>
      <c r="AY159">
        <v>3.5770043031732048E-4</v>
      </c>
      <c r="BB159">
        <v>4.4717035129956527E-2</v>
      </c>
      <c r="BC159">
        <v>5.4653598447547913E-2</v>
      </c>
      <c r="BE159">
        <v>31589.906007301848</v>
      </c>
      <c r="BF159">
        <v>21.318241553415689</v>
      </c>
      <c r="BG159">
        <v>33874.835545545015</v>
      </c>
      <c r="BH159">
        <v>21.319722298731627</v>
      </c>
    </row>
    <row r="160" spans="3:60" x14ac:dyDescent="0.2">
      <c r="C160" s="138">
        <v>29223.485337576712</v>
      </c>
      <c r="D160">
        <v>21.17054921242006</v>
      </c>
      <c r="E160" s="138">
        <v>31792.846854053922</v>
      </c>
      <c r="F160" s="138">
        <v>21.140747254121433</v>
      </c>
      <c r="G160" s="138">
        <v>-2569.3615164772091</v>
      </c>
      <c r="H160" s="138">
        <v>2.9801958298627085E-2</v>
      </c>
      <c r="N160" s="138"/>
      <c r="O160" s="138"/>
      <c r="P160" s="138"/>
      <c r="R160">
        <v>300.1426517616697</v>
      </c>
      <c r="S160">
        <v>58.647973445826509</v>
      </c>
      <c r="T160">
        <v>247.3577161677284</v>
      </c>
      <c r="U160">
        <v>87.598676645128847</v>
      </c>
      <c r="X160">
        <v>0.78915968145615778</v>
      </c>
      <c r="Y160">
        <v>0.72044870128563077</v>
      </c>
      <c r="Z160">
        <v>0.643790807452297</v>
      </c>
      <c r="AA160">
        <v>0.50478644797476824</v>
      </c>
      <c r="AB160">
        <v>0.75331603005404735</v>
      </c>
      <c r="AC160">
        <v>0.85061037631746184</v>
      </c>
      <c r="AD160">
        <v>0.95853644667231297</v>
      </c>
      <c r="AE160">
        <v>0.85266787543279876</v>
      </c>
      <c r="AH160">
        <v>2.4575730997890455E-2</v>
      </c>
      <c r="AI160">
        <v>4.3642309934086909E-2</v>
      </c>
      <c r="AJ160">
        <v>0.20938267378717335</v>
      </c>
      <c r="AK160">
        <v>0.15186315724785526</v>
      </c>
      <c r="AL160">
        <v>0.1350428334770496</v>
      </c>
      <c r="AM160">
        <v>0.33834399206045551</v>
      </c>
      <c r="AN160">
        <v>4.4223584337101163E-2</v>
      </c>
      <c r="AO160">
        <v>0.13634286468204504</v>
      </c>
      <c r="AR160">
        <v>8.6356787807796232E-4</v>
      </c>
      <c r="AS160">
        <v>4.0304797520260898E-3</v>
      </c>
      <c r="AT160">
        <v>9.9820508383170095E-2</v>
      </c>
      <c r="AU160">
        <v>2.1948575734985765E-3</v>
      </c>
      <c r="AV160">
        <v>2.1386446318371055E-3</v>
      </c>
      <c r="AW160">
        <v>3.3159651247214898E-3</v>
      </c>
      <c r="AX160">
        <v>4.4448890185666556E-4</v>
      </c>
      <c r="AY160">
        <v>4.3393246106285114E-4</v>
      </c>
      <c r="BB160">
        <v>4.6185276693009675E-2</v>
      </c>
      <c r="BC160">
        <v>9.1517290791767958E-2</v>
      </c>
      <c r="BE160">
        <v>29223.485337576712</v>
      </c>
      <c r="BF160">
        <v>21.17054921242006</v>
      </c>
      <c r="BG160">
        <v>31792.846854053922</v>
      </c>
      <c r="BH160">
        <v>21.140747254121433</v>
      </c>
    </row>
    <row r="161" spans="3:60" x14ac:dyDescent="0.2">
      <c r="C161" s="138">
        <v>29848.542020080313</v>
      </c>
      <c r="D161">
        <v>21.371082915798453</v>
      </c>
      <c r="E161" s="138">
        <v>32054.661556003717</v>
      </c>
      <c r="F161" s="138">
        <v>21.352877720477817</v>
      </c>
      <c r="G161" s="138">
        <v>-2206.1195359234043</v>
      </c>
      <c r="H161" s="138">
        <v>1.8205195320636136E-2</v>
      </c>
      <c r="N161" s="138"/>
      <c r="O161" s="138"/>
      <c r="P161" s="138"/>
      <c r="R161">
        <v>272.58977890842192</v>
      </c>
      <c r="S161">
        <v>65.393963446465037</v>
      </c>
      <c r="T161">
        <v>276.28352438489929</v>
      </c>
      <c r="U161">
        <v>85.40321437961255</v>
      </c>
      <c r="X161">
        <v>0.80618452673776142</v>
      </c>
      <c r="Y161">
        <v>0.46068373770934101</v>
      </c>
      <c r="Z161">
        <v>0.68223349710896797</v>
      </c>
      <c r="AA161">
        <v>0.61978705804287426</v>
      </c>
      <c r="AB161">
        <v>0.70226813443255565</v>
      </c>
      <c r="AC161">
        <v>0.58540233883828419</v>
      </c>
      <c r="AD161">
        <v>0.83524271207425294</v>
      </c>
      <c r="AE161">
        <v>0.7094205847906655</v>
      </c>
      <c r="AH161">
        <v>0.18422727258414695</v>
      </c>
      <c r="AI161">
        <v>0.11088683223630991</v>
      </c>
      <c r="AJ161">
        <v>0.18745373873384608</v>
      </c>
      <c r="AK161">
        <v>0.17441163408985982</v>
      </c>
      <c r="AL161">
        <v>0.16968126889523361</v>
      </c>
      <c r="AM161">
        <v>0.18559374950189256</v>
      </c>
      <c r="AN161">
        <v>7.2929795346648674E-2</v>
      </c>
      <c r="AO161">
        <v>0.32307402457833378</v>
      </c>
      <c r="AR161">
        <v>8.0699012514144468E-4</v>
      </c>
      <c r="AS161">
        <v>4.4085064449073163E-3</v>
      </c>
      <c r="AT161">
        <v>0.10091825606126836</v>
      </c>
      <c r="AU161">
        <v>2.1781684522207412E-3</v>
      </c>
      <c r="AV161">
        <v>2.1077921351848605E-3</v>
      </c>
      <c r="AW161">
        <v>3.6839249891152948E-3</v>
      </c>
      <c r="AX161">
        <v>4.8086346229980759E-4</v>
      </c>
      <c r="AY161">
        <v>3.3169105420920918E-4</v>
      </c>
      <c r="BB161">
        <v>5.0485597740888566E-2</v>
      </c>
      <c r="BC161">
        <v>1.1559273214236984E-2</v>
      </c>
      <c r="BE161">
        <v>29848.542020080313</v>
      </c>
      <c r="BF161">
        <v>21.371082915798453</v>
      </c>
      <c r="BG161">
        <v>32054.661556003717</v>
      </c>
      <c r="BH161">
        <v>21.352877720477817</v>
      </c>
    </row>
    <row r="162" spans="3:60" x14ac:dyDescent="0.2">
      <c r="C162" s="138">
        <v>39504.182878449523</v>
      </c>
      <c r="D162">
        <v>20.989931440100992</v>
      </c>
      <c r="E162" s="138">
        <v>41676.113459994747</v>
      </c>
      <c r="F162" s="138">
        <v>20.967303283666787</v>
      </c>
      <c r="G162" s="138">
        <v>-2171.9305815452244</v>
      </c>
      <c r="H162" s="138">
        <v>2.2628156434205238E-2</v>
      </c>
      <c r="N162" s="138"/>
      <c r="O162" s="138"/>
      <c r="P162" s="138"/>
      <c r="R162">
        <v>436.02843147744159</v>
      </c>
      <c r="S162">
        <v>56.680367660561011</v>
      </c>
      <c r="T162">
        <v>241.76596680715053</v>
      </c>
      <c r="U162">
        <v>113.39093962447382</v>
      </c>
      <c r="X162">
        <v>0.82199497370461949</v>
      </c>
      <c r="Y162">
        <v>0.74060969279174704</v>
      </c>
      <c r="Z162">
        <v>0.73225148023098485</v>
      </c>
      <c r="AA162">
        <v>0.84196065734133052</v>
      </c>
      <c r="AB162">
        <v>0.55406939552463652</v>
      </c>
      <c r="AC162">
        <v>0.63080737042758772</v>
      </c>
      <c r="AD162">
        <v>0.74908642425642891</v>
      </c>
      <c r="AE162">
        <v>0.59765106438697124</v>
      </c>
      <c r="AH162">
        <v>6.8305243746811461E-2</v>
      </c>
      <c r="AI162">
        <v>7.901331358512409E-2</v>
      </c>
      <c r="AJ162">
        <v>7.4307568615503694E-3</v>
      </c>
      <c r="AK162">
        <v>3.3878771760532E-2</v>
      </c>
      <c r="AL162">
        <v>0.27353507186003212</v>
      </c>
      <c r="AM162">
        <v>2.4868361645230652E-2</v>
      </c>
      <c r="AN162">
        <v>5.3597548086389279E-2</v>
      </c>
      <c r="AO162">
        <v>1.9726002604286474E-2</v>
      </c>
      <c r="AR162">
        <v>8.5114766194412095E-4</v>
      </c>
      <c r="AS162">
        <v>4.6162383295039744E-3</v>
      </c>
      <c r="AT162">
        <v>0.10078454678385651</v>
      </c>
      <c r="AU162">
        <v>2.0152984719917777E-3</v>
      </c>
      <c r="AV162">
        <v>1.8016953187756858E-3</v>
      </c>
      <c r="AW162">
        <v>3.3153548291591835E-3</v>
      </c>
      <c r="AX162">
        <v>4.0885978666094225E-4</v>
      </c>
      <c r="AY162">
        <v>5.1385695082484251E-4</v>
      </c>
      <c r="BB162">
        <v>5.757971738164791E-2</v>
      </c>
      <c r="BC162">
        <v>6.1516999117002813E-2</v>
      </c>
      <c r="BE162">
        <v>39504.182878449523</v>
      </c>
      <c r="BF162">
        <v>20.989931440100992</v>
      </c>
      <c r="BG162">
        <v>41676.113459994747</v>
      </c>
      <c r="BH162">
        <v>20.967303283666787</v>
      </c>
    </row>
    <row r="163" spans="3:60" x14ac:dyDescent="0.2">
      <c r="C163" s="138">
        <v>28406.745011368293</v>
      </c>
      <c r="D163">
        <v>19.796880825483882</v>
      </c>
      <c r="E163" s="138">
        <v>30363.275931893484</v>
      </c>
      <c r="F163" s="138">
        <v>19.741172124137428</v>
      </c>
      <c r="G163" s="138">
        <v>-1956.5309205251906</v>
      </c>
      <c r="H163" s="138">
        <v>5.5708701346453893E-2</v>
      </c>
      <c r="N163" s="138"/>
      <c r="O163" s="138"/>
      <c r="P163" s="138"/>
      <c r="R163">
        <v>320.75961119746745</v>
      </c>
      <c r="S163">
        <v>67.065894105223492</v>
      </c>
      <c r="T163">
        <v>296.63723156893928</v>
      </c>
      <c r="U163">
        <v>107.08471619531637</v>
      </c>
      <c r="X163">
        <v>0.88194483122610423</v>
      </c>
      <c r="Y163">
        <v>0.794915020970696</v>
      </c>
      <c r="Z163">
        <v>0.77696490969636856</v>
      </c>
      <c r="AA163">
        <v>0.74936556575736668</v>
      </c>
      <c r="AB163">
        <v>0.73413679986624758</v>
      </c>
      <c r="AC163">
        <v>0.94265447021776305</v>
      </c>
      <c r="AD163">
        <v>0.64360093944194141</v>
      </c>
      <c r="AE163">
        <v>0.83317783076431007</v>
      </c>
      <c r="AH163">
        <v>0.11357676278527684</v>
      </c>
      <c r="AI163">
        <v>9.6760192538339673E-2</v>
      </c>
      <c r="AJ163">
        <v>3.2170103362358704E-2</v>
      </c>
      <c r="AK163">
        <v>1.5677238694786766E-2</v>
      </c>
      <c r="AL163">
        <v>0.21330276362054257</v>
      </c>
      <c r="AM163">
        <v>5.8530616715179007E-2</v>
      </c>
      <c r="AN163">
        <v>0.13506470432125228</v>
      </c>
      <c r="AO163">
        <v>0.42950505845803144</v>
      </c>
      <c r="AR163">
        <v>1.0580781852957966E-3</v>
      </c>
      <c r="AS163">
        <v>4.6902785650022594E-3</v>
      </c>
      <c r="AT163">
        <v>0.1010107154208143</v>
      </c>
      <c r="AU163">
        <v>2.0941622900877421E-3</v>
      </c>
      <c r="AV163">
        <v>1.8462891659867399E-3</v>
      </c>
      <c r="AW163">
        <v>3.5567076704483558E-3</v>
      </c>
      <c r="AX163">
        <v>4.1499814505696619E-4</v>
      </c>
      <c r="AY163">
        <v>3.9034833475848634E-4</v>
      </c>
      <c r="BB163">
        <v>5.880286663761225E-2</v>
      </c>
      <c r="BC163">
        <v>4.6921670253107117E-2</v>
      </c>
      <c r="BE163">
        <v>28406.745011368293</v>
      </c>
      <c r="BF163">
        <v>19.796880825483882</v>
      </c>
      <c r="BG163">
        <v>30363.275931893484</v>
      </c>
      <c r="BH163">
        <v>19.741172124137428</v>
      </c>
    </row>
    <row r="164" spans="3:60" x14ac:dyDescent="0.2">
      <c r="C164" s="138">
        <v>30105.426958563588</v>
      </c>
      <c r="D164">
        <v>21.01882893039819</v>
      </c>
      <c r="E164" s="138">
        <v>31658.305289092652</v>
      </c>
      <c r="F164" s="138">
        <v>20.98845187584865</v>
      </c>
      <c r="G164" s="138">
        <v>-1552.8783305290635</v>
      </c>
      <c r="H164" s="138">
        <v>3.037705454953965E-2</v>
      </c>
      <c r="N164" s="138"/>
      <c r="O164" s="138"/>
      <c r="P164" s="138"/>
      <c r="R164">
        <v>398.54021823925075</v>
      </c>
      <c r="S164">
        <v>58.381580501423649</v>
      </c>
      <c r="T164">
        <v>274.50050568036977</v>
      </c>
      <c r="U164">
        <v>99.516540339243107</v>
      </c>
      <c r="X164">
        <v>0.59471354392771925</v>
      </c>
      <c r="Y164">
        <v>0.76040480765931695</v>
      </c>
      <c r="Z164">
        <v>0.71818667712367701</v>
      </c>
      <c r="AA164">
        <v>0.71031182864193176</v>
      </c>
      <c r="AB164">
        <v>0.79070592711907295</v>
      </c>
      <c r="AC164">
        <v>0.71366747299798083</v>
      </c>
      <c r="AD164">
        <v>0.9218741144996434</v>
      </c>
      <c r="AE164">
        <v>0.85431270571854312</v>
      </c>
      <c r="AH164">
        <v>3.5108590119171446E-2</v>
      </c>
      <c r="AI164">
        <v>0.15119193100166961</v>
      </c>
      <c r="AJ164">
        <v>0.17302351072734312</v>
      </c>
      <c r="AK164">
        <v>4.3104939434359224E-2</v>
      </c>
      <c r="AL164">
        <v>0.12564002412446817</v>
      </c>
      <c r="AM164">
        <v>4.5622645366661829E-2</v>
      </c>
      <c r="AN164">
        <v>0.19605626415290878</v>
      </c>
      <c r="AO164">
        <v>0.39745934741023348</v>
      </c>
      <c r="AR164">
        <v>6.8588125571671793E-4</v>
      </c>
      <c r="AS164">
        <v>4.6120311764983324E-3</v>
      </c>
      <c r="AT164">
        <v>0.10076314862747815</v>
      </c>
      <c r="AU164">
        <v>1.8257645264300201E-3</v>
      </c>
      <c r="AV164">
        <v>2.1418217700400755E-3</v>
      </c>
      <c r="AW164">
        <v>3.4907054186800179E-3</v>
      </c>
      <c r="AX164">
        <v>4.9720105994266461E-4</v>
      </c>
      <c r="AY164">
        <v>4.3364939318647972E-4</v>
      </c>
      <c r="BB164">
        <v>5.4806122038955629E-2</v>
      </c>
      <c r="BC164">
        <v>8.9421638415815741E-2</v>
      </c>
      <c r="BE164">
        <v>30105.426958563588</v>
      </c>
      <c r="BF164">
        <v>21.01882893039819</v>
      </c>
      <c r="BG164">
        <v>31658.305289092652</v>
      </c>
      <c r="BH164">
        <v>20.98845187584865</v>
      </c>
    </row>
    <row r="165" spans="3:60" x14ac:dyDescent="0.2">
      <c r="C165" s="138">
        <v>28873.188576899345</v>
      </c>
      <c r="D165">
        <v>21.390983158293192</v>
      </c>
      <c r="E165" s="138">
        <v>30913.172705039211</v>
      </c>
      <c r="F165" s="138">
        <v>21.384370776556921</v>
      </c>
      <c r="G165" s="138">
        <v>-2039.9841281398658</v>
      </c>
      <c r="H165" s="138">
        <v>6.6123817362715442E-3</v>
      </c>
      <c r="N165" s="138"/>
      <c r="O165" s="138"/>
      <c r="P165" s="138"/>
      <c r="R165">
        <v>153.87859060879396</v>
      </c>
      <c r="S165">
        <v>66.690118086750573</v>
      </c>
      <c r="T165">
        <v>294.66678152008893</v>
      </c>
      <c r="U165">
        <v>96.339279663887666</v>
      </c>
      <c r="X165">
        <v>0.87242384511043314</v>
      </c>
      <c r="Y165">
        <v>0.82116300710678147</v>
      </c>
      <c r="Z165">
        <v>0.9252108244746331</v>
      </c>
      <c r="AA165">
        <v>0.82514095843341451</v>
      </c>
      <c r="AB165">
        <v>0.76140532705428188</v>
      </c>
      <c r="AC165">
        <v>0.68025924632943346</v>
      </c>
      <c r="AD165">
        <v>0.78552815540329268</v>
      </c>
      <c r="AE165">
        <v>0.90922425859486966</v>
      </c>
      <c r="AH165">
        <v>0.11725487873306994</v>
      </c>
      <c r="AI165">
        <v>0.1876961507303484</v>
      </c>
      <c r="AJ165">
        <v>8.1912218991423646E-2</v>
      </c>
      <c r="AK165">
        <v>7.8131666552375689E-2</v>
      </c>
      <c r="AL165">
        <v>5.7752761633136362E-3</v>
      </c>
      <c r="AM165">
        <v>0.13530889270091717</v>
      </c>
      <c r="AN165">
        <v>0.11260066417387771</v>
      </c>
      <c r="AO165">
        <v>8.2606445687331442E-2</v>
      </c>
      <c r="AR165">
        <v>8.6374795315881077E-4</v>
      </c>
      <c r="AS165">
        <v>4.8288672015617262E-3</v>
      </c>
      <c r="AT165">
        <v>0.10022383720241468</v>
      </c>
      <c r="AU165">
        <v>2.1316105521632656E-3</v>
      </c>
      <c r="AV165">
        <v>1.7865436646811326E-3</v>
      </c>
      <c r="AW165">
        <v>3.7197560052639744E-3</v>
      </c>
      <c r="AX165">
        <v>3.4102209696495247E-4</v>
      </c>
      <c r="AY165">
        <v>4.6289146196687447E-4</v>
      </c>
      <c r="BB165">
        <v>5.4361043744550086E-2</v>
      </c>
      <c r="BC165">
        <v>6.0274499348038635E-2</v>
      </c>
      <c r="BE165">
        <v>28873.188576899345</v>
      </c>
      <c r="BF165">
        <v>21.390983158293192</v>
      </c>
      <c r="BG165">
        <v>30913.172705039211</v>
      </c>
      <c r="BH165">
        <v>21.384370776556921</v>
      </c>
    </row>
    <row r="166" spans="3:60" x14ac:dyDescent="0.2">
      <c r="C166" s="138">
        <v>35220.589328098889</v>
      </c>
      <c r="D166">
        <v>20.954515613921362</v>
      </c>
      <c r="E166" s="138">
        <v>37936.323832416536</v>
      </c>
      <c r="F166" s="138">
        <v>20.915304881411597</v>
      </c>
      <c r="G166" s="138">
        <v>-2715.7345043176465</v>
      </c>
      <c r="H166" s="138">
        <v>3.9210732509765478E-2</v>
      </c>
      <c r="N166" s="138"/>
      <c r="O166" s="138"/>
      <c r="P166" s="138"/>
      <c r="R166">
        <v>272.9701113031449</v>
      </c>
      <c r="S166">
        <v>70.180792733368975</v>
      </c>
      <c r="T166">
        <v>249.58037535141403</v>
      </c>
      <c r="U166">
        <v>97.323703236489052</v>
      </c>
      <c r="X166">
        <v>0.75734361485338575</v>
      </c>
      <c r="Y166">
        <v>0.59594378427981676</v>
      </c>
      <c r="Z166">
        <v>0.85624375752867388</v>
      </c>
      <c r="AA166">
        <v>0.86194750758169869</v>
      </c>
      <c r="AB166">
        <v>0.56195949082024488</v>
      </c>
      <c r="AC166">
        <v>0.71687494976894095</v>
      </c>
      <c r="AD166">
        <v>0.59388747899473993</v>
      </c>
      <c r="AE166">
        <v>0.87307060281838911</v>
      </c>
      <c r="AH166">
        <v>9.6623795737699081E-2</v>
      </c>
      <c r="AI166">
        <v>0.1697802480257109</v>
      </c>
      <c r="AJ166">
        <v>0.22397363055648245</v>
      </c>
      <c r="AK166">
        <v>0.19594457610344596</v>
      </c>
      <c r="AL166">
        <v>0.10116447797109718</v>
      </c>
      <c r="AM166">
        <v>0.17390035538727677</v>
      </c>
      <c r="AN166">
        <v>0.2726106064067616</v>
      </c>
      <c r="AO166">
        <v>0.14182115363023917</v>
      </c>
      <c r="AR166">
        <v>8.9496062937222121E-4</v>
      </c>
      <c r="AS166">
        <v>4.5337602991341042E-3</v>
      </c>
      <c r="AT166">
        <v>0.10023049322636024</v>
      </c>
      <c r="AU166">
        <v>1.935148457105779E-3</v>
      </c>
      <c r="AV166">
        <v>1.8828618949757563E-3</v>
      </c>
      <c r="AW166">
        <v>3.4012140456214529E-3</v>
      </c>
      <c r="AX166">
        <v>4.5724948973313584E-4</v>
      </c>
      <c r="AY166">
        <v>5.4072947120964443E-4</v>
      </c>
      <c r="BB166">
        <v>5.5825913998859611E-2</v>
      </c>
      <c r="BC166">
        <v>2.2211385877284811E-2</v>
      </c>
      <c r="BE166">
        <v>35220.589328098889</v>
      </c>
      <c r="BF166">
        <v>20.954515613921362</v>
      </c>
      <c r="BG166">
        <v>37936.323832416536</v>
      </c>
      <c r="BH166">
        <v>20.915304881411597</v>
      </c>
    </row>
    <row r="167" spans="3:60" x14ac:dyDescent="0.2">
      <c r="C167" s="138">
        <v>33841.134382581171</v>
      </c>
      <c r="D167">
        <v>21.447170431991346</v>
      </c>
      <c r="E167" s="138">
        <v>35923.759641956261</v>
      </c>
      <c r="F167" s="138">
        <v>21.444330921832787</v>
      </c>
      <c r="G167" s="138">
        <v>-2082.6252593750905</v>
      </c>
      <c r="H167" s="138">
        <v>2.8395101585587668E-3</v>
      </c>
      <c r="N167" s="138"/>
      <c r="O167" s="138"/>
      <c r="P167" s="138"/>
      <c r="R167">
        <v>154.26338435863914</v>
      </c>
      <c r="S167">
        <v>65.320001321426332</v>
      </c>
      <c r="T167">
        <v>258.29249087218892</v>
      </c>
      <c r="U167">
        <v>94.401293636322791</v>
      </c>
      <c r="X167">
        <v>0.8910322311224157</v>
      </c>
      <c r="Y167">
        <v>0.76047006769013459</v>
      </c>
      <c r="Z167">
        <v>0.89562880709912918</v>
      </c>
      <c r="AA167">
        <v>0.77622944435379226</v>
      </c>
      <c r="AB167">
        <v>0.87434431657993361</v>
      </c>
      <c r="AC167">
        <v>0.83051244239238409</v>
      </c>
      <c r="AD167">
        <v>0.94976076362321837</v>
      </c>
      <c r="AE167">
        <v>0.90701145114782999</v>
      </c>
      <c r="AH167">
        <v>3.0273886163169061E-2</v>
      </c>
      <c r="AI167">
        <v>0.22996950864675259</v>
      </c>
      <c r="AJ167">
        <v>3.5879828702006566E-2</v>
      </c>
      <c r="AK167">
        <v>5.5608548122049184E-3</v>
      </c>
      <c r="AL167">
        <v>2.8958536337228669E-2</v>
      </c>
      <c r="AM167">
        <v>0.15954494770636918</v>
      </c>
      <c r="AN167">
        <v>2.14739465630569E-2</v>
      </c>
      <c r="AO167">
        <v>0.20668453016421662</v>
      </c>
      <c r="AR167">
        <v>8.1599310702571294E-4</v>
      </c>
      <c r="AS167">
        <v>4.436499490916861E-3</v>
      </c>
      <c r="AT167">
        <v>9.9377098528052113E-2</v>
      </c>
      <c r="AU167">
        <v>1.7935755748419062E-3</v>
      </c>
      <c r="AV167">
        <v>1.9176093851390366E-3</v>
      </c>
      <c r="AW167">
        <v>3.5742353297677498E-3</v>
      </c>
      <c r="AX167">
        <v>5.2481151783334568E-4</v>
      </c>
      <c r="AY167">
        <v>4.6446564139146496E-4</v>
      </c>
      <c r="BB167">
        <v>5.8053804691446498E-2</v>
      </c>
      <c r="BC167">
        <v>4.9334260680356068E-2</v>
      </c>
      <c r="BE167">
        <v>33841.134382581171</v>
      </c>
      <c r="BF167">
        <v>21.447170431991346</v>
      </c>
      <c r="BG167">
        <v>35923.759641956261</v>
      </c>
      <c r="BH167">
        <v>21.444330921832787</v>
      </c>
    </row>
    <row r="168" spans="3:60" x14ac:dyDescent="0.2">
      <c r="C168" s="138">
        <v>39289.20042416246</v>
      </c>
      <c r="D168">
        <v>20.637202837297767</v>
      </c>
      <c r="E168" s="138">
        <v>41928.901525678441</v>
      </c>
      <c r="F168" s="138">
        <v>20.637565656362685</v>
      </c>
      <c r="G168" s="138">
        <v>-2639.7011015159806</v>
      </c>
      <c r="H168" s="138">
        <v>-3.6281906491808513E-4</v>
      </c>
      <c r="N168" s="138"/>
      <c r="O168" s="138"/>
      <c r="P168" s="138"/>
      <c r="R168">
        <v>318.29670386437635</v>
      </c>
      <c r="S168">
        <v>81.789347020071588</v>
      </c>
      <c r="T168">
        <v>250.98995131578923</v>
      </c>
      <c r="U168">
        <v>102.19137041596863</v>
      </c>
      <c r="X168">
        <v>0.73760785131315643</v>
      </c>
      <c r="Y168">
        <v>0.82470913024267933</v>
      </c>
      <c r="Z168">
        <v>0.94752333513670484</v>
      </c>
      <c r="AA168">
        <v>0.46386813567856089</v>
      </c>
      <c r="AB168">
        <v>0.87451309496955054</v>
      </c>
      <c r="AC168">
        <v>0.71668169806527304</v>
      </c>
      <c r="AD168">
        <v>0.57481168062573385</v>
      </c>
      <c r="AE168">
        <v>0.76676945283371456</v>
      </c>
      <c r="AH168">
        <v>4.3483930917008418E-2</v>
      </c>
      <c r="AI168">
        <v>0.11732514118661064</v>
      </c>
      <c r="AJ168">
        <v>0.23436107207075341</v>
      </c>
      <c r="AK168">
        <v>8.0350195143304326E-2</v>
      </c>
      <c r="AL168">
        <v>7.7257844729567426E-2</v>
      </c>
      <c r="AM168">
        <v>2.6158977042458398E-2</v>
      </c>
      <c r="AN168">
        <v>0.1125992728865729</v>
      </c>
      <c r="AO168">
        <v>0.20530225855314577</v>
      </c>
      <c r="AR168">
        <v>9.9872490058916519E-4</v>
      </c>
      <c r="AS168">
        <v>4.6997045835288631E-3</v>
      </c>
      <c r="AT168">
        <v>0.10136396823792138</v>
      </c>
      <c r="AU168">
        <v>1.958857495681309E-3</v>
      </c>
      <c r="AV168">
        <v>2.1117516484233656E-3</v>
      </c>
      <c r="AW168">
        <v>3.4389561424845727E-3</v>
      </c>
      <c r="AX168">
        <v>4.2149590328488529E-4</v>
      </c>
      <c r="AY168">
        <v>3.6869732047069596E-4</v>
      </c>
      <c r="BB168">
        <v>5.4354517941610281E-2</v>
      </c>
      <c r="BC168">
        <v>4.4709245417800823E-2</v>
      </c>
      <c r="BE168">
        <v>39289.20042416246</v>
      </c>
      <c r="BF168">
        <v>20.637202837297767</v>
      </c>
      <c r="BG168">
        <v>41928.901525678441</v>
      </c>
      <c r="BH168">
        <v>20.637565656362685</v>
      </c>
    </row>
    <row r="169" spans="3:60" x14ac:dyDescent="0.2">
      <c r="C169" s="138">
        <v>34639.944560689059</v>
      </c>
      <c r="D169">
        <v>21.470903496599938</v>
      </c>
      <c r="E169" s="138">
        <v>36617.795155559812</v>
      </c>
      <c r="F169" s="138">
        <v>21.444223032411109</v>
      </c>
      <c r="G169" s="138">
        <v>-1977.8505948707534</v>
      </c>
      <c r="H169" s="138">
        <v>2.6680464188828523E-2</v>
      </c>
      <c r="N169" s="138"/>
      <c r="O169" s="138"/>
      <c r="P169" s="138"/>
      <c r="R169">
        <v>253.33459918109685</v>
      </c>
      <c r="S169">
        <v>68.115989405408726</v>
      </c>
      <c r="T169">
        <v>270.67789342290945</v>
      </c>
      <c r="U169">
        <v>93.959132651232039</v>
      </c>
      <c r="X169">
        <v>0.49285366333357705</v>
      </c>
      <c r="Y169">
        <v>0.84868979853214632</v>
      </c>
      <c r="Z169">
        <v>0.66789308525927304</v>
      </c>
      <c r="AA169">
        <v>0.83303602377832564</v>
      </c>
      <c r="AB169">
        <v>0.81408994460685724</v>
      </c>
      <c r="AC169">
        <v>0.61948011138283543</v>
      </c>
      <c r="AD169">
        <v>0.68967910192064896</v>
      </c>
      <c r="AE169">
        <v>0.57929182269529012</v>
      </c>
      <c r="AH169">
        <v>0.1080570785075966</v>
      </c>
      <c r="AI169">
        <v>8.7699862663966011E-2</v>
      </c>
      <c r="AJ169">
        <v>0.21870835475777883</v>
      </c>
      <c r="AK169">
        <v>5.8751044717990419E-2</v>
      </c>
      <c r="AL169">
        <v>8.3422470788398817E-2</v>
      </c>
      <c r="AM169">
        <v>7.4765805800457552E-2</v>
      </c>
      <c r="AN169">
        <v>3.0191619888780163E-2</v>
      </c>
      <c r="AO169">
        <v>0.12174099830072738</v>
      </c>
      <c r="AR169">
        <v>9.1441095234012781E-4</v>
      </c>
      <c r="AS169">
        <v>4.5764561655093905E-3</v>
      </c>
      <c r="AT169">
        <v>0.1007433510729836</v>
      </c>
      <c r="AU169">
        <v>1.9180912120757652E-3</v>
      </c>
      <c r="AV169">
        <v>2.0145276466534412E-3</v>
      </c>
      <c r="AW169">
        <v>3.1254520080083274E-3</v>
      </c>
      <c r="AX169">
        <v>3.9498883299656662E-4</v>
      </c>
      <c r="AY169">
        <v>4.2017759501553526E-4</v>
      </c>
      <c r="BB169">
        <v>5.1708986407663526E-2</v>
      </c>
      <c r="BC169">
        <v>6.1609804928688394E-2</v>
      </c>
      <c r="BE169">
        <v>34639.944560689059</v>
      </c>
      <c r="BF169">
        <v>21.470903496599938</v>
      </c>
      <c r="BG169">
        <v>36617.795155559812</v>
      </c>
      <c r="BH169">
        <v>21.444223032411109</v>
      </c>
    </row>
    <row r="170" spans="3:60" x14ac:dyDescent="0.2">
      <c r="C170" s="138">
        <v>28213.583205745683</v>
      </c>
      <c r="D170" s="138">
        <v>20.833823609646991</v>
      </c>
      <c r="E170" s="138">
        <v>30243.849251656378</v>
      </c>
      <c r="F170" s="138">
        <v>20.793444900512466</v>
      </c>
      <c r="G170" s="138">
        <v>-2030.2660459106955</v>
      </c>
      <c r="H170" s="138">
        <v>4.0378709134525792E-2</v>
      </c>
      <c r="N170" s="138"/>
      <c r="O170" s="138"/>
      <c r="P170" s="138"/>
      <c r="R170">
        <v>288.9701865532532</v>
      </c>
      <c r="S170">
        <v>63.542454006133816</v>
      </c>
      <c r="T170">
        <v>239.56837942560597</v>
      </c>
      <c r="U170">
        <v>84.145630552766008</v>
      </c>
      <c r="X170">
        <v>0.8780071818409827</v>
      </c>
      <c r="Y170">
        <v>0.83747018285020203</v>
      </c>
      <c r="Z170">
        <v>0.4484960637768019</v>
      </c>
      <c r="AA170">
        <v>0.94036013188153167</v>
      </c>
      <c r="AB170">
        <v>0.78525108232130914</v>
      </c>
      <c r="AC170">
        <v>0.8459283889876229</v>
      </c>
      <c r="AD170">
        <v>0.62567675976754733</v>
      </c>
      <c r="AE170">
        <v>0.81246861957626793</v>
      </c>
      <c r="AH170">
        <v>6.5548654455927946E-2</v>
      </c>
      <c r="AI170">
        <v>4.4057554109202091E-2</v>
      </c>
      <c r="AJ170">
        <v>0.18879260529481767</v>
      </c>
      <c r="AK170">
        <v>0.11354101345083789</v>
      </c>
      <c r="AL170">
        <v>8.371459589153285E-2</v>
      </c>
      <c r="AM170">
        <v>0.17964107888813274</v>
      </c>
      <c r="AN170">
        <v>3.0551685490380009E-2</v>
      </c>
      <c r="AO170">
        <v>6.2888161116683272E-2</v>
      </c>
      <c r="AR170">
        <v>7.822344008170984E-4</v>
      </c>
      <c r="AS170">
        <v>4.2364695857135268E-3</v>
      </c>
      <c r="AT170">
        <v>9.9625918376882949E-2</v>
      </c>
      <c r="AU170">
        <v>1.9258459522378713E-3</v>
      </c>
      <c r="AV170">
        <v>2.0886434846840718E-3</v>
      </c>
      <c r="AW170">
        <v>3.5604920612647417E-3</v>
      </c>
      <c r="AX170">
        <v>4.2715372827883957E-4</v>
      </c>
      <c r="AY170">
        <v>3.4352602262357042E-4</v>
      </c>
      <c r="BB170">
        <v>4.9186950555153014E-2</v>
      </c>
      <c r="BC170">
        <v>8.2909585505062222E-2</v>
      </c>
      <c r="BE170">
        <v>28213.583205745683</v>
      </c>
      <c r="BF170">
        <v>20.833823609646991</v>
      </c>
      <c r="BG170">
        <v>30243.849251656378</v>
      </c>
      <c r="BH170">
        <v>20.793444900512466</v>
      </c>
    </row>
    <row r="171" spans="3:60" x14ac:dyDescent="0.2">
      <c r="C171" s="138">
        <v>25611.028167144945</v>
      </c>
      <c r="D171" s="138">
        <v>21.129084328850912</v>
      </c>
      <c r="E171" s="138">
        <v>27610.666923873301</v>
      </c>
      <c r="F171" s="138">
        <v>21.110310935076239</v>
      </c>
      <c r="G171" s="138">
        <v>-1999.6387567283564</v>
      </c>
      <c r="H171" s="138">
        <v>1.8773393774672797E-2</v>
      </c>
      <c r="N171" s="138"/>
      <c r="O171" s="138"/>
      <c r="P171" s="138"/>
      <c r="R171">
        <v>223.99105222283225</v>
      </c>
      <c r="S171">
        <v>57.094463446388495</v>
      </c>
      <c r="T171">
        <v>243.87793709657481</v>
      </c>
      <c r="U171">
        <v>92.210564736189653</v>
      </c>
      <c r="X171">
        <v>0.70243043739194788</v>
      </c>
      <c r="Y171">
        <v>0.48234172208699527</v>
      </c>
      <c r="Z171">
        <v>0.58604865226454861</v>
      </c>
      <c r="AA171">
        <v>0.74371280999110689</v>
      </c>
      <c r="AB171">
        <v>0.85971611670160786</v>
      </c>
      <c r="AC171">
        <v>0.64089297526835176</v>
      </c>
      <c r="AD171">
        <v>0.88846200605092518</v>
      </c>
      <c r="AE171">
        <v>0.72934578115464699</v>
      </c>
      <c r="AH171">
        <v>4.5165687144883115E-2</v>
      </c>
      <c r="AI171">
        <v>4.9532218860583566E-2</v>
      </c>
      <c r="AJ171">
        <v>7.5381153028667325E-2</v>
      </c>
      <c r="AK171">
        <v>0.22943996496377816</v>
      </c>
      <c r="AL171">
        <v>4.6794520541360018E-2</v>
      </c>
      <c r="AM171">
        <v>0.21337764845251639</v>
      </c>
      <c r="AN171">
        <v>7.7080047121330764E-2</v>
      </c>
      <c r="AO171">
        <v>0.101922861186307</v>
      </c>
      <c r="AR171">
        <v>8.5277755775122323E-4</v>
      </c>
      <c r="AS171">
        <v>4.9561501219379522E-3</v>
      </c>
      <c r="AT171">
        <v>9.9518124697489718E-2</v>
      </c>
      <c r="AU171">
        <v>1.759841566784034E-3</v>
      </c>
      <c r="AV171">
        <v>1.8599994062849247E-3</v>
      </c>
      <c r="AW171">
        <v>3.3098624283702518E-3</v>
      </c>
      <c r="AX171">
        <v>3.9022568782623614E-4</v>
      </c>
      <c r="AY171">
        <v>5.651591594041383E-4</v>
      </c>
      <c r="BB171">
        <v>5.5915409592386278E-2</v>
      </c>
      <c r="BC171">
        <v>4.3286664602873427E-2</v>
      </c>
      <c r="BE171">
        <v>25611.028167144945</v>
      </c>
      <c r="BF171">
        <v>21.129084328850912</v>
      </c>
      <c r="BG171">
        <v>27610.666923873301</v>
      </c>
      <c r="BH171">
        <v>21.110310935076239</v>
      </c>
    </row>
    <row r="172" spans="3:60" x14ac:dyDescent="0.2">
      <c r="C172" s="138">
        <v>27260.961112709454</v>
      </c>
      <c r="D172" s="138">
        <v>21.216827816748754</v>
      </c>
      <c r="E172" s="138">
        <v>28699.268887845079</v>
      </c>
      <c r="F172" s="138">
        <v>21.193286149544356</v>
      </c>
      <c r="G172" s="138">
        <v>-1438.307775135625</v>
      </c>
      <c r="H172" s="138">
        <v>2.3541667204398209E-2</v>
      </c>
      <c r="N172" s="138"/>
      <c r="O172" s="138"/>
      <c r="P172" s="138"/>
      <c r="R172">
        <v>216.18649304457921</v>
      </c>
      <c r="S172">
        <v>61.26753679120386</v>
      </c>
      <c r="T172">
        <v>262.28808180562072</v>
      </c>
      <c r="U172">
        <v>94.2804318437164</v>
      </c>
      <c r="X172">
        <v>0.79047539991408722</v>
      </c>
      <c r="Y172">
        <v>0.71906252417166061</v>
      </c>
      <c r="Z172">
        <v>0.62185973670523031</v>
      </c>
      <c r="AA172">
        <v>0.70727530363652402</v>
      </c>
      <c r="AB172">
        <v>0.63601346506018086</v>
      </c>
      <c r="AC172">
        <v>0.89257612484168403</v>
      </c>
      <c r="AD172">
        <v>0.70400653498182264</v>
      </c>
      <c r="AE172">
        <v>0.80875130692795794</v>
      </c>
      <c r="AH172">
        <v>0.1894856529237795</v>
      </c>
      <c r="AI172">
        <v>6.9802375029207941E-2</v>
      </c>
      <c r="AJ172">
        <v>0.1348119482011314</v>
      </c>
      <c r="AK172">
        <v>0.1705522326218446</v>
      </c>
      <c r="AL172">
        <v>2.6767345590130387E-2</v>
      </c>
      <c r="AM172">
        <v>0.21156609097556633</v>
      </c>
      <c r="AN172">
        <v>0.12652102605327709</v>
      </c>
      <c r="AO172">
        <v>4.6263026364067095E-2</v>
      </c>
      <c r="AR172">
        <v>9.096806276801539E-4</v>
      </c>
      <c r="AS172">
        <v>4.4263438117240084E-3</v>
      </c>
      <c r="AT172">
        <v>9.8798127886585152E-2</v>
      </c>
      <c r="AU172">
        <v>2.1777159118738787E-3</v>
      </c>
      <c r="AV172">
        <v>1.8418298352032155E-3</v>
      </c>
      <c r="AW172">
        <v>3.5559261422682953E-3</v>
      </c>
      <c r="AX172">
        <v>4.7771378934091668E-4</v>
      </c>
      <c r="AY172">
        <v>4.425001866495332E-4</v>
      </c>
      <c r="BB172">
        <v>4.6504360912535417E-2</v>
      </c>
      <c r="BC172">
        <v>2.9665840227395459E-2</v>
      </c>
      <c r="BE172">
        <v>27260.961112709454</v>
      </c>
      <c r="BF172">
        <v>21.216827816748754</v>
      </c>
      <c r="BG172">
        <v>28699.268887845079</v>
      </c>
      <c r="BH172">
        <v>21.193286149544356</v>
      </c>
    </row>
    <row r="173" spans="3:60" x14ac:dyDescent="0.2">
      <c r="C173" s="138">
        <v>31480.215022465451</v>
      </c>
      <c r="D173" s="138">
        <v>19.901952030811028</v>
      </c>
      <c r="E173" s="138">
        <v>33844.567634923027</v>
      </c>
      <c r="F173" s="138">
        <v>19.812907007030365</v>
      </c>
      <c r="G173" s="138">
        <v>-2364.3526124575765</v>
      </c>
      <c r="H173" s="138">
        <v>8.9045023780663257E-2</v>
      </c>
      <c r="N173" s="138"/>
      <c r="O173" s="138"/>
      <c r="P173" s="138"/>
      <c r="R173">
        <v>344.52435827653653</v>
      </c>
      <c r="S173">
        <v>68.205527873150743</v>
      </c>
      <c r="T173">
        <v>217.34465501461759</v>
      </c>
      <c r="U173">
        <v>95.736420172288675</v>
      </c>
      <c r="X173">
        <v>0.93375129154594294</v>
      </c>
      <c r="Y173">
        <v>0.93065200747256749</v>
      </c>
      <c r="Z173">
        <v>0.74998284675346127</v>
      </c>
      <c r="AA173">
        <v>0.6693137606483075</v>
      </c>
      <c r="AB173">
        <v>0.58543425806441929</v>
      </c>
      <c r="AC173">
        <v>0.60228187866782956</v>
      </c>
      <c r="AD173">
        <v>0.60484548184227394</v>
      </c>
      <c r="AE173">
        <v>0.90709172405906613</v>
      </c>
      <c r="AH173">
        <v>0.19540655089164083</v>
      </c>
      <c r="AI173">
        <v>6.5578961722487117E-2</v>
      </c>
      <c r="AJ173">
        <v>0.14026329516303926</v>
      </c>
      <c r="AK173">
        <v>0.13291252174550938</v>
      </c>
      <c r="AL173">
        <v>8.5945263021914187E-2</v>
      </c>
      <c r="AM173">
        <v>7.9906577264866607E-2</v>
      </c>
      <c r="AN173">
        <v>0.30929642347276498</v>
      </c>
      <c r="AO173">
        <v>0.32302244196641139</v>
      </c>
      <c r="AR173">
        <v>9.5354304352601726E-4</v>
      </c>
      <c r="AS173">
        <v>4.5210579824044306E-3</v>
      </c>
      <c r="AT173">
        <v>0.10113643452709087</v>
      </c>
      <c r="AU173">
        <v>1.948613112999324E-3</v>
      </c>
      <c r="AV173">
        <v>1.863393120491107E-3</v>
      </c>
      <c r="AW173">
        <v>3.2678568905156447E-3</v>
      </c>
      <c r="AX173">
        <v>4.6893592193641975E-4</v>
      </c>
      <c r="AY173">
        <v>4.3252968906548351E-4</v>
      </c>
      <c r="BB173">
        <v>4.3584339950252605E-2</v>
      </c>
      <c r="BC173">
        <v>3.4905768092128392E-2</v>
      </c>
      <c r="BE173">
        <v>31480.215022465451</v>
      </c>
      <c r="BF173">
        <v>19.901952030811028</v>
      </c>
      <c r="BG173">
        <v>33844.567634923027</v>
      </c>
      <c r="BH173">
        <v>19.812907007030365</v>
      </c>
    </row>
    <row r="174" spans="3:60" x14ac:dyDescent="0.2">
      <c r="C174" s="138">
        <v>35584.3485098729</v>
      </c>
      <c r="D174" s="138">
        <v>20.980644681141932</v>
      </c>
      <c r="E174" s="138">
        <v>37589.786166130863</v>
      </c>
      <c r="F174" s="138">
        <v>20.948495733886432</v>
      </c>
      <c r="G174" s="138">
        <v>-2005.4376562579637</v>
      </c>
      <c r="H174" s="138">
        <v>3.2148947255500104E-2</v>
      </c>
      <c r="N174" s="138"/>
      <c r="O174" s="138"/>
      <c r="P174" s="138"/>
      <c r="R174">
        <v>71.111969647818569</v>
      </c>
      <c r="S174">
        <v>69.341893348095525</v>
      </c>
      <c r="T174">
        <v>238.99488909934215</v>
      </c>
      <c r="U174">
        <v>89.269877693164247</v>
      </c>
      <c r="X174">
        <v>0.92504807891605123</v>
      </c>
      <c r="Y174">
        <v>0.71813569189548188</v>
      </c>
      <c r="Z174">
        <v>0.92520951593542544</v>
      </c>
      <c r="AA174">
        <v>0.76469467302531957</v>
      </c>
      <c r="AB174">
        <v>0.85885257878027654</v>
      </c>
      <c r="AC174">
        <v>0.68570102526570542</v>
      </c>
      <c r="AD174">
        <v>0.90146847765692939</v>
      </c>
      <c r="AE174">
        <v>0.73263806006233445</v>
      </c>
      <c r="AH174">
        <v>0.27758551323212466</v>
      </c>
      <c r="AI174">
        <v>0.21967365084351509</v>
      </c>
      <c r="AJ174">
        <v>0.10691939671368655</v>
      </c>
      <c r="AK174">
        <v>0.14966191483722591</v>
      </c>
      <c r="AL174">
        <v>0.19914775931065376</v>
      </c>
      <c r="AM174">
        <v>0.19061393680427696</v>
      </c>
      <c r="AN174">
        <v>5.1782579436542409E-2</v>
      </c>
      <c r="AO174">
        <v>0.3062657890559185</v>
      </c>
      <c r="AR174">
        <v>6.3202577981413518E-4</v>
      </c>
      <c r="AS174">
        <v>5.1065322173114991E-3</v>
      </c>
      <c r="AT174">
        <v>0.1004045857044753</v>
      </c>
      <c r="AU174">
        <v>2.215823687218843E-3</v>
      </c>
      <c r="AV174">
        <v>1.886011758832585E-3</v>
      </c>
      <c r="AW174">
        <v>3.195902823312603E-3</v>
      </c>
      <c r="AX174">
        <v>3.8559847402393091E-4</v>
      </c>
      <c r="AY174">
        <v>3.8929574881449354E-4</v>
      </c>
      <c r="BB174">
        <v>5.4043125920873014E-2</v>
      </c>
      <c r="BC174">
        <v>5.7182384889912452E-2</v>
      </c>
      <c r="BE174">
        <v>35584.3485098729</v>
      </c>
      <c r="BF174">
        <v>20.980644681141932</v>
      </c>
      <c r="BG174">
        <v>37589.786166130863</v>
      </c>
      <c r="BH174">
        <v>20.948495733886432</v>
      </c>
    </row>
    <row r="175" spans="3:60" x14ac:dyDescent="0.2">
      <c r="C175" s="138">
        <v>30981.857244217215</v>
      </c>
      <c r="D175" s="138">
        <v>21.361445041530562</v>
      </c>
      <c r="E175" s="138">
        <v>32894.385635445251</v>
      </c>
      <c r="F175" s="138">
        <v>21.346315064868534</v>
      </c>
      <c r="G175" s="138">
        <v>-1912.5283912280356</v>
      </c>
      <c r="H175" s="138">
        <v>1.5129976662027644E-2</v>
      </c>
      <c r="N175" s="138"/>
      <c r="O175" s="138"/>
      <c r="P175" s="138"/>
      <c r="R175">
        <v>225.802093511907</v>
      </c>
      <c r="S175">
        <v>57.791064028841461</v>
      </c>
      <c r="T175">
        <v>241.37773383294925</v>
      </c>
      <c r="U175">
        <v>93.313847778554035</v>
      </c>
      <c r="X175">
        <v>0.66460948187488433</v>
      </c>
      <c r="Y175">
        <v>0.86963700583724146</v>
      </c>
      <c r="Z175">
        <v>0.89408725264637945</v>
      </c>
      <c r="AA175">
        <v>0.53905171036481803</v>
      </c>
      <c r="AB175">
        <v>0.81707655868956841</v>
      </c>
      <c r="AC175">
        <v>0.98105641032049684</v>
      </c>
      <c r="AD175">
        <v>0.58248592909385632</v>
      </c>
      <c r="AE175">
        <v>0.69589177979889549</v>
      </c>
      <c r="AH175">
        <v>0.12908575917092513</v>
      </c>
      <c r="AI175">
        <v>0.10473197890475572</v>
      </c>
      <c r="AJ175">
        <v>4.9378568289499603E-2</v>
      </c>
      <c r="AK175">
        <v>8.0092279858270943E-2</v>
      </c>
      <c r="AL175">
        <v>8.913480469906121E-2</v>
      </c>
      <c r="AM175">
        <v>0.23389233653621855</v>
      </c>
      <c r="AN175">
        <v>0.19685939832235033</v>
      </c>
      <c r="AO175">
        <v>0.20805483437432559</v>
      </c>
      <c r="AR175">
        <v>9.4483580483373242E-4</v>
      </c>
      <c r="AS175">
        <v>4.6731920697983265E-3</v>
      </c>
      <c r="AT175">
        <v>0.10210932798451089</v>
      </c>
      <c r="AU175">
        <v>1.8470870896071976E-3</v>
      </c>
      <c r="AV175">
        <v>1.9382890737572253E-3</v>
      </c>
      <c r="AW175">
        <v>3.3169906158606348E-3</v>
      </c>
      <c r="AX175">
        <v>4.6774870404642233E-4</v>
      </c>
      <c r="AY175">
        <v>4.386517357672494E-4</v>
      </c>
      <c r="BB175">
        <v>5.0146024228750585E-2</v>
      </c>
      <c r="BC175">
        <v>9.2792282496401368E-2</v>
      </c>
      <c r="BE175">
        <v>30981.857244217215</v>
      </c>
      <c r="BF175">
        <v>21.361445041530562</v>
      </c>
      <c r="BG175">
        <v>32894.385635445251</v>
      </c>
      <c r="BH175">
        <v>21.346315064868534</v>
      </c>
    </row>
    <row r="176" spans="3:60" x14ac:dyDescent="0.2">
      <c r="C176" s="138">
        <v>26654.398588409822</v>
      </c>
      <c r="D176" s="138">
        <v>21.454775640081685</v>
      </c>
      <c r="E176" s="138">
        <v>28505.3939058338</v>
      </c>
      <c r="F176" s="138">
        <v>21.453451726203202</v>
      </c>
      <c r="G176" s="138">
        <v>-1850.9953174239781</v>
      </c>
      <c r="H176" s="138">
        <v>1.323913878483296E-3</v>
      </c>
      <c r="N176" s="138"/>
      <c r="O176" s="138"/>
      <c r="P176" s="138"/>
      <c r="R176">
        <v>336.45862436434891</v>
      </c>
      <c r="S176">
        <v>64.099802242945032</v>
      </c>
      <c r="T176">
        <v>227.51108592418007</v>
      </c>
      <c r="U176">
        <v>88.130070196072339</v>
      </c>
      <c r="X176">
        <v>0.82355468675219212</v>
      </c>
      <c r="Y176">
        <v>0.59490640026340158</v>
      </c>
      <c r="Z176">
        <v>0.93165167752605915</v>
      </c>
      <c r="AA176">
        <v>0.55897106762530047</v>
      </c>
      <c r="AB176">
        <v>0.59632530275162487</v>
      </c>
      <c r="AC176">
        <v>0.83421526800716905</v>
      </c>
      <c r="AD176">
        <v>0.84256529675834524</v>
      </c>
      <c r="AE176">
        <v>0.77232109441294505</v>
      </c>
      <c r="AH176">
        <v>0.16372483576748909</v>
      </c>
      <c r="AI176">
        <v>0.1388310132352617</v>
      </c>
      <c r="AJ176">
        <v>0.15432389366142207</v>
      </c>
      <c r="AK176">
        <v>5.7328504286217496E-2</v>
      </c>
      <c r="AL176">
        <v>2.063187797971977E-2</v>
      </c>
      <c r="AM176">
        <v>0.32443917416245094</v>
      </c>
      <c r="AN176">
        <v>0.2078873130264387</v>
      </c>
      <c r="AO176">
        <v>3.7097332051715393E-2</v>
      </c>
      <c r="AR176">
        <v>9.6272907986916234E-4</v>
      </c>
      <c r="AS176">
        <v>4.7473438044679517E-3</v>
      </c>
      <c r="AT176">
        <v>0.10038154990474069</v>
      </c>
      <c r="AU176">
        <v>1.8960395347996399E-3</v>
      </c>
      <c r="AV176">
        <v>1.8173441280351008E-3</v>
      </c>
      <c r="AW176">
        <v>3.5356155927792621E-3</v>
      </c>
      <c r="AX176">
        <v>2.8568302564840214E-4</v>
      </c>
      <c r="AY176">
        <v>4.8761082796311417E-4</v>
      </c>
      <c r="BB176">
        <v>4.5427925519170388E-2</v>
      </c>
      <c r="BC176">
        <v>4.9864390056797769E-2</v>
      </c>
      <c r="BE176">
        <v>26654.398588409822</v>
      </c>
      <c r="BF176">
        <v>21.454775640081685</v>
      </c>
      <c r="BG176">
        <v>28505.3939058338</v>
      </c>
      <c r="BH176">
        <v>21.453451726203202</v>
      </c>
    </row>
    <row r="177" spans="3:60" x14ac:dyDescent="0.2">
      <c r="C177" s="138">
        <v>32172.261015325323</v>
      </c>
      <c r="D177" s="138">
        <v>20.512492083089569</v>
      </c>
      <c r="E177" s="138">
        <v>34123.224917190244</v>
      </c>
      <c r="F177" s="138">
        <v>20.453405377610981</v>
      </c>
      <c r="G177" s="138">
        <v>-1950.9639018649214</v>
      </c>
      <c r="H177" s="138">
        <v>5.9086705478588186E-2</v>
      </c>
      <c r="N177" s="138"/>
      <c r="O177" s="138"/>
      <c r="P177" s="138"/>
      <c r="R177">
        <v>466.92707910231854</v>
      </c>
      <c r="S177">
        <v>63.616058244604389</v>
      </c>
      <c r="T177">
        <v>219.04676054848986</v>
      </c>
      <c r="U177">
        <v>111.36815259839774</v>
      </c>
      <c r="X177">
        <v>0.75000116105913872</v>
      </c>
      <c r="Y177">
        <v>0.76424742007573421</v>
      </c>
      <c r="Z177">
        <v>0.63675869277616859</v>
      </c>
      <c r="AA177">
        <v>0.79571082835727991</v>
      </c>
      <c r="AB177">
        <v>0.70807912807096285</v>
      </c>
      <c r="AC177">
        <v>0.84261932602145917</v>
      </c>
      <c r="AD177">
        <v>0.50007207742088777</v>
      </c>
      <c r="AE177">
        <v>0.80755999268025813</v>
      </c>
      <c r="AH177">
        <v>0.15636978020616754</v>
      </c>
      <c r="AI177">
        <v>0.13457401317391826</v>
      </c>
      <c r="AJ177">
        <v>8.3547659717531975E-2</v>
      </c>
      <c r="AK177">
        <v>6.2377688263876019E-2</v>
      </c>
      <c r="AL177">
        <v>8.0200644529865972E-2</v>
      </c>
      <c r="AM177">
        <v>0.17309790020852667</v>
      </c>
      <c r="AN177">
        <v>0.19349044662575532</v>
      </c>
      <c r="AO177">
        <v>6.4123621941424069E-2</v>
      </c>
      <c r="AR177">
        <v>9.9078699130417114E-4</v>
      </c>
      <c r="AS177">
        <v>4.3491757636050232E-3</v>
      </c>
      <c r="AT177">
        <v>9.9038750286507965E-2</v>
      </c>
      <c r="AU177">
        <v>1.8898915501571992E-3</v>
      </c>
      <c r="AV177">
        <v>2.2392984601145027E-3</v>
      </c>
      <c r="AW177">
        <v>3.6422314243497178E-3</v>
      </c>
      <c r="AX177">
        <v>3.6431483902131143E-4</v>
      </c>
      <c r="AY177">
        <v>4.1475740520381584E-4</v>
      </c>
      <c r="BB177">
        <v>5.3499239879709726E-2</v>
      </c>
      <c r="BC177">
        <v>5.8853998902985176E-3</v>
      </c>
      <c r="BE177">
        <v>32172.261015325323</v>
      </c>
      <c r="BF177">
        <v>20.512492083089569</v>
      </c>
      <c r="BG177">
        <v>34123.224917190244</v>
      </c>
      <c r="BH177">
        <v>20.453405377610981</v>
      </c>
    </row>
    <row r="178" spans="3:60" x14ac:dyDescent="0.2">
      <c r="C178" s="138">
        <v>30834.672394120516</v>
      </c>
      <c r="D178" s="138">
        <v>21.249626762706601</v>
      </c>
      <c r="E178" s="138">
        <v>32798.17841448688</v>
      </c>
      <c r="F178" s="138">
        <v>21.236123218838941</v>
      </c>
      <c r="G178" s="138">
        <v>-1963.5060203663634</v>
      </c>
      <c r="H178" s="138">
        <v>1.3503543867660284E-2</v>
      </c>
      <c r="N178" s="138"/>
      <c r="O178" s="138"/>
      <c r="P178" s="138"/>
      <c r="R178">
        <v>86.362369016989476</v>
      </c>
      <c r="S178">
        <v>59.707767846026144</v>
      </c>
      <c r="T178">
        <v>260.75881653354674</v>
      </c>
      <c r="U178">
        <v>114.09867847864678</v>
      </c>
      <c r="X178">
        <v>0.94368289197485566</v>
      </c>
      <c r="Y178">
        <v>0.90492230475064661</v>
      </c>
      <c r="Z178">
        <v>0.77599369004475005</v>
      </c>
      <c r="AA178">
        <v>0.5778980265111755</v>
      </c>
      <c r="AB178">
        <v>0.7700433706423695</v>
      </c>
      <c r="AC178">
        <v>0.74550178932238487</v>
      </c>
      <c r="AD178">
        <v>0.56306697577769904</v>
      </c>
      <c r="AE178">
        <v>0.87997940761407833</v>
      </c>
      <c r="AH178">
        <v>0.12480086138070423</v>
      </c>
      <c r="AI178">
        <v>9.3241594838629149E-2</v>
      </c>
      <c r="AJ178">
        <v>0.3189646214024584</v>
      </c>
      <c r="AK178">
        <v>0.14283452087305071</v>
      </c>
      <c r="AL178">
        <v>0.18496660372887286</v>
      </c>
      <c r="AM178">
        <v>3.5608023119283905E-2</v>
      </c>
      <c r="AN178">
        <v>9.3726736644065389E-2</v>
      </c>
      <c r="AO178">
        <v>6.1224341622641121E-2</v>
      </c>
      <c r="AR178">
        <v>9.1488874345402316E-4</v>
      </c>
      <c r="AS178">
        <v>4.4869328389076004E-3</v>
      </c>
      <c r="AT178">
        <v>9.9984561471224268E-2</v>
      </c>
      <c r="AU178">
        <v>2.1223895101936119E-3</v>
      </c>
      <c r="AV178">
        <v>2.0571395367215972E-3</v>
      </c>
      <c r="AW178">
        <v>3.4737003166918079E-3</v>
      </c>
      <c r="AX178">
        <v>4.2665289909316062E-4</v>
      </c>
      <c r="AY178">
        <v>4.6080285614835681E-4</v>
      </c>
      <c r="BB178">
        <v>4.9106027726281018E-2</v>
      </c>
      <c r="BC178">
        <v>5.8381613544871036E-2</v>
      </c>
      <c r="BE178">
        <v>30834.672394120516</v>
      </c>
      <c r="BF178">
        <v>21.249626762706601</v>
      </c>
      <c r="BG178">
        <v>32798.17841448688</v>
      </c>
      <c r="BH178">
        <v>21.236123218838941</v>
      </c>
    </row>
    <row r="179" spans="3:60" x14ac:dyDescent="0.2">
      <c r="C179" s="138">
        <v>34738.800504015453</v>
      </c>
      <c r="D179" s="138">
        <v>21.363541799752266</v>
      </c>
      <c r="E179" s="138">
        <v>36735.659320594343</v>
      </c>
      <c r="F179" s="138">
        <v>21.373591676130633</v>
      </c>
      <c r="G179" s="138">
        <v>-1996.8588165788897</v>
      </c>
      <c r="H179" s="138">
        <v>-1.0049876378367628E-2</v>
      </c>
      <c r="N179" s="138"/>
      <c r="O179" s="138"/>
      <c r="P179" s="138"/>
      <c r="R179">
        <v>389.88382551604832</v>
      </c>
      <c r="S179">
        <v>57.051004445887429</v>
      </c>
      <c r="T179">
        <v>266.73421386023017</v>
      </c>
      <c r="U179">
        <v>86.746754769809257</v>
      </c>
      <c r="X179">
        <v>0.84855921326303296</v>
      </c>
      <c r="Y179">
        <v>0.36043907661783059</v>
      </c>
      <c r="Z179">
        <v>0.88262004071269751</v>
      </c>
      <c r="AA179">
        <v>0.68030921759968588</v>
      </c>
      <c r="AB179">
        <v>0.9170015594940456</v>
      </c>
      <c r="AC179">
        <v>0.79293931649798721</v>
      </c>
      <c r="AD179">
        <v>0.7428875955846499</v>
      </c>
      <c r="AE179">
        <v>0.79629994408715865</v>
      </c>
      <c r="AH179">
        <v>0.24083463766732649</v>
      </c>
      <c r="AI179">
        <v>2.3682093605915E-2</v>
      </c>
      <c r="AJ179">
        <v>0.10316554996346539</v>
      </c>
      <c r="AK179">
        <v>0.17305257220018</v>
      </c>
      <c r="AL179">
        <v>0.16102475045970754</v>
      </c>
      <c r="AM179">
        <v>1.8199590132955024E-2</v>
      </c>
      <c r="AN179">
        <v>4.3336477279913854E-3</v>
      </c>
      <c r="AO179">
        <v>1.6475746623836551E-2</v>
      </c>
      <c r="AR179">
        <v>8.2030539130494094E-4</v>
      </c>
      <c r="AS179">
        <v>4.7431399620094794E-3</v>
      </c>
      <c r="AT179">
        <v>9.999378681998472E-2</v>
      </c>
      <c r="AU179">
        <v>2.0145845408242602E-3</v>
      </c>
      <c r="AV179">
        <v>2.0588879870682142E-3</v>
      </c>
      <c r="AW179">
        <v>3.5167585221136388E-3</v>
      </c>
      <c r="AX179">
        <v>3.8608483980850391E-4</v>
      </c>
      <c r="AY179">
        <v>4.7743596637850327E-4</v>
      </c>
      <c r="BB179">
        <v>4.9792314070290118E-2</v>
      </c>
      <c r="BC179">
        <v>3.5708668535308276E-2</v>
      </c>
      <c r="BE179">
        <v>34738.800504015453</v>
      </c>
      <c r="BF179">
        <v>21.363541799752266</v>
      </c>
      <c r="BG179">
        <v>36735.659320594343</v>
      </c>
      <c r="BH179">
        <v>21.373591676130633</v>
      </c>
    </row>
    <row r="180" spans="3:60" x14ac:dyDescent="0.2">
      <c r="C180" s="138">
        <v>28934.131364541034</v>
      </c>
      <c r="D180" s="138">
        <v>20.712330133362141</v>
      </c>
      <c r="E180" s="138">
        <v>30682.794871043501</v>
      </c>
      <c r="F180" s="138">
        <v>20.663212848237063</v>
      </c>
      <c r="G180" s="138">
        <v>-1748.6635065024675</v>
      </c>
      <c r="H180" s="138">
        <v>4.911728512507807E-2</v>
      </c>
      <c r="N180" s="138"/>
      <c r="O180" s="138"/>
      <c r="P180" s="138"/>
      <c r="R180">
        <v>291.44779501967912</v>
      </c>
      <c r="S180">
        <v>65.480882498536758</v>
      </c>
      <c r="T180">
        <v>238.88627120910729</v>
      </c>
      <c r="U180">
        <v>83.978834262118468</v>
      </c>
      <c r="X180">
        <v>0.65709411726708866</v>
      </c>
      <c r="Y180">
        <v>0.81523213192976518</v>
      </c>
      <c r="Z180">
        <v>0.857891915411924</v>
      </c>
      <c r="AA180">
        <v>0.74227687994678604</v>
      </c>
      <c r="AB180">
        <v>0.80900620692446912</v>
      </c>
      <c r="AC180">
        <v>0.67579626435081097</v>
      </c>
      <c r="AD180">
        <v>0.94888425394573994</v>
      </c>
      <c r="AE180">
        <v>0.9306495516328569</v>
      </c>
      <c r="AH180">
        <v>4.7657769219769275E-2</v>
      </c>
      <c r="AI180">
        <v>0.33294969496571947</v>
      </c>
      <c r="AJ180">
        <v>0.26241047144011431</v>
      </c>
      <c r="AK180">
        <v>0.18989157872778195</v>
      </c>
      <c r="AL180">
        <v>8.7609157753103517E-2</v>
      </c>
      <c r="AM180">
        <v>0.21230152594497076</v>
      </c>
      <c r="AN180">
        <v>0.21154602998062355</v>
      </c>
      <c r="AO180">
        <v>9.0915403403133865E-2</v>
      </c>
      <c r="AR180">
        <v>9.3713753428226187E-4</v>
      </c>
      <c r="AS180">
        <v>4.5268980808496062E-3</v>
      </c>
      <c r="AT180">
        <v>9.9001208053581785E-2</v>
      </c>
      <c r="AU180">
        <v>2.0173407794147336E-3</v>
      </c>
      <c r="AV180">
        <v>2.1122066062270184E-3</v>
      </c>
      <c r="AW180">
        <v>3.6606703750268199E-3</v>
      </c>
      <c r="AX180">
        <v>4.2473729439940211E-4</v>
      </c>
      <c r="AY180">
        <v>4.5731848138830244E-4</v>
      </c>
      <c r="BB180">
        <v>4.0871120852422047E-2</v>
      </c>
      <c r="BC180">
        <v>7.4668800405232161E-2</v>
      </c>
      <c r="BE180">
        <v>28934.131364541034</v>
      </c>
      <c r="BF180">
        <v>20.712330133362141</v>
      </c>
      <c r="BG180">
        <v>30682.794871043501</v>
      </c>
      <c r="BH180">
        <v>20.663212848237063</v>
      </c>
    </row>
    <row r="181" spans="3:60" x14ac:dyDescent="0.2">
      <c r="C181" s="138">
        <v>30266.430804836782</v>
      </c>
      <c r="D181" s="138">
        <v>21.212485457958749</v>
      </c>
      <c r="E181" s="138">
        <v>32591.752784079988</v>
      </c>
      <c r="F181" s="138">
        <v>21.191671437908344</v>
      </c>
      <c r="G181" s="138">
        <v>-2325.3219792432064</v>
      </c>
      <c r="H181" s="138">
        <v>2.0814020050405446E-2</v>
      </c>
      <c r="N181" s="138"/>
      <c r="O181" s="138"/>
      <c r="P181" s="138"/>
      <c r="R181">
        <v>206.25164941754122</v>
      </c>
      <c r="S181">
        <v>63.536086944681109</v>
      </c>
      <c r="T181">
        <v>194.67484284302003</v>
      </c>
      <c r="U181">
        <v>78.082908091309946</v>
      </c>
      <c r="X181">
        <v>0.71812209805171523</v>
      </c>
      <c r="Y181">
        <v>0.55022961964262795</v>
      </c>
      <c r="Z181">
        <v>0.76025461715307086</v>
      </c>
      <c r="AA181">
        <v>0.58095765022982049</v>
      </c>
      <c r="AB181">
        <v>0.86499998781372467</v>
      </c>
      <c r="AC181">
        <v>0.67571888230499833</v>
      </c>
      <c r="AD181">
        <v>0.84755097972545812</v>
      </c>
      <c r="AE181">
        <v>0.83492336408927215</v>
      </c>
      <c r="AH181">
        <v>0.17691328232626091</v>
      </c>
      <c r="AI181">
        <v>0.31298257411125585</v>
      </c>
      <c r="AJ181">
        <v>0.28998473442394079</v>
      </c>
      <c r="AK181">
        <v>7.2494806305494763E-2</v>
      </c>
      <c r="AL181">
        <v>5.9616879190824257E-2</v>
      </c>
      <c r="AM181">
        <v>6.3401809538872422E-2</v>
      </c>
      <c r="AN181">
        <v>6.7397268877957051E-2</v>
      </c>
      <c r="AO181">
        <v>7.1461252225200389E-2</v>
      </c>
      <c r="AR181">
        <v>9.5007333243102288E-4</v>
      </c>
      <c r="AS181">
        <v>4.8007294507399489E-3</v>
      </c>
      <c r="AT181">
        <v>9.8225039814626686E-2</v>
      </c>
      <c r="AU181">
        <v>1.9567732349669432E-3</v>
      </c>
      <c r="AV181">
        <v>1.8891014859971048E-3</v>
      </c>
      <c r="AW181">
        <v>3.3084486807411283E-3</v>
      </c>
      <c r="AX181">
        <v>3.7455276378271199E-4</v>
      </c>
      <c r="AY181">
        <v>4.9137805343324459E-4</v>
      </c>
      <c r="BB181">
        <v>5.1657529494803067E-2</v>
      </c>
      <c r="BC181">
        <v>3.3931022255997742E-2</v>
      </c>
      <c r="BE181">
        <v>30266.430804836782</v>
      </c>
      <c r="BF181">
        <v>21.212485457958749</v>
      </c>
      <c r="BG181">
        <v>32591.752784079988</v>
      </c>
      <c r="BH181">
        <v>21.191671437908344</v>
      </c>
    </row>
    <row r="182" spans="3:60" x14ac:dyDescent="0.2">
      <c r="C182" s="138">
        <v>24357.832484183036</v>
      </c>
      <c r="D182" s="138">
        <v>21.315459187153653</v>
      </c>
      <c r="E182" s="138">
        <v>26081.105402676036</v>
      </c>
      <c r="F182" s="138">
        <v>21.31588211338245</v>
      </c>
      <c r="G182" s="138">
        <v>-1723.2729184929995</v>
      </c>
      <c r="H182" s="138">
        <v>-4.2292622879713804E-4</v>
      </c>
      <c r="N182" s="138"/>
      <c r="O182" s="138"/>
      <c r="P182" s="138"/>
      <c r="R182">
        <v>341.41385004507504</v>
      </c>
      <c r="S182">
        <v>58.695765948910903</v>
      </c>
      <c r="T182">
        <v>234.8838132574603</v>
      </c>
      <c r="U182">
        <v>85.918446974530866</v>
      </c>
      <c r="X182">
        <v>0.9190824039682175</v>
      </c>
      <c r="Y182">
        <v>0.81490068111581726</v>
      </c>
      <c r="Z182">
        <v>0.93769753576344539</v>
      </c>
      <c r="AA182">
        <v>0.79564996933074594</v>
      </c>
      <c r="AB182">
        <v>0.76800444847430072</v>
      </c>
      <c r="AC182">
        <v>0.87335238775881741</v>
      </c>
      <c r="AD182">
        <v>0.83780019825296204</v>
      </c>
      <c r="AE182">
        <v>0.81943750145683136</v>
      </c>
      <c r="AH182">
        <v>8.7514593042686717E-2</v>
      </c>
      <c r="AI182">
        <v>0.28001170286662047</v>
      </c>
      <c r="AJ182">
        <v>8.1397217584152193E-2</v>
      </c>
      <c r="AK182">
        <v>0.16330733737580971</v>
      </c>
      <c r="AL182">
        <v>1.7435471370149558E-2</v>
      </c>
      <c r="AM182">
        <v>0.15754697661674433</v>
      </c>
      <c r="AN182">
        <v>0.22703694346123471</v>
      </c>
      <c r="AO182">
        <v>0.12619093244842361</v>
      </c>
      <c r="AR182">
        <v>9.4683091222103055E-4</v>
      </c>
      <c r="AS182">
        <v>4.0129067355093827E-3</v>
      </c>
      <c r="AT182">
        <v>9.9127902705138271E-2</v>
      </c>
      <c r="AU182">
        <v>2.2310217335327343E-3</v>
      </c>
      <c r="AV182">
        <v>1.8953293508868672E-3</v>
      </c>
      <c r="AW182">
        <v>3.3522939296817601E-3</v>
      </c>
      <c r="AX182">
        <v>3.7580897566086849E-4</v>
      </c>
      <c r="AY182">
        <v>5.5039897551756312E-4</v>
      </c>
      <c r="BB182">
        <v>4.5316661799183824E-2</v>
      </c>
      <c r="BC182">
        <v>3.6295650219613215E-2</v>
      </c>
      <c r="BE182">
        <v>24357.832484183036</v>
      </c>
      <c r="BF182">
        <v>21.315459187153653</v>
      </c>
      <c r="BG182">
        <v>26081.105402676036</v>
      </c>
      <c r="BH182">
        <v>21.31588211338245</v>
      </c>
    </row>
    <row r="183" spans="3:60" x14ac:dyDescent="0.2">
      <c r="C183" s="138">
        <v>31780.077031609399</v>
      </c>
      <c r="D183" s="138">
        <v>21.103336150525301</v>
      </c>
      <c r="E183" s="138">
        <v>33857.010343592337</v>
      </c>
      <c r="F183" s="138">
        <v>21.122985624555593</v>
      </c>
      <c r="G183" s="138">
        <v>-2076.9333119829389</v>
      </c>
      <c r="H183" s="138">
        <v>-1.9649474030291714E-2</v>
      </c>
      <c r="N183" s="138"/>
      <c r="O183" s="138"/>
      <c r="P183" s="138"/>
      <c r="R183">
        <v>229.10722128842036</v>
      </c>
      <c r="S183">
        <v>58.503285901741592</v>
      </c>
      <c r="T183">
        <v>215.57417708828052</v>
      </c>
      <c r="U183">
        <v>95.225741846783052</v>
      </c>
      <c r="X183">
        <v>0.79668436484719085</v>
      </c>
      <c r="Y183">
        <v>0.49058087971792058</v>
      </c>
      <c r="Z183">
        <v>0.93526349260767383</v>
      </c>
      <c r="AA183">
        <v>0.36282228078853146</v>
      </c>
      <c r="AB183">
        <v>0.42581683498774014</v>
      </c>
      <c r="AC183">
        <v>0.89165064809862149</v>
      </c>
      <c r="AD183">
        <v>0.50341675687966791</v>
      </c>
      <c r="AE183">
        <v>0.83885045891557219</v>
      </c>
      <c r="AH183">
        <v>7.1925573423514466E-2</v>
      </c>
      <c r="AI183">
        <v>0.12246887750251567</v>
      </c>
      <c r="AJ183">
        <v>7.3281105344520592E-2</v>
      </c>
      <c r="AK183">
        <v>0.21305379719844431</v>
      </c>
      <c r="AL183">
        <v>0.13352439753894152</v>
      </c>
      <c r="AM183">
        <v>0.12171659829739745</v>
      </c>
      <c r="AN183">
        <v>5.4094885209159171E-2</v>
      </c>
      <c r="AO183">
        <v>7.4616363759737681E-2</v>
      </c>
      <c r="AR183">
        <v>8.57068671541618E-4</v>
      </c>
      <c r="AS183">
        <v>4.3168665955620675E-3</v>
      </c>
      <c r="AT183">
        <v>9.8583704901820252E-2</v>
      </c>
      <c r="AU183">
        <v>2.2634126972193025E-3</v>
      </c>
      <c r="AV183">
        <v>2.00256197262072E-3</v>
      </c>
      <c r="AW183">
        <v>3.5626596390001541E-3</v>
      </c>
      <c r="AX183">
        <v>3.8189310533429181E-4</v>
      </c>
      <c r="AY183">
        <v>3.6659637246265882E-4</v>
      </c>
      <c r="BB183">
        <v>5.6227210418158258E-2</v>
      </c>
      <c r="BC183">
        <v>7.7884557777477714E-2</v>
      </c>
      <c r="BE183">
        <v>31780.077031609399</v>
      </c>
      <c r="BF183">
        <v>21.103336150525301</v>
      </c>
      <c r="BG183">
        <v>33857.010343592337</v>
      </c>
      <c r="BH183">
        <v>21.122985624555593</v>
      </c>
    </row>
    <row r="184" spans="3:60" x14ac:dyDescent="0.2">
      <c r="C184" s="138">
        <v>28118.966942837531</v>
      </c>
      <c r="D184" s="138">
        <v>20.181900747654979</v>
      </c>
      <c r="E184" s="138">
        <v>30031.471323147976</v>
      </c>
      <c r="F184" s="138">
        <v>20.1365602951551</v>
      </c>
      <c r="G184" s="138">
        <v>-1912.5043803104454</v>
      </c>
      <c r="H184" s="138">
        <v>4.5340452499878836E-2</v>
      </c>
      <c r="N184" s="138"/>
      <c r="O184" s="138"/>
      <c r="P184" s="138"/>
      <c r="R184">
        <v>306.22740956755712</v>
      </c>
      <c r="S184">
        <v>62.129983537869251</v>
      </c>
      <c r="T184">
        <v>262.03596364722119</v>
      </c>
      <c r="U184">
        <v>94.086957974850705</v>
      </c>
      <c r="X184">
        <v>0.69463557021494571</v>
      </c>
      <c r="Y184">
        <v>0.77771032134052043</v>
      </c>
      <c r="Z184">
        <v>0.74621462948717032</v>
      </c>
      <c r="AA184">
        <v>0.64194970858226019</v>
      </c>
      <c r="AB184">
        <v>0.54043665326026324</v>
      </c>
      <c r="AC184">
        <v>0.70652270345059331</v>
      </c>
      <c r="AD184">
        <v>0.68557486255601974</v>
      </c>
      <c r="AE184">
        <v>0.67134469711997236</v>
      </c>
      <c r="AH184">
        <v>1.4348451268984319E-2</v>
      </c>
      <c r="AI184">
        <v>9.4516252944110146E-2</v>
      </c>
      <c r="AJ184">
        <v>0.15250358756740334</v>
      </c>
      <c r="AK184">
        <v>0.34301218095289066</v>
      </c>
      <c r="AL184">
        <v>0.19231703998324012</v>
      </c>
      <c r="AM184">
        <v>0.11966818515403888</v>
      </c>
      <c r="AN184">
        <v>0.17142246162089936</v>
      </c>
      <c r="AO184">
        <v>0.10207940289087913</v>
      </c>
      <c r="AR184">
        <v>8.3402837998287698E-4</v>
      </c>
      <c r="AS184">
        <v>4.435510854292511E-3</v>
      </c>
      <c r="AT184">
        <v>9.8788553513850519E-2</v>
      </c>
      <c r="AU184">
        <v>2.2574111443388611E-3</v>
      </c>
      <c r="AV184">
        <v>1.8984601133207395E-3</v>
      </c>
      <c r="AW184">
        <v>3.1863590298396556E-3</v>
      </c>
      <c r="AX184">
        <v>2.8951453277373956E-4</v>
      </c>
      <c r="AY184">
        <v>3.6489866493594203E-4</v>
      </c>
      <c r="BB184">
        <v>4.2212745534566158E-2</v>
      </c>
      <c r="BC184">
        <v>1.9952678316024788E-2</v>
      </c>
      <c r="BE184">
        <v>28118.966942837531</v>
      </c>
      <c r="BF184">
        <v>20.181900747654979</v>
      </c>
      <c r="BG184">
        <v>30031.471323147976</v>
      </c>
      <c r="BH184">
        <v>20.1365602951551</v>
      </c>
    </row>
    <row r="185" spans="3:60" x14ac:dyDescent="0.2">
      <c r="C185" s="138">
        <v>31349.715714213427</v>
      </c>
      <c r="D185" s="138">
        <v>20.742974390628078</v>
      </c>
      <c r="E185" s="138">
        <v>33299.798520519609</v>
      </c>
      <c r="F185" s="138">
        <v>20.698800625966697</v>
      </c>
      <c r="G185" s="138">
        <v>-1950.0828063061817</v>
      </c>
      <c r="H185" s="138">
        <v>4.4173764661380233E-2</v>
      </c>
      <c r="N185" s="138"/>
      <c r="O185" s="138"/>
      <c r="P185" s="138"/>
      <c r="R185">
        <v>319.88550104452935</v>
      </c>
      <c r="S185">
        <v>61.048923464459897</v>
      </c>
      <c r="T185">
        <v>252.07063377647404</v>
      </c>
      <c r="U185">
        <v>90.584029578593473</v>
      </c>
      <c r="X185">
        <v>0.56525693384464193</v>
      </c>
      <c r="Y185">
        <v>0.87166439950669183</v>
      </c>
      <c r="Z185">
        <v>0.80758366730904052</v>
      </c>
      <c r="AA185">
        <v>0.85354261788318997</v>
      </c>
      <c r="AB185">
        <v>0.74213267764129831</v>
      </c>
      <c r="AC185">
        <v>0.77712615780315764</v>
      </c>
      <c r="AD185">
        <v>0.71316986425042728</v>
      </c>
      <c r="AE185">
        <v>0.87341180984301092</v>
      </c>
      <c r="AH185">
        <v>8.3402985378859262E-2</v>
      </c>
      <c r="AI185">
        <v>0.2000602019456581</v>
      </c>
      <c r="AJ185">
        <v>0.12191815084969171</v>
      </c>
      <c r="AK185">
        <v>0.11232975299520531</v>
      </c>
      <c r="AL185">
        <v>9.6346988180243454E-2</v>
      </c>
      <c r="AM185">
        <v>2.4952565289142914E-2</v>
      </c>
      <c r="AN185">
        <v>0.23927035235025906</v>
      </c>
      <c r="AO185">
        <v>6.1974487339196749E-2</v>
      </c>
      <c r="AR185">
        <v>8.6405789994074258E-4</v>
      </c>
      <c r="AS185">
        <v>4.5747055900653422E-3</v>
      </c>
      <c r="AT185">
        <v>9.9766896100083047E-2</v>
      </c>
      <c r="AU185">
        <v>1.9445843742664968E-3</v>
      </c>
      <c r="AV185">
        <v>2.1408442479061707E-3</v>
      </c>
      <c r="AW185">
        <v>3.3898329563108718E-3</v>
      </c>
      <c r="AX185">
        <v>4.522759473652993E-4</v>
      </c>
      <c r="AY185">
        <v>3.9500938900983279E-4</v>
      </c>
      <c r="BB185">
        <v>3.7704492836813409E-2</v>
      </c>
      <c r="BC185">
        <v>0.10540910539174764</v>
      </c>
      <c r="BE185">
        <v>31349.715714213427</v>
      </c>
      <c r="BF185">
        <v>20.742974390628078</v>
      </c>
      <c r="BG185">
        <v>33299.798520519609</v>
      </c>
      <c r="BH185">
        <v>20.698800625966697</v>
      </c>
    </row>
    <row r="186" spans="3:60" x14ac:dyDescent="0.2">
      <c r="C186" s="138">
        <v>33739.755157744301</v>
      </c>
      <c r="D186" s="138">
        <v>20.661210999256145</v>
      </c>
      <c r="E186" s="138">
        <v>36091.86712357503</v>
      </c>
      <c r="F186" s="138">
        <v>20.626582414294127</v>
      </c>
      <c r="G186" s="138">
        <v>-2352.1119658307289</v>
      </c>
      <c r="H186" s="138">
        <v>3.4628584962018039E-2</v>
      </c>
      <c r="N186" s="138"/>
      <c r="O186" s="138"/>
      <c r="P186" s="138"/>
      <c r="R186">
        <v>84.661765025480634</v>
      </c>
      <c r="S186">
        <v>65.336857237769294</v>
      </c>
      <c r="T186">
        <v>226.88833090350869</v>
      </c>
      <c r="U186">
        <v>77.507981217175058</v>
      </c>
      <c r="X186">
        <v>0.74572260678574787</v>
      </c>
      <c r="Y186">
        <v>0.59660102851785335</v>
      </c>
      <c r="Z186">
        <v>0.77874774127170276</v>
      </c>
      <c r="AA186">
        <v>0.75452403004835156</v>
      </c>
      <c r="AB186">
        <v>0.73071713033849772</v>
      </c>
      <c r="AC186">
        <v>0.64629534899566732</v>
      </c>
      <c r="AD186">
        <v>0.87617923831534894</v>
      </c>
      <c r="AE186">
        <v>0.83323649148882861</v>
      </c>
      <c r="AH186">
        <v>0.15174008905779335</v>
      </c>
      <c r="AI186">
        <v>0.30257563657059661</v>
      </c>
      <c r="AJ186">
        <v>0.17053518513978139</v>
      </c>
      <c r="AK186">
        <v>9.6233941138961443E-2</v>
      </c>
      <c r="AL186">
        <v>8.9718431165403123E-2</v>
      </c>
      <c r="AM186">
        <v>2.8180789903215153E-2</v>
      </c>
      <c r="AN186">
        <v>0.211555943112258</v>
      </c>
      <c r="AO186">
        <v>8.4657602022742529E-2</v>
      </c>
      <c r="AR186">
        <v>9.2343526168037204E-4</v>
      </c>
      <c r="AS186">
        <v>4.667837465472946E-3</v>
      </c>
      <c r="AT186">
        <v>9.9474997648963046E-2</v>
      </c>
      <c r="AU186">
        <v>1.970241384909803E-3</v>
      </c>
      <c r="AV186">
        <v>2.1017973104360266E-3</v>
      </c>
      <c r="AW186">
        <v>3.249975602317962E-3</v>
      </c>
      <c r="AX186">
        <v>3.0132534726033135E-4</v>
      </c>
      <c r="AY186">
        <v>3.2727128861305069E-4</v>
      </c>
      <c r="BB186">
        <v>5.0553446994772377E-2</v>
      </c>
      <c r="BC186">
        <v>5.2916126030756128E-2</v>
      </c>
      <c r="BE186">
        <v>33739.755157744301</v>
      </c>
      <c r="BF186">
        <v>20.661210999256145</v>
      </c>
      <c r="BG186">
        <v>36091.86712357503</v>
      </c>
      <c r="BH186">
        <v>20.626582414294127</v>
      </c>
    </row>
    <row r="187" spans="3:60" x14ac:dyDescent="0.2">
      <c r="C187" s="138">
        <v>26078.708556401525</v>
      </c>
      <c r="D187" s="138">
        <v>20.329778628233431</v>
      </c>
      <c r="E187" s="138">
        <v>28015.900004528718</v>
      </c>
      <c r="F187" s="138">
        <v>20.277928552216643</v>
      </c>
      <c r="G187" s="138">
        <v>-1937.1914481271924</v>
      </c>
      <c r="H187" s="138">
        <v>5.1850076016787483E-2</v>
      </c>
      <c r="N187" s="138"/>
      <c r="O187" s="138"/>
      <c r="P187" s="138"/>
      <c r="R187">
        <v>257.13490767836572</v>
      </c>
      <c r="S187">
        <v>55.998331149410504</v>
      </c>
      <c r="T187">
        <v>266.52902567825703</v>
      </c>
      <c r="U187">
        <v>100.61007784546442</v>
      </c>
      <c r="X187">
        <v>0.86955673281123347</v>
      </c>
      <c r="Y187">
        <v>0.76286779732749188</v>
      </c>
      <c r="Z187">
        <v>0.89264157566443036</v>
      </c>
      <c r="AA187">
        <v>0.77022510833533164</v>
      </c>
      <c r="AB187">
        <v>0.83533479131798316</v>
      </c>
      <c r="AC187">
        <v>0.69543449844818905</v>
      </c>
      <c r="AD187">
        <v>0.89566634921149491</v>
      </c>
      <c r="AE187">
        <v>0.89570660395230139</v>
      </c>
      <c r="AH187">
        <v>7.5869300449589616E-2</v>
      </c>
      <c r="AI187">
        <v>0.14617434998622392</v>
      </c>
      <c r="AJ187">
        <v>0.25122646251049052</v>
      </c>
      <c r="AK187">
        <v>6.41962412077699E-2</v>
      </c>
      <c r="AL187">
        <v>5.7901313424272849E-2</v>
      </c>
      <c r="AM187">
        <v>0.11818071251674378</v>
      </c>
      <c r="AN187">
        <v>3.1370753357789716E-2</v>
      </c>
      <c r="AO187">
        <v>9.9907848921952036E-2</v>
      </c>
      <c r="AR187">
        <v>9.6582849193316278E-4</v>
      </c>
      <c r="AS187">
        <v>4.6531264616845869E-3</v>
      </c>
      <c r="AT187">
        <v>0.10050382429939275</v>
      </c>
      <c r="AU187">
        <v>2.1167955398057048E-3</v>
      </c>
      <c r="AV187">
        <v>1.9343160721393277E-3</v>
      </c>
      <c r="AW187">
        <v>3.5407657656636449E-3</v>
      </c>
      <c r="AX187">
        <v>4.5157040996379738E-4</v>
      </c>
      <c r="AY187">
        <v>4.4359244244212214E-4</v>
      </c>
      <c r="BB187">
        <v>4.6959657181031407E-2</v>
      </c>
      <c r="BC187">
        <v>6.9979978272799226E-2</v>
      </c>
      <c r="BE187">
        <v>26078.708556401525</v>
      </c>
      <c r="BF187">
        <v>20.329778628233431</v>
      </c>
      <c r="BG187">
        <v>28015.900004528718</v>
      </c>
      <c r="BH187">
        <v>20.277928552216643</v>
      </c>
    </row>
    <row r="188" spans="3:60" x14ac:dyDescent="0.2">
      <c r="C188" s="138">
        <v>29084.453813472304</v>
      </c>
      <c r="D188" s="138">
        <v>20.784398906934531</v>
      </c>
      <c r="E188" s="138">
        <v>31308.620092353787</v>
      </c>
      <c r="F188" s="138">
        <v>20.734968283724026</v>
      </c>
      <c r="G188" s="138">
        <v>-2224.1662788814829</v>
      </c>
      <c r="H188" s="138">
        <v>4.9430623210504621E-2</v>
      </c>
      <c r="N188" s="138"/>
      <c r="O188" s="138"/>
      <c r="P188" s="138"/>
      <c r="R188">
        <v>81.729259662265349</v>
      </c>
      <c r="S188">
        <v>69.166373309601497</v>
      </c>
      <c r="T188">
        <v>251.14236627739547</v>
      </c>
      <c r="U188">
        <v>94.280614054303683</v>
      </c>
      <c r="X188">
        <v>0.71704621282720837</v>
      </c>
      <c r="Y188">
        <v>0.80970065652701606</v>
      </c>
      <c r="Z188">
        <v>0.6541870836066791</v>
      </c>
      <c r="AA188">
        <v>0.93136154172682595</v>
      </c>
      <c r="AB188">
        <v>0.96039380154197751</v>
      </c>
      <c r="AC188">
        <v>0.76565002290508777</v>
      </c>
      <c r="AD188">
        <v>0.71443302445783563</v>
      </c>
      <c r="AE188">
        <v>0.77287628077529902</v>
      </c>
      <c r="AH188">
        <v>0.12397644229227489</v>
      </c>
      <c r="AI188">
        <v>6.2909302642994991E-2</v>
      </c>
      <c r="AJ188">
        <v>8.5928127926623743E-2</v>
      </c>
      <c r="AK188">
        <v>0.1057879967411699</v>
      </c>
      <c r="AL188">
        <v>0.17156766426386261</v>
      </c>
      <c r="AM188">
        <v>0.15676662161630051</v>
      </c>
      <c r="AN188">
        <v>0.21263421232050539</v>
      </c>
      <c r="AO188">
        <v>0.12586558294569195</v>
      </c>
      <c r="AR188">
        <v>8.0194933820050952E-4</v>
      </c>
      <c r="AS188">
        <v>4.5974064560723171E-3</v>
      </c>
      <c r="AT188">
        <v>9.9288954381642647E-2</v>
      </c>
      <c r="AU188">
        <v>2.0095967042926821E-3</v>
      </c>
      <c r="AV188">
        <v>1.9693663645329587E-3</v>
      </c>
      <c r="AW188">
        <v>3.546194980280748E-3</v>
      </c>
      <c r="AX188">
        <v>3.6017774011671671E-4</v>
      </c>
      <c r="AY188">
        <v>5.4989714511721743E-4</v>
      </c>
      <c r="BB188">
        <v>5.2354496352269519E-2</v>
      </c>
      <c r="BC188">
        <v>6.698802772227308E-2</v>
      </c>
      <c r="BE188">
        <v>29084.453813472304</v>
      </c>
      <c r="BF188">
        <v>20.784398906934531</v>
      </c>
      <c r="BG188">
        <v>31308.620092353787</v>
      </c>
      <c r="BH188">
        <v>20.734968283724026</v>
      </c>
    </row>
    <row r="189" spans="3:60" x14ac:dyDescent="0.2">
      <c r="C189" s="138">
        <v>34046.488924385332</v>
      </c>
      <c r="D189" s="138">
        <v>21.270364998516929</v>
      </c>
      <c r="E189" s="138">
        <v>36311.168038026866</v>
      </c>
      <c r="F189" s="138">
        <v>21.229524155172193</v>
      </c>
      <c r="G189" s="138">
        <v>-2264.6791136415341</v>
      </c>
      <c r="H189" s="138">
        <v>4.0840843344735589E-2</v>
      </c>
      <c r="N189" s="138"/>
      <c r="O189" s="138"/>
      <c r="P189" s="138"/>
      <c r="R189">
        <v>387.37080621397683</v>
      </c>
      <c r="S189">
        <v>55.912400241563574</v>
      </c>
      <c r="T189">
        <v>230.04072756703923</v>
      </c>
      <c r="U189">
        <v>93.811949830447858</v>
      </c>
      <c r="X189">
        <v>0.4899455956981224</v>
      </c>
      <c r="Y189">
        <v>0.8354573617745924</v>
      </c>
      <c r="Z189">
        <v>0.7134023076873931</v>
      </c>
      <c r="AA189">
        <v>0.6274246718074753</v>
      </c>
      <c r="AB189">
        <v>0.7557087994013002</v>
      </c>
      <c r="AC189">
        <v>0.57631211355312673</v>
      </c>
      <c r="AD189">
        <v>0.62529172993651383</v>
      </c>
      <c r="AE189">
        <v>0.65010634259100719</v>
      </c>
      <c r="AH189">
        <v>1.8923721569088059E-2</v>
      </c>
      <c r="AI189">
        <v>1.9519257845504123E-2</v>
      </c>
      <c r="AJ189">
        <v>0.18729523927244152</v>
      </c>
      <c r="AK189">
        <v>5.5841376194446624E-2</v>
      </c>
      <c r="AL189">
        <v>0.11695715272314144</v>
      </c>
      <c r="AM189">
        <v>1.3775403470627001E-2</v>
      </c>
      <c r="AN189">
        <v>0.2989169492589101</v>
      </c>
      <c r="AO189">
        <v>0.26345190331290824</v>
      </c>
      <c r="AR189">
        <v>8.9906915728299452E-4</v>
      </c>
      <c r="AS189">
        <v>4.1943294282428814E-3</v>
      </c>
      <c r="AT189">
        <v>0.10123900273924336</v>
      </c>
      <c r="AU189">
        <v>1.7726181195574925E-3</v>
      </c>
      <c r="AV189">
        <v>1.9540058204500178E-3</v>
      </c>
      <c r="AW189">
        <v>3.1989603189578474E-3</v>
      </c>
      <c r="AX189">
        <v>3.6272974053171283E-4</v>
      </c>
      <c r="AY189">
        <v>3.604560930413196E-4</v>
      </c>
      <c r="BB189">
        <v>5.4714960770657628E-2</v>
      </c>
      <c r="BC189">
        <v>5.4579125474361723E-2</v>
      </c>
      <c r="BE189">
        <v>34046.488924385332</v>
      </c>
      <c r="BF189">
        <v>21.270364998516929</v>
      </c>
      <c r="BG189">
        <v>36311.168038026866</v>
      </c>
      <c r="BH189">
        <v>21.229524155172193</v>
      </c>
    </row>
    <row r="190" spans="3:60" x14ac:dyDescent="0.2">
      <c r="C190" s="138">
        <v>39433.035238170836</v>
      </c>
      <c r="D190" s="138">
        <v>21.446824990105814</v>
      </c>
      <c r="E190" s="138">
        <v>41775.737100101884</v>
      </c>
      <c r="F190" s="138">
        <v>21.433245143854794</v>
      </c>
      <c r="G190" s="138">
        <v>-2342.7018619310475</v>
      </c>
      <c r="H190" s="138">
        <v>1.357984625101949E-2</v>
      </c>
      <c r="N190" s="138"/>
      <c r="O190" s="138"/>
      <c r="P190" s="138"/>
      <c r="R190">
        <v>166.02257925639475</v>
      </c>
      <c r="S190">
        <v>61.667974912973953</v>
      </c>
      <c r="T190">
        <v>224.22326122073616</v>
      </c>
      <c r="U190">
        <v>112.85139074366141</v>
      </c>
      <c r="X190">
        <v>0.53346693930840328</v>
      </c>
      <c r="Y190">
        <v>0.89724811885471767</v>
      </c>
      <c r="Z190">
        <v>0.92724206410945442</v>
      </c>
      <c r="AA190">
        <v>0.85902078490778633</v>
      </c>
      <c r="AB190">
        <v>0.72885687722294401</v>
      </c>
      <c r="AC190">
        <v>0.74355712239639438</v>
      </c>
      <c r="AD190">
        <v>0.54473546006631024</v>
      </c>
      <c r="AE190">
        <v>0.90280686801113974</v>
      </c>
      <c r="AH190">
        <v>0.10345431640189839</v>
      </c>
      <c r="AI190">
        <v>0.16046588224524649</v>
      </c>
      <c r="AJ190">
        <v>9.6157242777908047E-2</v>
      </c>
      <c r="AK190">
        <v>1.8422718358954593E-2</v>
      </c>
      <c r="AL190">
        <v>5.4621413723936918E-2</v>
      </c>
      <c r="AM190">
        <v>0.10060074300604704</v>
      </c>
      <c r="AN190">
        <v>0.14899195381039509</v>
      </c>
      <c r="AO190">
        <v>5.5605321715078038E-2</v>
      </c>
      <c r="AR190">
        <v>9.5599404314516967E-4</v>
      </c>
      <c r="AS190">
        <v>4.1956227451097625E-3</v>
      </c>
      <c r="AT190">
        <v>9.9918585763396933E-2</v>
      </c>
      <c r="AU190">
        <v>1.8056875317543433E-3</v>
      </c>
      <c r="AV190">
        <v>1.9725868993055833E-3</v>
      </c>
      <c r="AW190">
        <v>3.6736377276082033E-3</v>
      </c>
      <c r="AX190">
        <v>3.2334007035449651E-4</v>
      </c>
      <c r="AY190">
        <v>4.8730747047120992E-4</v>
      </c>
      <c r="BB190">
        <v>4.6123714632484172E-2</v>
      </c>
      <c r="BC190">
        <v>5.4373340212738541E-2</v>
      </c>
      <c r="BE190">
        <v>39433.035238170836</v>
      </c>
      <c r="BF190">
        <v>21.446824990105814</v>
      </c>
      <c r="BG190">
        <v>41775.737100101884</v>
      </c>
      <c r="BH190">
        <v>21.433245143854794</v>
      </c>
    </row>
    <row r="191" spans="3:60" x14ac:dyDescent="0.2">
      <c r="C191" s="138">
        <v>35802.731159462579</v>
      </c>
      <c r="D191" s="138">
        <v>20.96497228112942</v>
      </c>
      <c r="E191" s="138">
        <v>37706.43042391089</v>
      </c>
      <c r="F191" s="138">
        <v>20.923405086464133</v>
      </c>
      <c r="G191" s="138">
        <v>-1903.6992644483107</v>
      </c>
      <c r="H191" s="138">
        <v>4.1567194665287133E-2</v>
      </c>
      <c r="N191" s="138"/>
      <c r="O191" s="138"/>
      <c r="P191" s="138"/>
      <c r="R191">
        <v>260.61958068089587</v>
      </c>
      <c r="S191">
        <v>66.783126939784324</v>
      </c>
      <c r="T191">
        <v>268.04900388104551</v>
      </c>
      <c r="U191">
        <v>86.64646330283054</v>
      </c>
      <c r="X191">
        <v>0.74746371608581474</v>
      </c>
      <c r="Y191">
        <v>0.81697266039056748</v>
      </c>
      <c r="Z191">
        <v>0.86208651015642856</v>
      </c>
      <c r="AA191">
        <v>0.65072137093310223</v>
      </c>
      <c r="AB191">
        <v>0.83425522451792711</v>
      </c>
      <c r="AC191">
        <v>0.62721257064039726</v>
      </c>
      <c r="AD191">
        <v>0.73662205595146524</v>
      </c>
      <c r="AE191">
        <v>0.76219054846118739</v>
      </c>
      <c r="AH191">
        <v>5.0815881534515883E-2</v>
      </c>
      <c r="AI191">
        <v>8.3838410473485836E-2</v>
      </c>
      <c r="AJ191">
        <v>7.6840762684812436E-2</v>
      </c>
      <c r="AK191">
        <v>0.11610944168849646</v>
      </c>
      <c r="AL191">
        <v>0.21315736059479218</v>
      </c>
      <c r="AM191">
        <v>0.11220188009421184</v>
      </c>
      <c r="AN191">
        <v>4.1309097429642727E-2</v>
      </c>
      <c r="AO191">
        <v>0.22427927623958754</v>
      </c>
      <c r="AR191">
        <v>7.0867408502878421E-4</v>
      </c>
      <c r="AS191">
        <v>4.2837686781478559E-3</v>
      </c>
      <c r="AT191">
        <v>0.10092524545520976</v>
      </c>
      <c r="AU191">
        <v>2.0813712149337915E-3</v>
      </c>
      <c r="AV191">
        <v>2.1267242492853944E-3</v>
      </c>
      <c r="AW191">
        <v>3.4795083799692428E-3</v>
      </c>
      <c r="AX191">
        <v>4.0762587258935667E-4</v>
      </c>
      <c r="AY191">
        <v>4.1256588835954895E-4</v>
      </c>
      <c r="BB191">
        <v>4.0688817947742567E-2</v>
      </c>
      <c r="BC191">
        <v>9.1173046925574375E-2</v>
      </c>
      <c r="BE191">
        <v>35802.731159462579</v>
      </c>
      <c r="BF191">
        <v>20.96497228112942</v>
      </c>
      <c r="BG191">
        <v>37706.43042391089</v>
      </c>
      <c r="BH191">
        <v>20.923405086464133</v>
      </c>
    </row>
    <row r="192" spans="3:60" x14ac:dyDescent="0.2">
      <c r="C192" s="138">
        <v>30801.074593317782</v>
      </c>
      <c r="D192" s="138">
        <v>20.435872488422199</v>
      </c>
      <c r="E192" s="138">
        <v>32688.278581944665</v>
      </c>
      <c r="F192" s="138">
        <v>20.386199988913205</v>
      </c>
      <c r="G192" s="138">
        <v>-1887.2039886268831</v>
      </c>
      <c r="H192" s="138">
        <v>4.967249950899344E-2</v>
      </c>
      <c r="N192" s="138"/>
      <c r="O192" s="138"/>
      <c r="P192" s="138"/>
      <c r="R192">
        <v>312.28022678909508</v>
      </c>
      <c r="S192">
        <v>63.976020969055078</v>
      </c>
      <c r="T192">
        <v>226.25529320839308</v>
      </c>
      <c r="U192">
        <v>100.24431708003284</v>
      </c>
      <c r="X192">
        <v>0.79952696511434074</v>
      </c>
      <c r="Y192">
        <v>0.60720116303721783</v>
      </c>
      <c r="Z192">
        <v>0.74160972565690109</v>
      </c>
      <c r="AA192">
        <v>0.55788172262465097</v>
      </c>
      <c r="AB192">
        <v>0.46522859348234707</v>
      </c>
      <c r="AC192">
        <v>0.78973574796480361</v>
      </c>
      <c r="AD192">
        <v>0.80823093512998323</v>
      </c>
      <c r="AE192">
        <v>0.82339925007688131</v>
      </c>
      <c r="AH192">
        <v>0.1632637193694827</v>
      </c>
      <c r="AI192">
        <v>5.5655638905585558E-2</v>
      </c>
      <c r="AJ192">
        <v>8.1848891050433359E-2</v>
      </c>
      <c r="AK192">
        <v>0.16325707209657514</v>
      </c>
      <c r="AL192">
        <v>0.20858907895810774</v>
      </c>
      <c r="AM192">
        <v>0.2069515614954357</v>
      </c>
      <c r="AN192">
        <v>0.14341902832085629</v>
      </c>
      <c r="AO192">
        <v>0.16207688415571331</v>
      </c>
      <c r="AR192">
        <v>8.9477302027318739E-4</v>
      </c>
      <c r="AS192">
        <v>4.2842880587767281E-3</v>
      </c>
      <c r="AT192">
        <v>0.10025200406141399</v>
      </c>
      <c r="AU192">
        <v>1.7991403672835745E-3</v>
      </c>
      <c r="AV192">
        <v>1.8013207052274612E-3</v>
      </c>
      <c r="AW192">
        <v>3.4727245475871804E-3</v>
      </c>
      <c r="AX192">
        <v>4.6295033761645232E-4</v>
      </c>
      <c r="AY192">
        <v>4.2322925082694803E-4</v>
      </c>
      <c r="BB192">
        <v>5.2885433978301588E-2</v>
      </c>
      <c r="BC192">
        <v>5.0385924775179891E-2</v>
      </c>
      <c r="BE192">
        <v>30801.074593317782</v>
      </c>
      <c r="BF192">
        <v>20.435872488422199</v>
      </c>
      <c r="BG192">
        <v>32688.278581944665</v>
      </c>
      <c r="BH192">
        <v>20.386199988913205</v>
      </c>
    </row>
    <row r="193" spans="3:60" x14ac:dyDescent="0.2">
      <c r="C193" s="138">
        <v>29934.692426729845</v>
      </c>
      <c r="D193" s="138">
        <v>21.352784479483763</v>
      </c>
      <c r="E193" s="138">
        <v>31808.024192054338</v>
      </c>
      <c r="F193" s="138">
        <v>21.346163385790302</v>
      </c>
      <c r="G193" s="138">
        <v>-1873.3317653244922</v>
      </c>
      <c r="H193" s="138">
        <v>6.6210936934609776E-3</v>
      </c>
      <c r="N193" s="138"/>
      <c r="O193" s="138"/>
      <c r="P193" s="138"/>
      <c r="R193">
        <v>310.56540882890693</v>
      </c>
      <c r="S193">
        <v>64.329016859654431</v>
      </c>
      <c r="T193">
        <v>247.19791898817033</v>
      </c>
      <c r="U193">
        <v>75.126595123627169</v>
      </c>
      <c r="X193">
        <v>0.81502730750306918</v>
      </c>
      <c r="Y193">
        <v>0.74629179702715165</v>
      </c>
      <c r="Z193">
        <v>0.88775715474943251</v>
      </c>
      <c r="AA193">
        <v>0.80910289463512319</v>
      </c>
      <c r="AB193">
        <v>0.69223410089907589</v>
      </c>
      <c r="AC193">
        <v>0.82571110488911326</v>
      </c>
      <c r="AD193">
        <v>0.84824979040240889</v>
      </c>
      <c r="AE193">
        <v>0.78121367132313146</v>
      </c>
      <c r="AH193">
        <v>1.2858284068247738E-2</v>
      </c>
      <c r="AI193">
        <v>3.525386684343923E-2</v>
      </c>
      <c r="AJ193">
        <v>7.4220877090410808E-2</v>
      </c>
      <c r="AK193">
        <v>3.911184657118616E-2</v>
      </c>
      <c r="AL193">
        <v>8.2254086637820412E-2</v>
      </c>
      <c r="AM193">
        <v>0.19759842435132691</v>
      </c>
      <c r="AN193">
        <v>0.21448830148545006</v>
      </c>
      <c r="AO193">
        <v>9.8360408904592078E-2</v>
      </c>
      <c r="AR193">
        <v>8.0960638826607699E-4</v>
      </c>
      <c r="AS193">
        <v>4.7224331746202886E-3</v>
      </c>
      <c r="AT193">
        <v>9.8679496173123035E-2</v>
      </c>
      <c r="AU193">
        <v>1.6510263520925664E-3</v>
      </c>
      <c r="AV193">
        <v>2.0858097773128748E-3</v>
      </c>
      <c r="AW193">
        <v>3.4256514189571208E-3</v>
      </c>
      <c r="AX193">
        <v>3.6105113072450114E-4</v>
      </c>
      <c r="AY193">
        <v>3.9498902734141743E-4</v>
      </c>
      <c r="BB193">
        <v>5.5933085893889678E-2</v>
      </c>
      <c r="BC193">
        <v>1.3972183973269138E-2</v>
      </c>
      <c r="BE193">
        <v>29934.692426729845</v>
      </c>
      <c r="BF193">
        <v>21.352784479483763</v>
      </c>
      <c r="BG193">
        <v>31808.024192054338</v>
      </c>
      <c r="BH193">
        <v>21.346163385790302</v>
      </c>
    </row>
    <row r="194" spans="3:60" x14ac:dyDescent="0.2">
      <c r="C194" s="138">
        <v>32067.042610962748</v>
      </c>
      <c r="D194" s="138">
        <v>21.174117961020343</v>
      </c>
      <c r="E194" s="138">
        <v>34167.31880345699</v>
      </c>
      <c r="F194" s="138">
        <v>21.189774873194754</v>
      </c>
      <c r="G194" s="138">
        <v>-2100.2761924942424</v>
      </c>
      <c r="H194" s="138">
        <v>-1.5656912174410564E-2</v>
      </c>
      <c r="N194" s="138"/>
      <c r="O194" s="138"/>
      <c r="P194" s="138"/>
      <c r="R194">
        <v>188.01463286231518</v>
      </c>
      <c r="S194">
        <v>64.936755412876082</v>
      </c>
      <c r="T194">
        <v>237.39883996546516</v>
      </c>
      <c r="U194">
        <v>80.584761165960344</v>
      </c>
      <c r="X194">
        <v>0.85674472622887832</v>
      </c>
      <c r="Y194">
        <v>0.54742623816186742</v>
      </c>
      <c r="Z194">
        <v>0.68101229265819574</v>
      </c>
      <c r="AA194">
        <v>0.78683046948027413</v>
      </c>
      <c r="AB194">
        <v>0.75957150527557948</v>
      </c>
      <c r="AC194">
        <v>0.7643708257853784</v>
      </c>
      <c r="AD194">
        <v>0.78915028047465441</v>
      </c>
      <c r="AE194">
        <v>0.81130085989293521</v>
      </c>
      <c r="AH194">
        <v>3.4580000314437531E-2</v>
      </c>
      <c r="AI194">
        <v>0.18246735349308429</v>
      </c>
      <c r="AJ194">
        <v>0.11056965293420551</v>
      </c>
      <c r="AK194">
        <v>9.4028496926675698E-2</v>
      </c>
      <c r="AL194">
        <v>0.19482535236463394</v>
      </c>
      <c r="AM194">
        <v>3.7143536330393689E-2</v>
      </c>
      <c r="AN194">
        <v>0.13432633218287893</v>
      </c>
      <c r="AO194">
        <v>0.11452866245053306</v>
      </c>
      <c r="AR194">
        <v>8.0779509836636447E-4</v>
      </c>
      <c r="AS194">
        <v>4.7643767145348903E-3</v>
      </c>
      <c r="AT194">
        <v>0.10043219704575979</v>
      </c>
      <c r="AU194">
        <v>2.0903880971420152E-3</v>
      </c>
      <c r="AV194">
        <v>2.0214016730601969E-3</v>
      </c>
      <c r="AW194">
        <v>3.5268453487129481E-3</v>
      </c>
      <c r="AX194">
        <v>4.6487598939493058E-4</v>
      </c>
      <c r="AY194">
        <v>4.5515832929021727E-4</v>
      </c>
      <c r="BB194">
        <v>4.99559490620195E-2</v>
      </c>
      <c r="BC194">
        <v>0.11977891496632864</v>
      </c>
      <c r="BE194">
        <v>32067.042610962748</v>
      </c>
      <c r="BF194">
        <v>21.174117961020343</v>
      </c>
      <c r="BG194">
        <v>34167.31880345699</v>
      </c>
      <c r="BH194">
        <v>21.189774873194754</v>
      </c>
    </row>
    <row r="195" spans="3:60" x14ac:dyDescent="0.2">
      <c r="C195" s="138">
        <v>28003.388092129095</v>
      </c>
      <c r="D195" s="138">
        <v>20.582430563727755</v>
      </c>
      <c r="E195" s="138">
        <v>30039.991443367737</v>
      </c>
      <c r="F195" s="138">
        <v>20.546443986586695</v>
      </c>
      <c r="G195" s="138">
        <v>-2036.6033512386421</v>
      </c>
      <c r="H195" s="138">
        <v>3.5986577141059684E-2</v>
      </c>
      <c r="N195" s="138"/>
      <c r="O195" s="138"/>
      <c r="P195" s="138"/>
      <c r="R195">
        <v>201.28958596966703</v>
      </c>
      <c r="S195">
        <v>61.667309191186611</v>
      </c>
      <c r="T195">
        <v>230.18708377908996</v>
      </c>
      <c r="U195">
        <v>89.959444633529785</v>
      </c>
      <c r="X195">
        <v>0.86742000529881524</v>
      </c>
      <c r="Y195">
        <v>0.65758362736831244</v>
      </c>
      <c r="Z195">
        <v>0.82830436834609866</v>
      </c>
      <c r="AA195">
        <v>0.97312484373578667</v>
      </c>
      <c r="AB195">
        <v>0.68252005401787663</v>
      </c>
      <c r="AC195">
        <v>0.92505366873767902</v>
      </c>
      <c r="AD195">
        <v>0.89448633146815215</v>
      </c>
      <c r="AE195">
        <v>0.73952314419671561</v>
      </c>
      <c r="AH195">
        <v>3.9585260830256486E-2</v>
      </c>
      <c r="AI195">
        <v>0.12128731332933962</v>
      </c>
      <c r="AJ195">
        <v>0.22208675465176009</v>
      </c>
      <c r="AK195">
        <v>0.23962994640835245</v>
      </c>
      <c r="AL195">
        <v>1.6545084974797231E-2</v>
      </c>
      <c r="AM195">
        <v>0.15303173106111467</v>
      </c>
      <c r="AN195">
        <v>0.1171110399435118</v>
      </c>
      <c r="AO195">
        <v>0.17897114321360463</v>
      </c>
      <c r="AR195">
        <v>7.7972422754479678E-4</v>
      </c>
      <c r="AS195">
        <v>4.572581945397669E-3</v>
      </c>
      <c r="AT195">
        <v>0.10008360428470531</v>
      </c>
      <c r="AU195">
        <v>2.0622135313835832E-3</v>
      </c>
      <c r="AV195">
        <v>1.9038718386228692E-3</v>
      </c>
      <c r="AW195">
        <v>3.5487760647762157E-3</v>
      </c>
      <c r="AX195">
        <v>3.9463763907150311E-4</v>
      </c>
      <c r="AY195">
        <v>4.6685372987786966E-4</v>
      </c>
      <c r="BB195">
        <v>5.2088984701331609E-2</v>
      </c>
      <c r="BC195">
        <v>4.8142939532941686E-2</v>
      </c>
      <c r="BE195">
        <v>28003.388092129095</v>
      </c>
      <c r="BF195">
        <v>20.582430563727755</v>
      </c>
      <c r="BG195">
        <v>30039.991443367737</v>
      </c>
      <c r="BH195">
        <v>20.546443986586695</v>
      </c>
    </row>
    <row r="196" spans="3:60" x14ac:dyDescent="0.2">
      <c r="C196" s="138">
        <v>28190.974453117746</v>
      </c>
      <c r="D196" s="138">
        <v>20.699688799066845</v>
      </c>
      <c r="E196" s="138">
        <v>30129.636142824857</v>
      </c>
      <c r="F196" s="138">
        <v>20.706517512024782</v>
      </c>
      <c r="G196" s="138">
        <v>-1938.6616897071108</v>
      </c>
      <c r="H196" s="138">
        <v>-6.8287129579367445E-3</v>
      </c>
      <c r="N196" s="138"/>
      <c r="O196" s="138"/>
      <c r="P196" s="138"/>
      <c r="R196">
        <v>60.281261028927844</v>
      </c>
      <c r="S196">
        <v>58.76595481574509</v>
      </c>
      <c r="T196">
        <v>239.60444384046684</v>
      </c>
      <c r="U196">
        <v>89.923213983218915</v>
      </c>
      <c r="X196">
        <v>0.7485820614245462</v>
      </c>
      <c r="Y196">
        <v>0.67204309618283486</v>
      </c>
      <c r="Z196">
        <v>0.73294904196330901</v>
      </c>
      <c r="AA196">
        <v>0.77549484481908104</v>
      </c>
      <c r="AB196">
        <v>0.59681145844897299</v>
      </c>
      <c r="AC196">
        <v>0.69843729730411297</v>
      </c>
      <c r="AD196">
        <v>0.8309963206437545</v>
      </c>
      <c r="AE196">
        <v>0.70434343574903702</v>
      </c>
      <c r="AH196">
        <v>7.9992100103458808E-2</v>
      </c>
      <c r="AI196">
        <v>0.17226041787872737</v>
      </c>
      <c r="AJ196">
        <v>0.14704766743971243</v>
      </c>
      <c r="AK196">
        <v>0.22145601121057312</v>
      </c>
      <c r="AL196">
        <v>0.14887110627928379</v>
      </c>
      <c r="AM196">
        <v>8.1901989571055767E-2</v>
      </c>
      <c r="AN196">
        <v>0.10900304673520145</v>
      </c>
      <c r="AO196">
        <v>5.8579452534906928E-2</v>
      </c>
      <c r="AR196">
        <v>6.6794878214644659E-4</v>
      </c>
      <c r="AS196">
        <v>4.6097348960276729E-3</v>
      </c>
      <c r="AT196">
        <v>9.9374904463573333E-2</v>
      </c>
      <c r="AU196">
        <v>1.9499821569786591E-3</v>
      </c>
      <c r="AV196">
        <v>2.0501474139980047E-3</v>
      </c>
      <c r="AW196">
        <v>3.5043992686012437E-3</v>
      </c>
      <c r="AX196">
        <v>4.6687964823011185E-4</v>
      </c>
      <c r="AY196">
        <v>5.2820540555020834E-4</v>
      </c>
      <c r="BB196">
        <v>5.4789100854773398E-2</v>
      </c>
      <c r="BC196">
        <v>8.3436255053452868E-2</v>
      </c>
      <c r="BE196">
        <v>28190.974453117746</v>
      </c>
      <c r="BF196">
        <v>20.699688799066845</v>
      </c>
      <c r="BG196">
        <v>30129.636142824857</v>
      </c>
      <c r="BH196">
        <v>20.706517512024782</v>
      </c>
    </row>
    <row r="197" spans="3:60" x14ac:dyDescent="0.2">
      <c r="C197" s="138">
        <v>27664.808581679677</v>
      </c>
      <c r="D197" s="138">
        <v>20.673944167317124</v>
      </c>
      <c r="E197" s="138">
        <v>29943.198432532055</v>
      </c>
      <c r="F197" s="138">
        <v>20.642116572275309</v>
      </c>
      <c r="G197" s="138">
        <v>-2278.389850852378</v>
      </c>
      <c r="H197" s="138">
        <v>3.182759504181476E-2</v>
      </c>
      <c r="N197" s="138"/>
      <c r="O197" s="138"/>
      <c r="P197" s="138"/>
      <c r="R197">
        <v>119.05076550059604</v>
      </c>
      <c r="S197">
        <v>59.862902295472416</v>
      </c>
      <c r="T197">
        <v>257.84104549397182</v>
      </c>
      <c r="U197">
        <v>110.85862735634414</v>
      </c>
      <c r="X197">
        <v>0.6545831242900666</v>
      </c>
      <c r="Y197">
        <v>0.88093515821772983</v>
      </c>
      <c r="Z197">
        <v>0.59035319058182201</v>
      </c>
      <c r="AA197">
        <v>0.83216955040829288</v>
      </c>
      <c r="AB197">
        <v>0.60820455716212152</v>
      </c>
      <c r="AC197">
        <v>0.82136810849217845</v>
      </c>
      <c r="AD197">
        <v>0.80120754187879961</v>
      </c>
      <c r="AE197">
        <v>0.72715351624483671</v>
      </c>
      <c r="AH197">
        <v>5.3850271483183554E-2</v>
      </c>
      <c r="AI197">
        <v>6.0898173683930468E-2</v>
      </c>
      <c r="AJ197">
        <v>9.5586749785028458E-2</v>
      </c>
      <c r="AK197">
        <v>0.11249291228173708</v>
      </c>
      <c r="AL197">
        <v>8.8950130871011335E-2</v>
      </c>
      <c r="AM197">
        <v>0.11717358911217768</v>
      </c>
      <c r="AN197">
        <v>2.2639049290582247E-2</v>
      </c>
      <c r="AO197">
        <v>4.1192673355585296E-2</v>
      </c>
      <c r="AR197">
        <v>8.7228343431314411E-4</v>
      </c>
      <c r="AS197">
        <v>4.2922210006342363E-3</v>
      </c>
      <c r="AT197">
        <v>9.9920941332843724E-2</v>
      </c>
      <c r="AU197">
        <v>1.8252392681230546E-3</v>
      </c>
      <c r="AV197">
        <v>2.1599260218448935E-3</v>
      </c>
      <c r="AW197">
        <v>3.261406957013152E-3</v>
      </c>
      <c r="AX197">
        <v>4.5458694227307195E-4</v>
      </c>
      <c r="AY197">
        <v>4.9679860355333894E-4</v>
      </c>
      <c r="BB197">
        <v>5.2580746245343368E-2</v>
      </c>
      <c r="BC197">
        <v>6.668051876833847E-2</v>
      </c>
      <c r="BE197">
        <v>27664.808581679677</v>
      </c>
      <c r="BF197">
        <v>20.673944167317124</v>
      </c>
      <c r="BG197">
        <v>29943.198432532055</v>
      </c>
      <c r="BH197">
        <v>20.642116572275309</v>
      </c>
    </row>
    <row r="198" spans="3:60" x14ac:dyDescent="0.2">
      <c r="C198" s="138">
        <v>29568.56299286701</v>
      </c>
      <c r="D198" s="138">
        <v>21.209772957375133</v>
      </c>
      <c r="E198" s="138">
        <v>31481.54437828088</v>
      </c>
      <c r="F198" s="138">
        <v>21.182068974804718</v>
      </c>
      <c r="G198" s="138">
        <v>-1912.9813854138702</v>
      </c>
      <c r="H198" s="138">
        <v>2.7703982570415064E-2</v>
      </c>
      <c r="N198" s="138"/>
      <c r="O198" s="138"/>
      <c r="P198" s="138"/>
      <c r="R198">
        <v>443.98557536341997</v>
      </c>
      <c r="S198">
        <v>42.7084658025477</v>
      </c>
      <c r="T198">
        <v>262.69599465900848</v>
      </c>
      <c r="U198">
        <v>92.397759972248863</v>
      </c>
      <c r="X198">
        <v>0.7757135181025524</v>
      </c>
      <c r="Y198">
        <v>0.77893067512948155</v>
      </c>
      <c r="Z198">
        <v>0.71940549787994956</v>
      </c>
      <c r="AA198">
        <v>0.92767180680453909</v>
      </c>
      <c r="AB198">
        <v>0.85424298877549543</v>
      </c>
      <c r="AC198">
        <v>0.77040062109320673</v>
      </c>
      <c r="AD198">
        <v>0.81040390621685354</v>
      </c>
      <c r="AE198">
        <v>0.58346162490521569</v>
      </c>
      <c r="AH198">
        <v>3.2955106691687663E-2</v>
      </c>
      <c r="AI198">
        <v>0.16154031275759806</v>
      </c>
      <c r="AJ198">
        <v>0.10777236982668104</v>
      </c>
      <c r="AK198">
        <v>0.19811892265404518</v>
      </c>
      <c r="AL198">
        <v>9.7441735925760664E-2</v>
      </c>
      <c r="AM198">
        <v>0.10693474187531282</v>
      </c>
      <c r="AN198">
        <v>0.1818594896691107</v>
      </c>
      <c r="AO198">
        <v>9.00108673691149E-2</v>
      </c>
      <c r="AR198">
        <v>8.3063763674483813E-4</v>
      </c>
      <c r="AS198">
        <v>4.7280722813193288E-3</v>
      </c>
      <c r="AT198">
        <v>9.9156608285336761E-2</v>
      </c>
      <c r="AU198">
        <v>1.9173610118067624E-3</v>
      </c>
      <c r="AV198">
        <v>2.0234036192527949E-3</v>
      </c>
      <c r="AW198">
        <v>3.3855766100095975E-3</v>
      </c>
      <c r="AX198">
        <v>3.9354954219636559E-4</v>
      </c>
      <c r="AY198">
        <v>3.4396296431100221E-4</v>
      </c>
      <c r="BB198">
        <v>5.5370571510363509E-2</v>
      </c>
      <c r="BC198">
        <v>2.0228911809098731E-2</v>
      </c>
      <c r="BE198">
        <v>29568.56299286701</v>
      </c>
      <c r="BF198">
        <v>21.209772957375133</v>
      </c>
      <c r="BG198">
        <v>31481.54437828088</v>
      </c>
      <c r="BH198">
        <v>21.182068974804718</v>
      </c>
    </row>
    <row r="199" spans="3:60" x14ac:dyDescent="0.2">
      <c r="C199" s="138">
        <v>26498.678755277124</v>
      </c>
      <c r="D199" s="138">
        <v>21.255363645053251</v>
      </c>
      <c r="E199" s="138">
        <v>28060.778976747548</v>
      </c>
      <c r="F199" s="138">
        <v>21.251537386143493</v>
      </c>
      <c r="G199" s="138">
        <v>-1562.100221470424</v>
      </c>
      <c r="H199" s="138">
        <v>3.8262589097577404E-3</v>
      </c>
      <c r="N199" s="138"/>
      <c r="O199" s="138"/>
      <c r="P199" s="138"/>
      <c r="R199">
        <v>434.53046858063038</v>
      </c>
      <c r="S199">
        <v>48.308539970039078</v>
      </c>
      <c r="T199">
        <v>240.60418145146878</v>
      </c>
      <c r="U199">
        <v>88.222850317752403</v>
      </c>
      <c r="X199">
        <v>0.93634398592456836</v>
      </c>
      <c r="Y199">
        <v>0.72823248251582451</v>
      </c>
      <c r="Z199">
        <v>0.82218949315634826</v>
      </c>
      <c r="AA199">
        <v>0.56157952985856507</v>
      </c>
      <c r="AB199">
        <v>0.60171659224950558</v>
      </c>
      <c r="AC199">
        <v>0.8449327994731638</v>
      </c>
      <c r="AD199">
        <v>0.7679002304701571</v>
      </c>
      <c r="AE199">
        <v>0.7718485623706649</v>
      </c>
      <c r="AH199">
        <v>0.21759344215916165</v>
      </c>
      <c r="AI199">
        <v>0.14765097075665334</v>
      </c>
      <c r="AJ199">
        <v>0.12313375343625987</v>
      </c>
      <c r="AK199">
        <v>3.1529904629033934E-2</v>
      </c>
      <c r="AL199">
        <v>8.1244359363075391E-2</v>
      </c>
      <c r="AM199">
        <v>0.15080077482099263</v>
      </c>
      <c r="AN199">
        <v>2.6822971110433524E-2</v>
      </c>
      <c r="AO199">
        <v>5.1564657845061035E-2</v>
      </c>
      <c r="AR199">
        <v>8.7848888362235158E-4</v>
      </c>
      <c r="AS199">
        <v>4.3173905453573833E-3</v>
      </c>
      <c r="AT199">
        <v>0.10104748857762846</v>
      </c>
      <c r="AU199">
        <v>2.2333464382783275E-3</v>
      </c>
      <c r="AV199">
        <v>2.1804550136701462E-3</v>
      </c>
      <c r="AW199">
        <v>3.6681978866546228E-3</v>
      </c>
      <c r="AX199">
        <v>3.9009876416528771E-4</v>
      </c>
      <c r="AY199">
        <v>4.9767596833971695E-4</v>
      </c>
      <c r="BB199">
        <v>4.2525452897837733E-2</v>
      </c>
      <c r="BC199">
        <v>2.6593808109207535E-2</v>
      </c>
      <c r="BE199">
        <v>26498.678755277124</v>
      </c>
      <c r="BF199">
        <v>21.255363645053251</v>
      </c>
      <c r="BG199">
        <v>28060.778976747548</v>
      </c>
      <c r="BH199">
        <v>21.251537386143493</v>
      </c>
    </row>
    <row r="200" spans="3:60" x14ac:dyDescent="0.2">
      <c r="C200" s="138">
        <v>31213.208576654277</v>
      </c>
      <c r="D200" s="138">
        <v>21.038243201357112</v>
      </c>
      <c r="E200" s="138">
        <v>32786.609727432762</v>
      </c>
      <c r="F200" s="138">
        <v>21.00399944294157</v>
      </c>
      <c r="G200" s="138">
        <v>-1573.4011507784853</v>
      </c>
      <c r="H200" s="138">
        <v>3.4243758415541947E-2</v>
      </c>
      <c r="N200" s="138"/>
      <c r="O200" s="138"/>
      <c r="P200" s="138"/>
      <c r="R200">
        <v>295.20056428900159</v>
      </c>
      <c r="S200">
        <v>54.508555425958171</v>
      </c>
      <c r="T200">
        <v>261.79131578671451</v>
      </c>
      <c r="U200">
        <v>78.002010257675849</v>
      </c>
      <c r="X200">
        <v>0.8344955588701306</v>
      </c>
      <c r="Y200">
        <v>0.61898586150780233</v>
      </c>
      <c r="Z200">
        <v>0.94331508896365812</v>
      </c>
      <c r="AA200">
        <v>0.88425405322857975</v>
      </c>
      <c r="AB200">
        <v>0.81339599441272881</v>
      </c>
      <c r="AC200">
        <v>0.44027042921077825</v>
      </c>
      <c r="AD200">
        <v>0.96559464454567845</v>
      </c>
      <c r="AE200">
        <v>0.76604699667677711</v>
      </c>
      <c r="AH200">
        <v>0.14104689449888708</v>
      </c>
      <c r="AI200">
        <v>0.21564799452653061</v>
      </c>
      <c r="AJ200">
        <v>0.12564458906999088</v>
      </c>
      <c r="AK200">
        <v>9.7553775121846709E-2</v>
      </c>
      <c r="AL200">
        <v>0.21503584172993584</v>
      </c>
      <c r="AM200">
        <v>3.0017448023762272E-2</v>
      </c>
      <c r="AN200">
        <v>4.1676189881571291E-2</v>
      </c>
      <c r="AO200">
        <v>0.14204922093048089</v>
      </c>
      <c r="AR200">
        <v>7.4993492319549537E-4</v>
      </c>
      <c r="AS200">
        <v>4.5242906572334762E-3</v>
      </c>
      <c r="AT200">
        <v>9.9509361855683792E-2</v>
      </c>
      <c r="AU200">
        <v>2.0754519693717555E-3</v>
      </c>
      <c r="AV200">
        <v>2.1023880278527862E-3</v>
      </c>
      <c r="AW200">
        <v>3.3712672976176435E-3</v>
      </c>
      <c r="AX200">
        <v>3.4082609332052049E-4</v>
      </c>
      <c r="AY200">
        <v>3.8284147760014176E-4</v>
      </c>
      <c r="BB200">
        <v>5.1672482516792795E-2</v>
      </c>
      <c r="BC200">
        <v>4.1015237250476733E-2</v>
      </c>
      <c r="BE200">
        <v>31213.208576654277</v>
      </c>
      <c r="BF200">
        <v>21.038243201357112</v>
      </c>
      <c r="BG200">
        <v>32786.609727432762</v>
      </c>
      <c r="BH200">
        <v>21.00399944294157</v>
      </c>
    </row>
    <row r="201" spans="3:60" x14ac:dyDescent="0.2">
      <c r="C201" s="138">
        <v>30446.041322355955</v>
      </c>
      <c r="D201" s="138">
        <v>21.792800806755725</v>
      </c>
      <c r="E201" s="138">
        <v>32226.589011084809</v>
      </c>
      <c r="F201" s="138">
        <v>21.802402669772487</v>
      </c>
      <c r="G201" s="138">
        <v>-1780.5476887288532</v>
      </c>
      <c r="H201" s="138">
        <v>-9.6018630167620245E-3</v>
      </c>
      <c r="N201" s="138"/>
      <c r="O201" s="138"/>
      <c r="P201" s="138"/>
      <c r="R201">
        <v>224.72605512143724</v>
      </c>
      <c r="S201">
        <v>52.678767389076206</v>
      </c>
      <c r="T201">
        <v>265.7133547629719</v>
      </c>
      <c r="U201">
        <v>104.9360941176318</v>
      </c>
      <c r="X201">
        <v>0.61592347550505699</v>
      </c>
      <c r="Y201">
        <v>0.50338039911003374</v>
      </c>
      <c r="Z201">
        <v>0.65032026377559216</v>
      </c>
      <c r="AA201">
        <v>0.95007728156655546</v>
      </c>
      <c r="AB201">
        <v>0.5075721112965581</v>
      </c>
      <c r="AC201">
        <v>0.92411336568061186</v>
      </c>
      <c r="AD201">
        <v>0.45541600056630394</v>
      </c>
      <c r="AE201">
        <v>0.67699413152454635</v>
      </c>
      <c r="AH201">
        <v>4.9846934476282523E-2</v>
      </c>
      <c r="AI201">
        <v>0.23861847980447692</v>
      </c>
      <c r="AJ201">
        <v>0.25349455388023567</v>
      </c>
      <c r="AK201">
        <v>5.4993637995304545E-2</v>
      </c>
      <c r="AL201">
        <v>7.1520171803978627E-2</v>
      </c>
      <c r="AM201">
        <v>2.3678081284625785E-2</v>
      </c>
      <c r="AN201">
        <v>0.25781826307045608</v>
      </c>
      <c r="AO201">
        <v>7.3239442189872661E-2</v>
      </c>
      <c r="AR201">
        <v>9.4874294178681762E-4</v>
      </c>
      <c r="AS201">
        <v>4.2654259208108787E-3</v>
      </c>
      <c r="AT201">
        <v>9.9190189345331373E-2</v>
      </c>
      <c r="AU201">
        <v>1.8626857459981135E-3</v>
      </c>
      <c r="AV201">
        <v>1.8490073603541894E-3</v>
      </c>
      <c r="AW201">
        <v>3.317778984281896E-3</v>
      </c>
      <c r="AX201">
        <v>4.6787588644414679E-4</v>
      </c>
      <c r="AY201">
        <v>3.991814686208526E-4</v>
      </c>
      <c r="BB201">
        <v>5.0155654803612393E-2</v>
      </c>
      <c r="BC201">
        <v>0.12884308934252076</v>
      </c>
      <c r="BE201">
        <v>30446.041322355955</v>
      </c>
      <c r="BF201">
        <v>21.792800806755725</v>
      </c>
      <c r="BG201">
        <v>32226.589011084809</v>
      </c>
      <c r="BH201">
        <v>21.802402669772487</v>
      </c>
    </row>
    <row r="202" spans="3:60" x14ac:dyDescent="0.2">
      <c r="C202" s="138">
        <v>29685.810314601455</v>
      </c>
      <c r="D202" s="138">
        <v>21.231807720377549</v>
      </c>
      <c r="E202" s="138">
        <v>31390.991638083593</v>
      </c>
      <c r="F202" s="138">
        <v>21.211591254702803</v>
      </c>
      <c r="G202" s="138">
        <v>-1705.1813234821384</v>
      </c>
      <c r="H202" s="138">
        <v>2.0216465674746331E-2</v>
      </c>
      <c r="N202" s="138"/>
      <c r="O202" s="138"/>
      <c r="P202" s="138"/>
      <c r="R202">
        <v>224.01851529538939</v>
      </c>
      <c r="S202">
        <v>69.371826354877228</v>
      </c>
      <c r="T202">
        <v>252.0114221314189</v>
      </c>
      <c r="U202">
        <v>103.21503723812877</v>
      </c>
      <c r="X202">
        <v>0.75524052256459528</v>
      </c>
      <c r="Y202">
        <v>0.78162795096503146</v>
      </c>
      <c r="Z202">
        <v>0.70584043791741546</v>
      </c>
      <c r="AA202">
        <v>0.90645716683046196</v>
      </c>
      <c r="AB202">
        <v>0.87610168074997508</v>
      </c>
      <c r="AC202">
        <v>0.62472962498680518</v>
      </c>
      <c r="AD202">
        <v>0.7426673590654278</v>
      </c>
      <c r="AE202">
        <v>0.97645363266876872</v>
      </c>
      <c r="AH202">
        <v>4.286108217225526E-2</v>
      </c>
      <c r="AI202">
        <v>0.14474131547433211</v>
      </c>
      <c r="AJ202">
        <v>1.5935161581704271E-2</v>
      </c>
      <c r="AK202">
        <v>0.14691571755805732</v>
      </c>
      <c r="AL202">
        <v>7.7567714607114424E-2</v>
      </c>
      <c r="AM202">
        <v>0.25831913033499498</v>
      </c>
      <c r="AN202">
        <v>0.23261859733586232</v>
      </c>
      <c r="AO202">
        <v>9.7208588374664506E-2</v>
      </c>
      <c r="AR202">
        <v>8.4198745973655393E-4</v>
      </c>
      <c r="AS202">
        <v>4.804984697657888E-3</v>
      </c>
      <c r="AT202">
        <v>0.10084848594434337</v>
      </c>
      <c r="AU202">
        <v>2.2041654836899571E-3</v>
      </c>
      <c r="AV202">
        <v>2.1032606113021712E-3</v>
      </c>
      <c r="AW202">
        <v>3.1225453051494253E-3</v>
      </c>
      <c r="AX202">
        <v>3.5399036818593692E-4</v>
      </c>
      <c r="AY202">
        <v>4.6867596491528829E-4</v>
      </c>
      <c r="BB202">
        <v>3.9874114453336933E-2</v>
      </c>
      <c r="BC202">
        <v>2.2607423932755551E-2</v>
      </c>
      <c r="BE202">
        <v>29685.810314601455</v>
      </c>
      <c r="BF202">
        <v>21.231807720377549</v>
      </c>
      <c r="BG202">
        <v>31390.991638083593</v>
      </c>
      <c r="BH202">
        <v>21.211591254702803</v>
      </c>
    </row>
    <row r="203" spans="3:60" x14ac:dyDescent="0.2">
      <c r="C203" s="138">
        <v>35770.913080824612</v>
      </c>
      <c r="D203" s="138">
        <v>20.34264766642611</v>
      </c>
      <c r="E203" s="138">
        <v>38265.450151621873</v>
      </c>
      <c r="F203" s="138">
        <v>20.310335055508659</v>
      </c>
      <c r="G203" s="138">
        <v>-2494.5370707972615</v>
      </c>
      <c r="H203" s="138">
        <v>3.2312610917450968E-2</v>
      </c>
      <c r="N203" s="138"/>
      <c r="O203" s="138"/>
      <c r="P203" s="138"/>
      <c r="R203">
        <v>191.39302855159403</v>
      </c>
      <c r="S203">
        <v>60.515458596795639</v>
      </c>
      <c r="T203">
        <v>217.96447964282206</v>
      </c>
      <c r="U203">
        <v>98.363751628069238</v>
      </c>
      <c r="X203">
        <v>0.65732442101095412</v>
      </c>
      <c r="Y203">
        <v>0.80862602612335321</v>
      </c>
      <c r="Z203">
        <v>0.78319595791284491</v>
      </c>
      <c r="AA203">
        <v>0.82342860160641163</v>
      </c>
      <c r="AB203">
        <v>0.69123083669575924</v>
      </c>
      <c r="AC203">
        <v>0.77505346169255174</v>
      </c>
      <c r="AD203">
        <v>0.64290190691362414</v>
      </c>
      <c r="AE203">
        <v>0.79770774703334613</v>
      </c>
      <c r="AH203">
        <v>5.3463223894771095E-2</v>
      </c>
      <c r="AI203">
        <v>0.13032211725058307</v>
      </c>
      <c r="AJ203">
        <v>0.16526231602068808</v>
      </c>
      <c r="AK203">
        <v>5.0156947320084244E-2</v>
      </c>
      <c r="AL203">
        <v>0.1904731566987331</v>
      </c>
      <c r="AM203">
        <v>0.13442687715023383</v>
      </c>
      <c r="AN203">
        <v>0.10043086127042256</v>
      </c>
      <c r="AO203">
        <v>0.16823305202286798</v>
      </c>
      <c r="AR203">
        <v>7.8884524850655609E-4</v>
      </c>
      <c r="AS203">
        <v>4.7113779179178694E-3</v>
      </c>
      <c r="AT203">
        <v>9.8994380678771352E-2</v>
      </c>
      <c r="AU203">
        <v>2.1618238553428037E-3</v>
      </c>
      <c r="AV203">
        <v>1.6975447911923183E-3</v>
      </c>
      <c r="AW203">
        <v>3.2483044753625701E-3</v>
      </c>
      <c r="AX203">
        <v>3.3715151477285628E-4</v>
      </c>
      <c r="AY203">
        <v>5.2264860268058655E-4</v>
      </c>
      <c r="BB203">
        <v>4.8328755444373435E-2</v>
      </c>
      <c r="BC203">
        <v>5.143899571964039E-2</v>
      </c>
      <c r="BE203">
        <v>35770.913080824612</v>
      </c>
      <c r="BF203">
        <v>20.34264766642611</v>
      </c>
      <c r="BG203">
        <v>38265.450151621873</v>
      </c>
      <c r="BH203">
        <v>20.310335055508659</v>
      </c>
    </row>
    <row r="204" spans="3:60" x14ac:dyDescent="0.2">
      <c r="C204" s="138">
        <v>28263.922664360034</v>
      </c>
      <c r="D204" s="138">
        <v>21.611192462745841</v>
      </c>
      <c r="E204" s="138">
        <v>30747.169334391972</v>
      </c>
      <c r="F204" s="138">
        <v>21.638090869701188</v>
      </c>
      <c r="G204" s="138">
        <v>-2483.2466700319383</v>
      </c>
      <c r="H204" s="138">
        <v>-2.6898406955346843E-2</v>
      </c>
      <c r="N204" s="138"/>
      <c r="O204" s="138"/>
      <c r="P204" s="138"/>
      <c r="R204">
        <v>175.33153186827161</v>
      </c>
      <c r="S204">
        <v>55.344986711012794</v>
      </c>
      <c r="T204">
        <v>244.5706440288167</v>
      </c>
      <c r="U204">
        <v>107.64022477487092</v>
      </c>
      <c r="X204">
        <v>0.90388651815191179</v>
      </c>
      <c r="Y204">
        <v>0.82528859148201339</v>
      </c>
      <c r="Z204">
        <v>0.52366200039081978</v>
      </c>
      <c r="AA204">
        <v>0.61152498379626907</v>
      </c>
      <c r="AB204">
        <v>0.5289681442980706</v>
      </c>
      <c r="AC204">
        <v>0.72559186598017567</v>
      </c>
      <c r="AD204">
        <v>0.5436321297780744</v>
      </c>
      <c r="AE204">
        <v>0.84186653186041926</v>
      </c>
      <c r="AH204">
        <v>5.6542896078668026E-2</v>
      </c>
      <c r="AI204">
        <v>5.9564146214290847E-2</v>
      </c>
      <c r="AJ204">
        <v>0.12364048926921811</v>
      </c>
      <c r="AK204">
        <v>6.2597631322916292E-2</v>
      </c>
      <c r="AL204">
        <v>0.12730978300378148</v>
      </c>
      <c r="AM204">
        <v>4.275625276019801E-2</v>
      </c>
      <c r="AN204">
        <v>0.3043961924723696</v>
      </c>
      <c r="AO204">
        <v>0.16069308025037854</v>
      </c>
      <c r="AR204">
        <v>1.0571456295004333E-3</v>
      </c>
      <c r="AS204">
        <v>4.6982007082818633E-3</v>
      </c>
      <c r="AT204">
        <v>0.10022451898946783</v>
      </c>
      <c r="AU204">
        <v>2.1813789280976659E-3</v>
      </c>
      <c r="AV204">
        <v>2.1959269060184416E-3</v>
      </c>
      <c r="AW204">
        <v>3.7130199924773066E-3</v>
      </c>
      <c r="AX204">
        <v>3.8260150838335819E-4</v>
      </c>
      <c r="AY204">
        <v>3.6218985148377814E-4</v>
      </c>
      <c r="BB204">
        <v>4.8181381710557608E-2</v>
      </c>
      <c r="BC204">
        <v>4.2423204587374114E-2</v>
      </c>
      <c r="BE204">
        <v>28263.922664360034</v>
      </c>
      <c r="BF204">
        <v>21.611192462745841</v>
      </c>
      <c r="BG204">
        <v>30747.169334391972</v>
      </c>
      <c r="BH204">
        <v>21.638090869701188</v>
      </c>
    </row>
    <row r="205" spans="3:60" x14ac:dyDescent="0.2">
      <c r="C205" s="138">
        <v>30466.724419704897</v>
      </c>
      <c r="D205" s="138">
        <v>20.939484356440605</v>
      </c>
      <c r="E205" s="138">
        <v>32668.27386122823</v>
      </c>
      <c r="F205" s="138">
        <v>20.899791488972234</v>
      </c>
      <c r="G205" s="138">
        <v>-2201.5494415233334</v>
      </c>
      <c r="H205" s="138">
        <v>3.9692867468371418E-2</v>
      </c>
      <c r="N205" s="138"/>
      <c r="O205" s="138"/>
      <c r="P205" s="138"/>
      <c r="R205">
        <v>216.90386778881756</v>
      </c>
      <c r="S205">
        <v>65.181658627198644</v>
      </c>
      <c r="T205">
        <v>221.17819384050355</v>
      </c>
      <c r="U205">
        <v>113.81864638119073</v>
      </c>
      <c r="X205">
        <v>0.7983304543771742</v>
      </c>
      <c r="Y205">
        <v>0.68984607848104151</v>
      </c>
      <c r="Z205">
        <v>0.6260633365454481</v>
      </c>
      <c r="AA205">
        <v>0.86425881208609256</v>
      </c>
      <c r="AB205">
        <v>0.76577497382365778</v>
      </c>
      <c r="AC205">
        <v>0.73390244357604006</v>
      </c>
      <c r="AD205">
        <v>0.60238986257904581</v>
      </c>
      <c r="AE205">
        <v>0.63900016986354624</v>
      </c>
      <c r="AH205">
        <v>2.8375759551947599E-2</v>
      </c>
      <c r="AI205">
        <v>0.13517680065375637</v>
      </c>
      <c r="AJ205">
        <v>2.1542694310052068E-2</v>
      </c>
      <c r="AK205">
        <v>0.1346969253261604</v>
      </c>
      <c r="AL205">
        <v>4.0675173988429902E-2</v>
      </c>
      <c r="AM205">
        <v>0.19680732698124415</v>
      </c>
      <c r="AN205">
        <v>0.10552634292576868</v>
      </c>
      <c r="AO205">
        <v>0.23622371386988172</v>
      </c>
      <c r="AR205">
        <v>8.1731445586795469E-4</v>
      </c>
      <c r="AS205">
        <v>4.4100528599922851E-3</v>
      </c>
      <c r="AT205">
        <v>9.9042324207808188E-2</v>
      </c>
      <c r="AU205">
        <v>2.1429842001717825E-3</v>
      </c>
      <c r="AV205">
        <v>1.8469524881858802E-3</v>
      </c>
      <c r="AW205">
        <v>3.4889336091561418E-3</v>
      </c>
      <c r="AX205">
        <v>4.0834171639281269E-4</v>
      </c>
      <c r="AY205">
        <v>3.7410360654452238E-4</v>
      </c>
      <c r="BB205">
        <v>4.9819347716584583E-2</v>
      </c>
      <c r="BC205">
        <v>8.0213927857935019E-2</v>
      </c>
      <c r="BE205">
        <v>30466.724419704897</v>
      </c>
      <c r="BF205">
        <v>20.939484356440605</v>
      </c>
      <c r="BG205">
        <v>32668.27386122823</v>
      </c>
      <c r="BH205">
        <v>20.899791488972234</v>
      </c>
    </row>
    <row r="206" spans="3:60" x14ac:dyDescent="0.2">
      <c r="C206" s="138">
        <v>26193.104782360042</v>
      </c>
      <c r="D206" s="138">
        <v>20.832750044534535</v>
      </c>
      <c r="E206" s="138">
        <v>27801.152934353398</v>
      </c>
      <c r="F206" s="138">
        <v>20.813446647270119</v>
      </c>
      <c r="G206" s="138">
        <v>-1608.0481519933564</v>
      </c>
      <c r="H206" s="138">
        <v>1.9303397264415878E-2</v>
      </c>
      <c r="N206" s="138"/>
      <c r="O206" s="138"/>
      <c r="P206" s="138"/>
      <c r="R206">
        <v>276.47429902549032</v>
      </c>
      <c r="S206">
        <v>62.788264580082298</v>
      </c>
      <c r="T206">
        <v>227.1830700560632</v>
      </c>
      <c r="U206">
        <v>90.151573388861934</v>
      </c>
      <c r="X206">
        <v>0.67826250912282104</v>
      </c>
      <c r="Y206">
        <v>0.73855492794753419</v>
      </c>
      <c r="Z206">
        <v>0.64548029353907466</v>
      </c>
      <c r="AA206">
        <v>0.79526758879923498</v>
      </c>
      <c r="AB206">
        <v>0.72733801433817702</v>
      </c>
      <c r="AC206">
        <v>0.83017670400547461</v>
      </c>
      <c r="AD206">
        <v>0.59373412667634295</v>
      </c>
      <c r="AE206">
        <v>0.74805485959820373</v>
      </c>
      <c r="AH206">
        <v>0.11276152381383986</v>
      </c>
      <c r="AI206">
        <v>7.1826643316925676E-2</v>
      </c>
      <c r="AJ206">
        <v>3.1376710387983731E-2</v>
      </c>
      <c r="AK206">
        <v>0.12299277041951895</v>
      </c>
      <c r="AL206">
        <v>7.9254944380678261E-2</v>
      </c>
      <c r="AM206">
        <v>0.10830082609539415</v>
      </c>
      <c r="AN206">
        <v>0.13005276586279013</v>
      </c>
      <c r="AO206">
        <v>0.23422903309361265</v>
      </c>
      <c r="AR206">
        <v>8.7030511056955214E-4</v>
      </c>
      <c r="AS206">
        <v>4.5478069167802504E-3</v>
      </c>
      <c r="AT206">
        <v>0.10107902129407098</v>
      </c>
      <c r="AU206">
        <v>2.0254771638847924E-3</v>
      </c>
      <c r="AV206">
        <v>1.8276373061774534E-3</v>
      </c>
      <c r="AW206">
        <v>3.538955538168187E-3</v>
      </c>
      <c r="AX206">
        <v>3.6976759096544104E-4</v>
      </c>
      <c r="AY206">
        <v>6.0399483719508762E-4</v>
      </c>
      <c r="BB206">
        <v>4.4849822176922086E-2</v>
      </c>
      <c r="BC206">
        <v>5.417636936102832E-2</v>
      </c>
      <c r="BE206">
        <v>26193.104782360042</v>
      </c>
      <c r="BF206">
        <v>20.832750044534535</v>
      </c>
      <c r="BG206">
        <v>27801.152934353398</v>
      </c>
      <c r="BH206">
        <v>20.813446647270119</v>
      </c>
    </row>
    <row r="207" spans="3:60" x14ac:dyDescent="0.2">
      <c r="C207" s="138">
        <v>30074.163591187662</v>
      </c>
      <c r="D207" s="138">
        <v>21.334824240983203</v>
      </c>
      <c r="E207" s="138">
        <v>32462.230198299421</v>
      </c>
      <c r="F207" s="138">
        <v>21.315583287020189</v>
      </c>
      <c r="G207" s="138">
        <v>-2388.0666071117594</v>
      </c>
      <c r="H207" s="138">
        <v>1.9240953963013396E-2</v>
      </c>
      <c r="N207" s="138"/>
      <c r="O207" s="138"/>
      <c r="P207" s="138"/>
      <c r="R207">
        <v>255.13412776753637</v>
      </c>
      <c r="S207">
        <v>60.264537204009862</v>
      </c>
      <c r="T207">
        <v>256.9370401715617</v>
      </c>
      <c r="U207">
        <v>102.22983728506723</v>
      </c>
      <c r="X207">
        <v>0.45783792887354202</v>
      </c>
      <c r="Y207">
        <v>0.6244765644354705</v>
      </c>
      <c r="Z207">
        <v>0.61096628747062132</v>
      </c>
      <c r="AA207">
        <v>0.46840956724726507</v>
      </c>
      <c r="AB207">
        <v>0.7421218044495832</v>
      </c>
      <c r="AC207">
        <v>0.83522495824560883</v>
      </c>
      <c r="AD207">
        <v>0.82509646213711507</v>
      </c>
      <c r="AE207">
        <v>0.88070493990406884</v>
      </c>
      <c r="AH207">
        <v>2.5050424153297834E-2</v>
      </c>
      <c r="AI207">
        <v>9.3950035363963069E-2</v>
      </c>
      <c r="AJ207">
        <v>2.5489942709430613E-2</v>
      </c>
      <c r="AK207">
        <v>5.2536942059356329E-2</v>
      </c>
      <c r="AL207">
        <v>3.3601485757511762E-2</v>
      </c>
      <c r="AM207">
        <v>0.12243432989671055</v>
      </c>
      <c r="AN207">
        <v>0.25263070157504086</v>
      </c>
      <c r="AO207">
        <v>2.0397554818924135E-2</v>
      </c>
      <c r="AR207">
        <v>8.109813723989782E-4</v>
      </c>
      <c r="AS207">
        <v>4.8374774236258355E-3</v>
      </c>
      <c r="AT207">
        <v>0.10005628126882637</v>
      </c>
      <c r="AU207">
        <v>1.9954385961036556E-3</v>
      </c>
      <c r="AV207">
        <v>2.2130189641523801E-3</v>
      </c>
      <c r="AW207">
        <v>3.5841367058637719E-3</v>
      </c>
      <c r="AX207">
        <v>4.3037009265878279E-4</v>
      </c>
      <c r="AY207">
        <v>4.3912560615517028E-4</v>
      </c>
      <c r="BB207">
        <v>5.3379300156308318E-2</v>
      </c>
      <c r="BC207">
        <v>4.0779580781956114E-2</v>
      </c>
      <c r="BE207">
        <v>30074.163591187662</v>
      </c>
      <c r="BF207">
        <v>21.334824240983203</v>
      </c>
      <c r="BG207">
        <v>32462.230198299421</v>
      </c>
      <c r="BH207">
        <v>21.315583287020189</v>
      </c>
    </row>
    <row r="208" spans="3:60" x14ac:dyDescent="0.2">
      <c r="C208" s="138">
        <v>25953.350951666438</v>
      </c>
      <c r="D208" s="138">
        <v>21.22336060687395</v>
      </c>
      <c r="E208" s="138">
        <v>27737.036960092708</v>
      </c>
      <c r="F208" s="138">
        <v>21.235445291372059</v>
      </c>
      <c r="G208" s="138">
        <v>-1783.6860084262698</v>
      </c>
      <c r="H208" s="138">
        <v>-1.208468449810951E-2</v>
      </c>
      <c r="N208" s="138"/>
      <c r="O208" s="138"/>
      <c r="P208" s="138"/>
      <c r="R208">
        <v>459.89329246429929</v>
      </c>
      <c r="S208">
        <v>58.056524597546961</v>
      </c>
      <c r="T208">
        <v>257.06278133309667</v>
      </c>
      <c r="U208">
        <v>90.089871436107003</v>
      </c>
      <c r="X208">
        <v>0.72362028089845742</v>
      </c>
      <c r="Y208">
        <v>0.6610889057344993</v>
      </c>
      <c r="Z208">
        <v>0.71026671885736314</v>
      </c>
      <c r="AA208">
        <v>0.46308540926730762</v>
      </c>
      <c r="AB208">
        <v>0.70410467373537233</v>
      </c>
      <c r="AC208">
        <v>0.8335596028803911</v>
      </c>
      <c r="AD208">
        <v>0.58240527898892314</v>
      </c>
      <c r="AE208">
        <v>0.79050735797202032</v>
      </c>
      <c r="AH208">
        <v>0.21552732629736315</v>
      </c>
      <c r="AI208">
        <v>0.11391694238457473</v>
      </c>
      <c r="AJ208">
        <v>8.2030781975295675E-2</v>
      </c>
      <c r="AK208">
        <v>2.5059725651547238E-2</v>
      </c>
      <c r="AL208">
        <v>9.8617925158319797E-2</v>
      </c>
      <c r="AM208">
        <v>5.0817812924582206E-2</v>
      </c>
      <c r="AN208">
        <v>4.4357710062841615E-2</v>
      </c>
      <c r="AO208">
        <v>8.2633461411931064E-2</v>
      </c>
      <c r="AR208">
        <v>9.3316755661454476E-4</v>
      </c>
      <c r="AS208">
        <v>4.5326975578320328E-3</v>
      </c>
      <c r="AT208">
        <v>9.9155809210396073E-2</v>
      </c>
      <c r="AU208">
        <v>1.8747039640234864E-3</v>
      </c>
      <c r="AV208">
        <v>2.0044137672481366E-3</v>
      </c>
      <c r="AW208">
        <v>3.371593318397462E-3</v>
      </c>
      <c r="AX208">
        <v>5.4089347724783909E-4</v>
      </c>
      <c r="AY208">
        <v>4.4264464797118708E-4</v>
      </c>
      <c r="BB208">
        <v>4.8241411261409316E-2</v>
      </c>
      <c r="BC208">
        <v>4.25217729563259E-2</v>
      </c>
      <c r="BE208">
        <v>25953.350951666438</v>
      </c>
      <c r="BF208">
        <v>21.22336060687395</v>
      </c>
      <c r="BG208">
        <v>27737.036960092708</v>
      </c>
      <c r="BH208">
        <v>21.235445291372059</v>
      </c>
    </row>
    <row r="209" spans="3:60" x14ac:dyDescent="0.2">
      <c r="C209" s="138">
        <v>30852.148510375311</v>
      </c>
      <c r="D209" s="138">
        <v>21.338387294348749</v>
      </c>
      <c r="E209" s="138">
        <v>32826.119346193387</v>
      </c>
      <c r="F209" s="138">
        <v>21.358370472333753</v>
      </c>
      <c r="G209" s="138">
        <v>-1973.970835818076</v>
      </c>
      <c r="H209" s="138">
        <v>-1.9983177985004374E-2</v>
      </c>
      <c r="N209" s="138"/>
      <c r="O209" s="138"/>
      <c r="P209" s="138"/>
      <c r="R209">
        <v>74.677978375875426</v>
      </c>
      <c r="S209">
        <v>68.164605007732362</v>
      </c>
      <c r="T209">
        <v>275.90839118693862</v>
      </c>
      <c r="U209">
        <v>88.119834606702938</v>
      </c>
      <c r="X209">
        <v>0.80963834337198337</v>
      </c>
      <c r="Y209">
        <v>0.8087344952169454</v>
      </c>
      <c r="Z209">
        <v>0.84179360181385343</v>
      </c>
      <c r="AA209">
        <v>0.86412859822613575</v>
      </c>
      <c r="AB209">
        <v>0.49155768223261281</v>
      </c>
      <c r="AC209">
        <v>0.77930171762583078</v>
      </c>
      <c r="AD209">
        <v>0.74640697213217244</v>
      </c>
      <c r="AE209">
        <v>0.69308282838362045</v>
      </c>
      <c r="AH209">
        <v>0.17255599948574263</v>
      </c>
      <c r="AI209">
        <v>0.16121808537667859</v>
      </c>
      <c r="AJ209">
        <v>0.14067835350251312</v>
      </c>
      <c r="AK209">
        <v>0.12164554643695047</v>
      </c>
      <c r="AL209">
        <v>2.2432602007180558E-2</v>
      </c>
      <c r="AM209">
        <v>5.853665190129953E-2</v>
      </c>
      <c r="AN209">
        <v>5.4821148265478903E-2</v>
      </c>
      <c r="AO209">
        <v>6.0080246115397751E-2</v>
      </c>
      <c r="AR209">
        <v>8.1680222430582071E-4</v>
      </c>
      <c r="AS209">
        <v>4.0938170365632754E-3</v>
      </c>
      <c r="AT209">
        <v>9.8778390202067579E-2</v>
      </c>
      <c r="AU209">
        <v>1.73316803159998E-3</v>
      </c>
      <c r="AV209">
        <v>1.9410063948536083E-3</v>
      </c>
      <c r="AW209">
        <v>3.5422182652737888E-3</v>
      </c>
      <c r="AX209">
        <v>3.4700773452188774E-4</v>
      </c>
      <c r="AY209">
        <v>4.464446194332619E-4</v>
      </c>
      <c r="BB209">
        <v>5.0626800378093972E-2</v>
      </c>
      <c r="BC209">
        <v>7.7050606821895906E-2</v>
      </c>
      <c r="BE209">
        <v>30852.148510375311</v>
      </c>
      <c r="BF209">
        <v>21.338387294348749</v>
      </c>
      <c r="BG209">
        <v>32826.119346193387</v>
      </c>
      <c r="BH209">
        <v>21.358370472333753</v>
      </c>
    </row>
    <row r="210" spans="3:60" x14ac:dyDescent="0.2">
      <c r="C210" s="138">
        <v>28630.831526039587</v>
      </c>
      <c r="D210" s="138">
        <v>20.739136704904169</v>
      </c>
      <c r="E210" s="138">
        <v>30652.652486992538</v>
      </c>
      <c r="F210" s="138">
        <v>20.73398213736602</v>
      </c>
      <c r="G210" s="138">
        <v>-2021.8209609529513</v>
      </c>
      <c r="H210" s="138">
        <v>5.1545675381490241E-3</v>
      </c>
      <c r="N210" s="138"/>
      <c r="O210" s="138"/>
      <c r="P210" s="138"/>
      <c r="R210">
        <v>206.6287575323812</v>
      </c>
      <c r="S210">
        <v>58.26055088564334</v>
      </c>
      <c r="T210">
        <v>214.38117501567069</v>
      </c>
      <c r="U210">
        <v>81.979704585485862</v>
      </c>
      <c r="X210">
        <v>0.72869103991562878</v>
      </c>
      <c r="Y210">
        <v>0.73996178503097798</v>
      </c>
      <c r="Z210">
        <v>0.8434666306231694</v>
      </c>
      <c r="AA210">
        <v>0.45143299490447869</v>
      </c>
      <c r="AB210">
        <v>0.82528680211721173</v>
      </c>
      <c r="AC210">
        <v>0.80431763494926534</v>
      </c>
      <c r="AD210">
        <v>0.93185422094251802</v>
      </c>
      <c r="AE210">
        <v>0.77235781310560048</v>
      </c>
      <c r="AH210">
        <v>4.6306458740837608E-2</v>
      </c>
      <c r="AI210">
        <v>0.21511154719639491</v>
      </c>
      <c r="AJ210">
        <v>0.24556433639412212</v>
      </c>
      <c r="AK210">
        <v>0.24728352197803916</v>
      </c>
      <c r="AL210">
        <v>5.1460048429223026E-2</v>
      </c>
      <c r="AM210">
        <v>0.17097093003681763</v>
      </c>
      <c r="AN210">
        <v>2.4672882425904152E-2</v>
      </c>
      <c r="AO210">
        <v>8.7144839813903197E-2</v>
      </c>
      <c r="AR210">
        <v>8.3115683247010803E-4</v>
      </c>
      <c r="AS210">
        <v>4.7207555420136771E-3</v>
      </c>
      <c r="AT210">
        <v>9.9004823749435297E-2</v>
      </c>
      <c r="AU210">
        <v>2.0705498425289681E-3</v>
      </c>
      <c r="AV210">
        <v>2.1122897234200355E-3</v>
      </c>
      <c r="AW210">
        <v>3.0961827694962842E-3</v>
      </c>
      <c r="AX210">
        <v>4.3861039789661049E-4</v>
      </c>
      <c r="AY210">
        <v>4.3053097528172272E-4</v>
      </c>
      <c r="BB210">
        <v>4.4471437609175518E-2</v>
      </c>
      <c r="BC210">
        <v>5.8810027134452714E-2</v>
      </c>
      <c r="BE210">
        <v>28630.831526039587</v>
      </c>
      <c r="BF210">
        <v>20.739136704904169</v>
      </c>
      <c r="BG210">
        <v>30652.652486992538</v>
      </c>
      <c r="BH210">
        <v>20.73398213736602</v>
      </c>
    </row>
    <row r="211" spans="3:60" x14ac:dyDescent="0.2">
      <c r="C211" s="138">
        <v>32508.445602084666</v>
      </c>
      <c r="D211" s="138">
        <v>21.097607938834678</v>
      </c>
      <c r="E211" s="138">
        <v>34850.23349109057</v>
      </c>
      <c r="F211" s="138">
        <v>21.075695359898109</v>
      </c>
      <c r="G211" s="138">
        <v>-2341.7878890059037</v>
      </c>
      <c r="H211" s="138">
        <v>2.1912578936568394E-2</v>
      </c>
      <c r="N211" s="138"/>
      <c r="O211" s="138"/>
      <c r="P211" s="138"/>
      <c r="R211">
        <v>165.31282174379365</v>
      </c>
      <c r="S211">
        <v>55.623151962986761</v>
      </c>
      <c r="T211">
        <v>291.72424737280778</v>
      </c>
      <c r="U211">
        <v>110.74614661793446</v>
      </c>
      <c r="X211">
        <v>0.6455001768567441</v>
      </c>
      <c r="Y211">
        <v>0.81654448279415337</v>
      </c>
      <c r="Z211">
        <v>0.80077247613390956</v>
      </c>
      <c r="AA211">
        <v>0.92202688599918647</v>
      </c>
      <c r="AB211">
        <v>0.80761232707220509</v>
      </c>
      <c r="AC211">
        <v>0.88228463890948117</v>
      </c>
      <c r="AD211">
        <v>0.52225624693591066</v>
      </c>
      <c r="AE211">
        <v>0.66829885030460545</v>
      </c>
      <c r="AH211">
        <v>0.14982145259210011</v>
      </c>
      <c r="AI211">
        <v>0.14381501647199091</v>
      </c>
      <c r="AJ211">
        <v>0.39340620952943384</v>
      </c>
      <c r="AK211">
        <v>3.1398390915079788E-2</v>
      </c>
      <c r="AL211">
        <v>6.8051302786488743E-2</v>
      </c>
      <c r="AM211">
        <v>3.8132586481065878E-2</v>
      </c>
      <c r="AN211">
        <v>0.10202680534090691</v>
      </c>
      <c r="AO211">
        <v>5.137233248729034E-2</v>
      </c>
      <c r="AR211">
        <v>7.911240268586101E-4</v>
      </c>
      <c r="AS211">
        <v>4.5365263531593758E-3</v>
      </c>
      <c r="AT211">
        <v>0.10016061546448607</v>
      </c>
      <c r="AU211">
        <v>1.9950827311701132E-3</v>
      </c>
      <c r="AV211">
        <v>2.2584636900556676E-3</v>
      </c>
      <c r="AW211">
        <v>3.1982119407829609E-3</v>
      </c>
      <c r="AX211">
        <v>3.8197957006061244E-4</v>
      </c>
      <c r="AY211">
        <v>4.1996451350818117E-4</v>
      </c>
      <c r="BB211">
        <v>4.3209180687392316E-2</v>
      </c>
      <c r="BC211">
        <v>0.11486185277071281</v>
      </c>
      <c r="BE211">
        <v>32508.445602084666</v>
      </c>
      <c r="BF211">
        <v>21.097607938834678</v>
      </c>
      <c r="BG211">
        <v>34850.23349109057</v>
      </c>
      <c r="BH211">
        <v>21.075695359898109</v>
      </c>
    </row>
    <row r="212" spans="3:60" x14ac:dyDescent="0.2">
      <c r="C212" s="138">
        <v>35255.990607648462</v>
      </c>
      <c r="D212" s="138">
        <v>21.149480726474135</v>
      </c>
      <c r="E212" s="138">
        <v>37523.664451352022</v>
      </c>
      <c r="F212" s="138">
        <v>21.123364381615836</v>
      </c>
      <c r="G212" s="138">
        <v>-2267.6738437035601</v>
      </c>
      <c r="H212" s="138">
        <v>2.611634485829839E-2</v>
      </c>
      <c r="N212" s="138"/>
      <c r="O212" s="138"/>
      <c r="P212" s="138"/>
      <c r="R212">
        <v>408.9675687241928</v>
      </c>
      <c r="S212">
        <v>67.155119738472493</v>
      </c>
      <c r="T212">
        <v>211.8648503402797</v>
      </c>
      <c r="U212">
        <v>96.116048655332634</v>
      </c>
      <c r="X212">
        <v>0.84623724313831972</v>
      </c>
      <c r="Y212">
        <v>0.97985381760009005</v>
      </c>
      <c r="Z212">
        <v>0.83775035885818805</v>
      </c>
      <c r="AA212">
        <v>0.56132128791747382</v>
      </c>
      <c r="AB212">
        <v>0.76292304743379813</v>
      </c>
      <c r="AC212">
        <v>0.76837477944118149</v>
      </c>
      <c r="AD212">
        <v>0.72757964913219741</v>
      </c>
      <c r="AE212">
        <v>0.66898869511819936</v>
      </c>
      <c r="AH212">
        <v>7.1258503811954865E-2</v>
      </c>
      <c r="AI212">
        <v>1.4194358534258322E-2</v>
      </c>
      <c r="AJ212">
        <v>2.5916477157587603E-2</v>
      </c>
      <c r="AK212">
        <v>0.2046937682127612</v>
      </c>
      <c r="AL212">
        <v>9.0629969009051736E-2</v>
      </c>
      <c r="AM212">
        <v>0.2616892380976642</v>
      </c>
      <c r="AN212">
        <v>3.6158450186888347E-2</v>
      </c>
      <c r="AO212">
        <v>7.7442140981269558E-2</v>
      </c>
      <c r="AR212">
        <v>7.863684014494779E-4</v>
      </c>
      <c r="AS212">
        <v>4.1771916202370573E-3</v>
      </c>
      <c r="AT212">
        <v>9.926449438751575E-2</v>
      </c>
      <c r="AU212">
        <v>1.6393394322101761E-3</v>
      </c>
      <c r="AV212">
        <v>2.1643078715738451E-3</v>
      </c>
      <c r="AW212">
        <v>3.161587074235838E-3</v>
      </c>
      <c r="AX212">
        <v>3.9188366162117049E-4</v>
      </c>
      <c r="AY212">
        <v>4.2928678313214997E-4</v>
      </c>
      <c r="BB212">
        <v>5.9864075095693359E-2</v>
      </c>
      <c r="BC212">
        <v>2.0391854524832644E-2</v>
      </c>
      <c r="BE212">
        <v>35255.990607648462</v>
      </c>
      <c r="BF212">
        <v>21.149480726474135</v>
      </c>
      <c r="BG212">
        <v>37523.664451352022</v>
      </c>
      <c r="BH212">
        <v>21.123364381615836</v>
      </c>
    </row>
    <row r="213" spans="3:60" x14ac:dyDescent="0.2">
      <c r="C213" s="138">
        <v>28548.147684001691</v>
      </c>
      <c r="D213" s="138">
        <v>21.15606003698668</v>
      </c>
      <c r="E213" s="138">
        <v>29980.501427481475</v>
      </c>
      <c r="F213" s="138">
        <v>21.152545483342553</v>
      </c>
      <c r="G213" s="138">
        <v>-1432.3537434797836</v>
      </c>
      <c r="H213" s="138">
        <v>3.5145536441270053E-3</v>
      </c>
      <c r="N213" s="138"/>
      <c r="O213" s="138"/>
      <c r="P213" s="138"/>
      <c r="R213">
        <v>357.55812228446359</v>
      </c>
      <c r="S213">
        <v>63.530264894249299</v>
      </c>
      <c r="T213">
        <v>257.24079276865029</v>
      </c>
      <c r="U213">
        <v>99.634507210849151</v>
      </c>
      <c r="X213">
        <v>0.79143713173923669</v>
      </c>
      <c r="Y213">
        <v>0.89575375364224996</v>
      </c>
      <c r="Z213">
        <v>0.78490243281591088</v>
      </c>
      <c r="AA213">
        <v>0.51028068782787628</v>
      </c>
      <c r="AB213">
        <v>0.8563132512789895</v>
      </c>
      <c r="AC213">
        <v>0.59030773052475483</v>
      </c>
      <c r="AD213">
        <v>0.65061769041980722</v>
      </c>
      <c r="AE213">
        <v>0.48305003773289673</v>
      </c>
      <c r="AH213">
        <v>0.12892671556678514</v>
      </c>
      <c r="AI213">
        <v>0.14401031677115672</v>
      </c>
      <c r="AJ213">
        <v>0.15778818128134864</v>
      </c>
      <c r="AK213">
        <v>1.4157768850517449E-2</v>
      </c>
      <c r="AL213">
        <v>0.232893724904918</v>
      </c>
      <c r="AM213">
        <v>5.1885862795398197E-2</v>
      </c>
      <c r="AN213">
        <v>0.12070195106625492</v>
      </c>
      <c r="AO213">
        <v>0.16188647166022407</v>
      </c>
      <c r="AR213">
        <v>7.7299940870694721E-4</v>
      </c>
      <c r="AS213">
        <v>4.3400457880070319E-3</v>
      </c>
      <c r="AT213">
        <v>9.951348499382065E-2</v>
      </c>
      <c r="AU213">
        <v>1.8043845925729851E-3</v>
      </c>
      <c r="AV213">
        <v>2.0608188395812022E-3</v>
      </c>
      <c r="AW213">
        <v>3.3992619720826186E-3</v>
      </c>
      <c r="AX213">
        <v>4.0759944914658952E-4</v>
      </c>
      <c r="AY213">
        <v>4.4554315507879742E-4</v>
      </c>
      <c r="BB213">
        <v>5.1863673158550228E-2</v>
      </c>
      <c r="BC213">
        <v>2.9480383045475834E-2</v>
      </c>
      <c r="BE213">
        <v>28548.147684001691</v>
      </c>
      <c r="BF213">
        <v>21.15606003698668</v>
      </c>
      <c r="BG213">
        <v>29980.501427481475</v>
      </c>
      <c r="BH213">
        <v>21.152545483342553</v>
      </c>
    </row>
    <row r="214" spans="3:60" x14ac:dyDescent="0.2">
      <c r="C214" s="138">
        <v>31897.433636280795</v>
      </c>
      <c r="D214" s="138">
        <v>21.169442345592255</v>
      </c>
      <c r="E214" s="138">
        <v>34076.019758289658</v>
      </c>
      <c r="F214" s="138">
        <v>21.153749689519149</v>
      </c>
      <c r="G214" s="138">
        <v>-2178.5861220088627</v>
      </c>
      <c r="H214" s="138">
        <v>1.5692656073106548E-2</v>
      </c>
      <c r="N214" s="138"/>
      <c r="O214" s="138"/>
      <c r="P214" s="138"/>
      <c r="R214">
        <v>383.92617292703721</v>
      </c>
      <c r="S214">
        <v>71.522891323987636</v>
      </c>
      <c r="T214">
        <v>267.15184195848042</v>
      </c>
      <c r="U214">
        <v>86.306119425791223</v>
      </c>
      <c r="X214">
        <v>0.77902271968943693</v>
      </c>
      <c r="Y214">
        <v>0.92055209835844098</v>
      </c>
      <c r="Z214">
        <v>0.61718851890291304</v>
      </c>
      <c r="AA214">
        <v>0.83843831967026095</v>
      </c>
      <c r="AB214">
        <v>0.84916509256483907</v>
      </c>
      <c r="AC214">
        <v>0.46490943691944714</v>
      </c>
      <c r="AD214">
        <v>0.81931846365394967</v>
      </c>
      <c r="AE214">
        <v>0.7241224482979689</v>
      </c>
      <c r="AH214">
        <v>1.4133885909065613E-2</v>
      </c>
      <c r="AI214">
        <v>0.37439344733382895</v>
      </c>
      <c r="AJ214">
        <v>0.15929632331715871</v>
      </c>
      <c r="AK214">
        <v>0.1957308125535282</v>
      </c>
      <c r="AL214">
        <v>0.21457188037353259</v>
      </c>
      <c r="AM214">
        <v>2.3119363495331391E-2</v>
      </c>
      <c r="AN214">
        <v>0.18449815921574853</v>
      </c>
      <c r="AO214">
        <v>0.2126773519980345</v>
      </c>
      <c r="AR214">
        <v>7.4118611227833497E-4</v>
      </c>
      <c r="AS214">
        <v>4.6122691015952899E-3</v>
      </c>
      <c r="AT214">
        <v>0.10119816503095913</v>
      </c>
      <c r="AU214">
        <v>2.1288160276818902E-3</v>
      </c>
      <c r="AV214">
        <v>2.1982089455909737E-3</v>
      </c>
      <c r="AW214">
        <v>3.3710856126547475E-3</v>
      </c>
      <c r="AX214">
        <v>4.4155967353176617E-4</v>
      </c>
      <c r="AY214">
        <v>4.193261543226969E-4</v>
      </c>
      <c r="BB214">
        <v>5.2644952045243554E-2</v>
      </c>
      <c r="BC214">
        <v>6.0931778461501884E-2</v>
      </c>
      <c r="BE214">
        <v>31897.433636280795</v>
      </c>
      <c r="BF214">
        <v>21.169442345592255</v>
      </c>
      <c r="BG214">
        <v>34076.019758289658</v>
      </c>
      <c r="BH214">
        <v>21.153749689519149</v>
      </c>
    </row>
    <row r="215" spans="3:60" x14ac:dyDescent="0.2">
      <c r="C215" s="138">
        <v>25642.207864359538</v>
      </c>
      <c r="D215" s="138">
        <v>20.14865329610895</v>
      </c>
      <c r="E215" s="138">
        <v>27687.467089525551</v>
      </c>
      <c r="F215" s="138">
        <v>20.129809251371142</v>
      </c>
      <c r="G215" s="138">
        <v>-2045.2592251660135</v>
      </c>
      <c r="H215" s="138">
        <v>1.8844044737807764E-2</v>
      </c>
      <c r="N215" s="138"/>
      <c r="O215" s="138"/>
      <c r="P215" s="138"/>
      <c r="R215">
        <v>233.25485005331629</v>
      </c>
      <c r="S215">
        <v>63.006252106626818</v>
      </c>
      <c r="T215">
        <v>206.46663477883698</v>
      </c>
      <c r="U215">
        <v>89.8399095930382</v>
      </c>
      <c r="X215">
        <v>0.90600793184532713</v>
      </c>
      <c r="Y215">
        <v>0.65973856475542503</v>
      </c>
      <c r="Z215">
        <v>0.72648629464123193</v>
      </c>
      <c r="AA215">
        <v>0.60760865333113612</v>
      </c>
      <c r="AB215">
        <v>0.90796880069690289</v>
      </c>
      <c r="AC215">
        <v>0.55237435089493936</v>
      </c>
      <c r="AD215">
        <v>0.78719860633216532</v>
      </c>
      <c r="AE215">
        <v>0.64282246584000213</v>
      </c>
      <c r="AH215">
        <v>6.2242917859431923E-3</v>
      </c>
      <c r="AI215">
        <v>4.8730785347454564E-2</v>
      </c>
      <c r="AJ215">
        <v>8.3746937611230754E-2</v>
      </c>
      <c r="AK215">
        <v>0.11073019493858172</v>
      </c>
      <c r="AL215">
        <v>5.7970693189355105E-2</v>
      </c>
      <c r="AM215">
        <v>0.10134793137557296</v>
      </c>
      <c r="AN215">
        <v>7.7639637160166641E-2</v>
      </c>
      <c r="AO215">
        <v>4.3118522438838847E-2</v>
      </c>
      <c r="AR215">
        <v>8.1082152923394322E-4</v>
      </c>
      <c r="AS215">
        <v>4.1729366984186497E-3</v>
      </c>
      <c r="AT215">
        <v>0.10152730163238743</v>
      </c>
      <c r="AU215">
        <v>2.1600210416508059E-3</v>
      </c>
      <c r="AV215">
        <v>1.8660830896754736E-3</v>
      </c>
      <c r="AW215">
        <v>3.5129085639646895E-3</v>
      </c>
      <c r="AX215">
        <v>3.2251655338322749E-4</v>
      </c>
      <c r="AY215">
        <v>3.5351651415379371E-4</v>
      </c>
      <c r="BB215">
        <v>5.199921727035306E-2</v>
      </c>
      <c r="BC215">
        <v>4.520652014202374E-2</v>
      </c>
      <c r="BE215">
        <v>25642.207864359538</v>
      </c>
      <c r="BF215">
        <v>20.14865329610895</v>
      </c>
      <c r="BG215">
        <v>27687.467089525551</v>
      </c>
      <c r="BH215">
        <v>20.129809251371142</v>
      </c>
    </row>
    <row r="216" spans="3:60" x14ac:dyDescent="0.2">
      <c r="C216" s="138">
        <v>26730.155402697485</v>
      </c>
      <c r="D216" s="138">
        <v>20.13523031323248</v>
      </c>
      <c r="E216" s="138">
        <v>28314.835374747083</v>
      </c>
      <c r="F216" s="138">
        <v>20.070447759775767</v>
      </c>
      <c r="G216" s="138">
        <v>-1584.6799720495983</v>
      </c>
      <c r="H216" s="138">
        <v>6.4782553456712577E-2</v>
      </c>
      <c r="N216" s="138"/>
      <c r="O216" s="138"/>
      <c r="P216" s="138"/>
      <c r="R216">
        <v>265.08674182768266</v>
      </c>
      <c r="S216">
        <v>70.361340051423412</v>
      </c>
      <c r="T216">
        <v>251.26043709391075</v>
      </c>
      <c r="U216">
        <v>102.9823510973865</v>
      </c>
      <c r="X216">
        <v>0.88796777085819789</v>
      </c>
      <c r="Y216">
        <v>0.72141767591926698</v>
      </c>
      <c r="Z216">
        <v>0.84657588956617635</v>
      </c>
      <c r="AA216">
        <v>0.47071446840852127</v>
      </c>
      <c r="AB216">
        <v>0.86871873802207278</v>
      </c>
      <c r="AC216">
        <v>0.87068633782584137</v>
      </c>
      <c r="AD216">
        <v>0.91157383363460687</v>
      </c>
      <c r="AE216">
        <v>0.50759791202281013</v>
      </c>
      <c r="AH216">
        <v>7.9862292512020816E-2</v>
      </c>
      <c r="AI216">
        <v>5.8731091408913971E-2</v>
      </c>
      <c r="AJ216">
        <v>6.0116184172324227E-2</v>
      </c>
      <c r="AK216">
        <v>0.1172530693243391</v>
      </c>
      <c r="AL216">
        <v>2.9288224408754004E-2</v>
      </c>
      <c r="AM216">
        <v>4.3725982482979431E-2</v>
      </c>
      <c r="AN216">
        <v>0.1153669255567098</v>
      </c>
      <c r="AO216">
        <v>0.11496920232210517</v>
      </c>
      <c r="AR216">
        <v>6.824974458127924E-4</v>
      </c>
      <c r="AS216">
        <v>4.4350916379343151E-3</v>
      </c>
      <c r="AT216">
        <v>9.9228028619338451E-2</v>
      </c>
      <c r="AU216">
        <v>1.9872792174586837E-3</v>
      </c>
      <c r="AV216">
        <v>1.7783002571129781E-3</v>
      </c>
      <c r="AW216">
        <v>3.2731088332294254E-3</v>
      </c>
      <c r="AX216">
        <v>3.5170193705253414E-4</v>
      </c>
      <c r="AY216">
        <v>5.6332389211144474E-4</v>
      </c>
      <c r="BB216">
        <v>5.2023929837520244E-2</v>
      </c>
      <c r="BC216">
        <v>4.3840611730895651E-2</v>
      </c>
      <c r="BE216">
        <v>26730.155402697485</v>
      </c>
      <c r="BF216">
        <v>20.13523031323248</v>
      </c>
      <c r="BG216">
        <v>28314.835374747083</v>
      </c>
      <c r="BH216">
        <v>20.070447759775767</v>
      </c>
    </row>
    <row r="217" spans="3:60" x14ac:dyDescent="0.2">
      <c r="C217" s="138">
        <v>38055.949838553403</v>
      </c>
      <c r="D217" s="138">
        <v>20.919719394962772</v>
      </c>
      <c r="E217" s="138">
        <v>40198.382413524414</v>
      </c>
      <c r="F217" s="138">
        <v>20.900722631442761</v>
      </c>
      <c r="G217" s="138">
        <v>-2142.4325749710115</v>
      </c>
      <c r="H217" s="138">
        <v>1.8996763520011228E-2</v>
      </c>
      <c r="N217" s="138"/>
      <c r="O217" s="138"/>
      <c r="P217" s="138"/>
      <c r="R217">
        <v>159.99392626253041</v>
      </c>
      <c r="S217">
        <v>62.47168615974352</v>
      </c>
      <c r="T217">
        <v>293.94064664026337</v>
      </c>
      <c r="U217">
        <v>102.81405920084916</v>
      </c>
      <c r="X217">
        <v>0.84345338828579552</v>
      </c>
      <c r="Y217">
        <v>0.74798334563091873</v>
      </c>
      <c r="Z217">
        <v>0.85081220089323384</v>
      </c>
      <c r="AA217">
        <v>0.90177048880924437</v>
      </c>
      <c r="AB217">
        <v>0.70994741193935051</v>
      </c>
      <c r="AC217">
        <v>0.51207684162647493</v>
      </c>
      <c r="AD217">
        <v>0.84017073349279259</v>
      </c>
      <c r="AE217">
        <v>0.64272732463641657</v>
      </c>
      <c r="AH217">
        <v>0.15985948951374029</v>
      </c>
      <c r="AI217">
        <v>0.13759998401487494</v>
      </c>
      <c r="AJ217">
        <v>0.28468347082032408</v>
      </c>
      <c r="AK217">
        <v>5.0179442432229382E-2</v>
      </c>
      <c r="AL217">
        <v>0.23107050943443386</v>
      </c>
      <c r="AM217">
        <v>9.1705356708672081E-2</v>
      </c>
      <c r="AN217">
        <v>3.5447445871008343E-2</v>
      </c>
      <c r="AO217">
        <v>9.9180121354010109E-2</v>
      </c>
      <c r="AR217">
        <v>1.0049830529542669E-3</v>
      </c>
      <c r="AS217">
        <v>4.2928679755221818E-3</v>
      </c>
      <c r="AT217">
        <v>0.10078172340845026</v>
      </c>
      <c r="AU217">
        <v>2.1447815745727628E-3</v>
      </c>
      <c r="AV217">
        <v>2.0729590704275935E-3</v>
      </c>
      <c r="AW217">
        <v>3.4452108413901561E-3</v>
      </c>
      <c r="AX217">
        <v>5.7607604975262738E-4</v>
      </c>
      <c r="AY217">
        <v>4.0191786971548708E-4</v>
      </c>
      <c r="BB217">
        <v>4.8209435411693355E-2</v>
      </c>
      <c r="BC217">
        <v>2.9592382839412214E-2</v>
      </c>
      <c r="BE217">
        <v>38055.949838553403</v>
      </c>
      <c r="BF217">
        <v>20.919719394962772</v>
      </c>
      <c r="BG217">
        <v>40198.382413524414</v>
      </c>
      <c r="BH217">
        <v>20.900722631442761</v>
      </c>
    </row>
    <row r="218" spans="3:60" x14ac:dyDescent="0.2">
      <c r="C218" s="140">
        <v>33345.569385466253</v>
      </c>
      <c r="D218" s="138">
        <v>21.265163519758399</v>
      </c>
      <c r="E218" s="140">
        <v>35589.22425850491</v>
      </c>
      <c r="F218" s="140">
        <v>21.283630224281161</v>
      </c>
      <c r="G218" s="140">
        <v>-2243.6548730386567</v>
      </c>
      <c r="H218" s="140">
        <v>-1.8466704522762001E-2</v>
      </c>
      <c r="N218" s="138"/>
      <c r="O218" s="138"/>
      <c r="P218" s="138"/>
      <c r="R218">
        <v>127.65023333163275</v>
      </c>
      <c r="S218">
        <v>65.326290058781638</v>
      </c>
      <c r="T218">
        <v>263.99042484241613</v>
      </c>
      <c r="U218">
        <v>97.368530877372962</v>
      </c>
      <c r="X218">
        <v>0.64113242182974595</v>
      </c>
      <c r="Y218">
        <v>0.70076465533972332</v>
      </c>
      <c r="Z218">
        <v>0.85367613931654329</v>
      </c>
      <c r="AA218">
        <v>0.80048172569834575</v>
      </c>
      <c r="AB218">
        <v>0.78348411030240916</v>
      </c>
      <c r="AC218">
        <v>0.97872075726839003</v>
      </c>
      <c r="AD218">
        <v>0.90006332886630069</v>
      </c>
      <c r="AE218">
        <v>0.89005520064620491</v>
      </c>
      <c r="AH218">
        <v>0.10873412348584599</v>
      </c>
      <c r="AI218">
        <v>0.11528945832082749</v>
      </c>
      <c r="AJ218">
        <v>0.10567636533737801</v>
      </c>
      <c r="AK218">
        <v>0.36215815973385213</v>
      </c>
      <c r="AL218">
        <v>0.12046409983406359</v>
      </c>
      <c r="AM218">
        <v>2.362523281143436E-2</v>
      </c>
      <c r="AN218">
        <v>5.6451000861735157E-2</v>
      </c>
      <c r="AO218">
        <v>3.6631241937566283E-2</v>
      </c>
      <c r="AR218">
        <v>7.2715821114061833E-4</v>
      </c>
      <c r="AS218">
        <v>4.3748862713806095E-3</v>
      </c>
      <c r="AT218">
        <v>9.855380762007851E-2</v>
      </c>
      <c r="AU218">
        <v>1.8564510483746221E-3</v>
      </c>
      <c r="AV218">
        <v>2.2051756853078697E-3</v>
      </c>
      <c r="AW218">
        <v>3.5300224223218102E-3</v>
      </c>
      <c r="AX218">
        <v>4.3416096227366641E-4</v>
      </c>
      <c r="AY218">
        <v>4.6506571706961264E-4</v>
      </c>
      <c r="BB218">
        <v>5.489856287945083E-2</v>
      </c>
      <c r="BC218">
        <v>6.1115671007649253E-2</v>
      </c>
      <c r="BE218">
        <v>33345.569385466253</v>
      </c>
      <c r="BF218">
        <v>21.265163519758399</v>
      </c>
      <c r="BG218">
        <v>35589.22425850491</v>
      </c>
      <c r="BH218">
        <v>21.283630224281161</v>
      </c>
    </row>
    <row r="219" spans="3:60" x14ac:dyDescent="0.2">
      <c r="C219" s="138">
        <v>31260.744205227424</v>
      </c>
      <c r="D219" s="138">
        <v>21.359249564201235</v>
      </c>
      <c r="E219" s="138">
        <v>33234.118683252353</v>
      </c>
      <c r="F219" s="138">
        <v>21.333526056737199</v>
      </c>
      <c r="G219" s="138">
        <v>-1973.374478024929</v>
      </c>
      <c r="H219" s="138">
        <v>2.5723507464036288E-2</v>
      </c>
      <c r="N219" s="138"/>
      <c r="O219" s="138"/>
      <c r="P219" s="138"/>
      <c r="R219">
        <v>398.75778204702658</v>
      </c>
      <c r="S219">
        <v>79.027744818559313</v>
      </c>
      <c r="T219">
        <v>234.67874638996338</v>
      </c>
      <c r="U219">
        <v>89.195249013483021</v>
      </c>
      <c r="X219">
        <v>0.78075048415054027</v>
      </c>
      <c r="Y219">
        <v>0.80166983870131114</v>
      </c>
      <c r="Z219">
        <v>0.82880820921195553</v>
      </c>
      <c r="AA219">
        <v>0.82777823467947409</v>
      </c>
      <c r="AB219">
        <v>0.77723088337671187</v>
      </c>
      <c r="AC219">
        <v>0.86542018882115634</v>
      </c>
      <c r="AD219">
        <v>0.76154299780802992</v>
      </c>
      <c r="AE219">
        <v>0.80543684311405783</v>
      </c>
      <c r="AH219">
        <v>7.7892141877218823E-2</v>
      </c>
      <c r="AI219">
        <v>9.5562488300478199E-2</v>
      </c>
      <c r="AJ219">
        <v>0.10744244771930567</v>
      </c>
      <c r="AK219">
        <v>0.27562866121519558</v>
      </c>
      <c r="AL219">
        <v>0.14676520548657102</v>
      </c>
      <c r="AM219">
        <v>0.14292467941485087</v>
      </c>
      <c r="AN219">
        <v>0.12513670012225064</v>
      </c>
      <c r="AO219">
        <v>0.15565593870895011</v>
      </c>
      <c r="AR219">
        <v>7.4186675341612266E-4</v>
      </c>
      <c r="AS219">
        <v>4.5090849006731437E-3</v>
      </c>
      <c r="AT219">
        <v>0.10032515581532331</v>
      </c>
      <c r="AU219">
        <v>1.8932898308693128E-3</v>
      </c>
      <c r="AV219">
        <v>1.9132379774043833E-3</v>
      </c>
      <c r="AW219">
        <v>3.1914991786318081E-3</v>
      </c>
      <c r="AX219">
        <v>3.7693451877992418E-4</v>
      </c>
      <c r="AY219">
        <v>4.4592354126295311E-4</v>
      </c>
      <c r="BB219">
        <v>4.989079430479737E-2</v>
      </c>
      <c r="BC219">
        <v>0.10484084313846298</v>
      </c>
      <c r="BE219">
        <v>31260.744205227424</v>
      </c>
      <c r="BF219">
        <v>21.359249564201235</v>
      </c>
      <c r="BG219">
        <v>33234.118683252353</v>
      </c>
      <c r="BH219">
        <v>21.333526056737199</v>
      </c>
    </row>
    <row r="220" spans="3:60" x14ac:dyDescent="0.2">
      <c r="C220" s="138">
        <v>31223.197826712429</v>
      </c>
      <c r="D220" s="138">
        <v>21.347588324602697</v>
      </c>
      <c r="E220" s="138">
        <v>33015.74765253286</v>
      </c>
      <c r="F220" s="138">
        <v>21.331723641350024</v>
      </c>
      <c r="G220" s="138">
        <v>-1792.5498258204316</v>
      </c>
      <c r="H220" s="138">
        <v>1.5864683252672762E-2</v>
      </c>
      <c r="N220" s="138"/>
      <c r="O220" s="138"/>
      <c r="P220" s="138"/>
      <c r="R220">
        <v>451.84713927953453</v>
      </c>
      <c r="S220">
        <v>65.235782497434315</v>
      </c>
      <c r="T220">
        <v>237.07817416929899</v>
      </c>
      <c r="U220">
        <v>110.73779544539774</v>
      </c>
      <c r="X220">
        <v>0.62578647175366564</v>
      </c>
      <c r="Y220">
        <v>0.85509612648254163</v>
      </c>
      <c r="Z220">
        <v>0.7674010270576942</v>
      </c>
      <c r="AA220">
        <v>0.88131866680064075</v>
      </c>
      <c r="AB220">
        <v>0.8588217792174313</v>
      </c>
      <c r="AC220">
        <v>0.82080674096771122</v>
      </c>
      <c r="AD220">
        <v>0.76759015181926304</v>
      </c>
      <c r="AE220">
        <v>0.62905527551424156</v>
      </c>
      <c r="AH220">
        <v>6.3051239480858334E-2</v>
      </c>
      <c r="AI220">
        <v>0.19957945327607685</v>
      </c>
      <c r="AJ220">
        <v>0.2658819313018842</v>
      </c>
      <c r="AK220">
        <v>2.2534405409057934E-2</v>
      </c>
      <c r="AL220">
        <v>5.0336288021370801E-2</v>
      </c>
      <c r="AM220">
        <v>0.24479166378640305</v>
      </c>
      <c r="AN220">
        <v>0.22303791142689067</v>
      </c>
      <c r="AO220">
        <v>0.29034097493471023</v>
      </c>
      <c r="AR220">
        <v>1.0587006059991078E-3</v>
      </c>
      <c r="AS220">
        <v>4.4159802369606706E-3</v>
      </c>
      <c r="AT220">
        <v>0.1003332702798303</v>
      </c>
      <c r="AU220">
        <v>2.2617648422014192E-3</v>
      </c>
      <c r="AV220">
        <v>1.7704995252348452E-3</v>
      </c>
      <c r="AW220">
        <v>3.2674000656841939E-3</v>
      </c>
      <c r="AX220">
        <v>2.7645759643562813E-4</v>
      </c>
      <c r="AY220">
        <v>4.2672536072384433E-4</v>
      </c>
      <c r="BB220">
        <v>4.5681057250204896E-2</v>
      </c>
      <c r="BC220">
        <v>6.0965000282404036E-2</v>
      </c>
      <c r="BE220">
        <v>31223.197826712429</v>
      </c>
      <c r="BF220">
        <v>21.347588324602697</v>
      </c>
      <c r="BG220">
        <v>33015.74765253286</v>
      </c>
      <c r="BH220">
        <v>21.331723641350024</v>
      </c>
    </row>
    <row r="221" spans="3:60" x14ac:dyDescent="0.2">
      <c r="C221" s="138">
        <v>28743.915850000529</v>
      </c>
      <c r="D221" s="138">
        <v>21.165912717892621</v>
      </c>
      <c r="E221" s="138">
        <v>31114.959861155181</v>
      </c>
      <c r="F221" s="138">
        <v>21.127727888204202</v>
      </c>
      <c r="G221" s="138">
        <v>-2371.0440111546523</v>
      </c>
      <c r="H221" s="138">
        <v>3.8184829688418631E-2</v>
      </c>
      <c r="N221" s="138"/>
      <c r="O221" s="138"/>
      <c r="P221" s="138"/>
      <c r="R221">
        <v>144.86116883726788</v>
      </c>
      <c r="S221">
        <v>70.004604608304618</v>
      </c>
      <c r="T221">
        <v>243.2343316216934</v>
      </c>
      <c r="U221">
        <v>99.74477543968932</v>
      </c>
      <c r="X221">
        <v>0.75900010648902594</v>
      </c>
      <c r="Y221">
        <v>0.58868134151256413</v>
      </c>
      <c r="Z221">
        <v>0.83911472782356678</v>
      </c>
      <c r="AA221">
        <v>0.93528481319158907</v>
      </c>
      <c r="AB221">
        <v>0.82673130555955554</v>
      </c>
      <c r="AC221">
        <v>0.68959208624197577</v>
      </c>
      <c r="AD221">
        <v>0.77727912568302637</v>
      </c>
      <c r="AE221">
        <v>0.81634324139582615</v>
      </c>
      <c r="AH221">
        <v>0.25393322313829414</v>
      </c>
      <c r="AI221">
        <v>0.17700665581414832</v>
      </c>
      <c r="AJ221">
        <v>0.28249679292782348</v>
      </c>
      <c r="AK221">
        <v>0.10655979518075998</v>
      </c>
      <c r="AL221">
        <v>2.445601850067125E-2</v>
      </c>
      <c r="AM221">
        <v>0.26023939355385939</v>
      </c>
      <c r="AN221">
        <v>6.8307213863663785E-2</v>
      </c>
      <c r="AO221">
        <v>0.13498496910822688</v>
      </c>
      <c r="AR221">
        <v>8.7236555947898002E-4</v>
      </c>
      <c r="AS221">
        <v>4.4260259794277491E-3</v>
      </c>
      <c r="AT221">
        <v>0.10004787495026124</v>
      </c>
      <c r="AU221">
        <v>2.0299825507739122E-3</v>
      </c>
      <c r="AV221">
        <v>2.2163014103930845E-3</v>
      </c>
      <c r="AW221">
        <v>3.3682696667050203E-3</v>
      </c>
      <c r="AX221">
        <v>3.4794339592606941E-4</v>
      </c>
      <c r="AY221">
        <v>3.7039588241599952E-4</v>
      </c>
      <c r="BB221">
        <v>4.5497013892274001E-2</v>
      </c>
      <c r="BC221">
        <v>3.9740216792181468E-2</v>
      </c>
      <c r="BE221">
        <v>28743.915850000529</v>
      </c>
      <c r="BF221">
        <v>21.165912717892621</v>
      </c>
      <c r="BG221">
        <v>31114.959861155181</v>
      </c>
      <c r="BH221">
        <v>21.127727888204202</v>
      </c>
    </row>
    <row r="222" spans="3:60" x14ac:dyDescent="0.2">
      <c r="C222" s="138">
        <v>35905.581453941348</v>
      </c>
      <c r="D222" s="138">
        <v>20.249872888630772</v>
      </c>
      <c r="E222" s="138">
        <v>37999.322597930674</v>
      </c>
      <c r="F222" s="138">
        <v>20.187536284692953</v>
      </c>
      <c r="G222" s="138">
        <v>-2093.7411439893258</v>
      </c>
      <c r="H222" s="138">
        <v>6.2336603937819035E-2</v>
      </c>
      <c r="N222" s="138"/>
      <c r="O222" s="138"/>
      <c r="P222" s="138"/>
      <c r="R222">
        <v>412.68258379294798</v>
      </c>
      <c r="S222">
        <v>61.409575557321851</v>
      </c>
      <c r="T222">
        <v>244.70667807999686</v>
      </c>
      <c r="U222">
        <v>87.639281860461054</v>
      </c>
      <c r="X222">
        <v>0.7003411329691358</v>
      </c>
      <c r="Y222">
        <v>0.86887361287520659</v>
      </c>
      <c r="Z222">
        <v>0.73208566940852293</v>
      </c>
      <c r="AA222">
        <v>0.60253294612837693</v>
      </c>
      <c r="AB222">
        <v>0.65096392883388965</v>
      </c>
      <c r="AC222">
        <v>0.66840653270445549</v>
      </c>
      <c r="AD222">
        <v>0.82129976168156005</v>
      </c>
      <c r="AE222">
        <v>0.57450567613684334</v>
      </c>
      <c r="AH222">
        <v>0.22203539468318423</v>
      </c>
      <c r="AI222">
        <v>9.6638618470873183E-2</v>
      </c>
      <c r="AJ222">
        <v>0.13324209138397647</v>
      </c>
      <c r="AK222">
        <v>0.15463566405438323</v>
      </c>
      <c r="AL222">
        <v>3.5658488352453332E-2</v>
      </c>
      <c r="AM222">
        <v>3.6854976228424485E-2</v>
      </c>
      <c r="AN222">
        <v>6.2713306711180361E-2</v>
      </c>
      <c r="AO222">
        <v>9.824086911802965E-2</v>
      </c>
      <c r="AR222">
        <v>7.696652014314478E-4</v>
      </c>
      <c r="AS222">
        <v>4.5555818984769347E-3</v>
      </c>
      <c r="AT222">
        <v>0.1008418424828651</v>
      </c>
      <c r="AU222">
        <v>1.9809464219235203E-3</v>
      </c>
      <c r="AV222">
        <v>1.8661811522470821E-3</v>
      </c>
      <c r="AW222">
        <v>3.1903178919898876E-3</v>
      </c>
      <c r="AX222">
        <v>3.7175800260829647E-4</v>
      </c>
      <c r="AY222">
        <v>4.9263114752140513E-4</v>
      </c>
      <c r="BB222">
        <v>5.184231528737715E-2</v>
      </c>
      <c r="BC222">
        <v>4.858565120736591E-2</v>
      </c>
      <c r="BE222">
        <v>35905.581453941348</v>
      </c>
      <c r="BF222">
        <v>20.249872888630772</v>
      </c>
      <c r="BG222">
        <v>37999.322597930674</v>
      </c>
      <c r="BH222">
        <v>20.187536284692953</v>
      </c>
    </row>
    <row r="223" spans="3:60" x14ac:dyDescent="0.2">
      <c r="C223" s="138">
        <v>35372.844411249265</v>
      </c>
      <c r="D223" s="138">
        <v>21.39910141061123</v>
      </c>
      <c r="E223" s="138">
        <v>37514.696675781692</v>
      </c>
      <c r="F223" s="138">
        <v>21.397176017549434</v>
      </c>
      <c r="G223" s="138">
        <v>-2141.8522645324265</v>
      </c>
      <c r="H223" s="138">
        <v>1.9253930617963988E-3</v>
      </c>
      <c r="N223" s="138"/>
      <c r="O223" s="138"/>
      <c r="P223" s="138"/>
      <c r="R223">
        <v>132.24504293599313</v>
      </c>
      <c r="S223">
        <v>67.415684302845406</v>
      </c>
      <c r="T223">
        <v>272.72965064293936</v>
      </c>
      <c r="U223">
        <v>95.288051505355057</v>
      </c>
      <c r="X223">
        <v>0.90247799489148006</v>
      </c>
      <c r="Y223">
        <v>0.79829888085733514</v>
      </c>
      <c r="Z223">
        <v>0.95039009862781421</v>
      </c>
      <c r="AA223">
        <v>0.61907190308154814</v>
      </c>
      <c r="AB223">
        <v>0.72122837757069425</v>
      </c>
      <c r="AC223">
        <v>0.84442424370144731</v>
      </c>
      <c r="AD223">
        <v>0.51748483147993718</v>
      </c>
      <c r="AE223">
        <v>0.61357276710630415</v>
      </c>
      <c r="AH223">
        <v>7.1503356826490116E-2</v>
      </c>
      <c r="AI223">
        <v>4.694131146745173E-2</v>
      </c>
      <c r="AJ223">
        <v>0.18925851872091226</v>
      </c>
      <c r="AK223">
        <v>8.8633566374285544E-2</v>
      </c>
      <c r="AL223">
        <v>0.36237713505642377</v>
      </c>
      <c r="AM223">
        <v>9.2985083695729553E-2</v>
      </c>
      <c r="AN223">
        <v>9.235559031577778E-2</v>
      </c>
      <c r="AO223">
        <v>0.15285232174272612</v>
      </c>
      <c r="AR223">
        <v>1.072512696956629E-3</v>
      </c>
      <c r="AS223">
        <v>4.5041260274462092E-3</v>
      </c>
      <c r="AT223">
        <v>9.9267156676542234E-2</v>
      </c>
      <c r="AU223">
        <v>1.9629485531855308E-3</v>
      </c>
      <c r="AV223">
        <v>2.0046972496937654E-3</v>
      </c>
      <c r="AW223">
        <v>3.4773337875861898E-3</v>
      </c>
      <c r="AX223">
        <v>4.4773832205025066E-4</v>
      </c>
      <c r="AY223">
        <v>3.3786977787153869E-4</v>
      </c>
      <c r="BB223">
        <v>4.3595455642622197E-2</v>
      </c>
      <c r="BC223">
        <v>4.0497063375402348E-2</v>
      </c>
      <c r="BE223">
        <v>35372.844411249265</v>
      </c>
      <c r="BF223">
        <v>21.39910141061123</v>
      </c>
      <c r="BG223">
        <v>37514.696675781692</v>
      </c>
      <c r="BH223">
        <v>21.397176017549434</v>
      </c>
    </row>
    <row r="224" spans="3:60" x14ac:dyDescent="0.2">
      <c r="C224" s="138">
        <v>34189.938452931558</v>
      </c>
      <c r="D224" s="138">
        <v>20.971394236098586</v>
      </c>
      <c r="E224" s="138">
        <v>36354.627253014107</v>
      </c>
      <c r="F224" s="138">
        <v>20.928152319324713</v>
      </c>
      <c r="G224" s="138">
        <v>-2164.6888000825493</v>
      </c>
      <c r="H224" s="138">
        <v>4.3241916773872902E-2</v>
      </c>
      <c r="N224" s="138"/>
      <c r="O224" s="138"/>
      <c r="P224" s="138"/>
      <c r="R224">
        <v>147.67961749991298</v>
      </c>
      <c r="S224">
        <v>55.958994736905176</v>
      </c>
      <c r="T224">
        <v>264.14749338416931</v>
      </c>
      <c r="U224">
        <v>92.33631032018414</v>
      </c>
      <c r="X224">
        <v>0.86043659635258085</v>
      </c>
      <c r="Y224">
        <v>0.69608511833595799</v>
      </c>
      <c r="Z224">
        <v>0.86771634141447496</v>
      </c>
      <c r="AA224">
        <v>0.87859937748165207</v>
      </c>
      <c r="AB224">
        <v>0.88481691927407258</v>
      </c>
      <c r="AC224">
        <v>0.75266503505202142</v>
      </c>
      <c r="AD224">
        <v>0.6787051127088235</v>
      </c>
      <c r="AE224">
        <v>0.74425286540022861</v>
      </c>
      <c r="AH224">
        <v>0.19132597700368625</v>
      </c>
      <c r="AI224">
        <v>0.22083354270686451</v>
      </c>
      <c r="AJ224">
        <v>7.0330042063631804E-2</v>
      </c>
      <c r="AK224">
        <v>5.7077962977171603E-2</v>
      </c>
      <c r="AL224">
        <v>5.6255481399904217E-2</v>
      </c>
      <c r="AM224">
        <v>0.13823785217015883</v>
      </c>
      <c r="AN224">
        <v>7.9257464198792871E-2</v>
      </c>
      <c r="AO224">
        <v>8.9241585055663597E-2</v>
      </c>
      <c r="AR224">
        <v>9.4151045164048153E-4</v>
      </c>
      <c r="AS224">
        <v>4.3671609163224044E-3</v>
      </c>
      <c r="AT224">
        <v>0.10082999091551526</v>
      </c>
      <c r="AU224">
        <v>1.9309938401094926E-3</v>
      </c>
      <c r="AV224">
        <v>1.939671328878405E-3</v>
      </c>
      <c r="AW224">
        <v>3.4746870642231587E-3</v>
      </c>
      <c r="AX224">
        <v>3.8024819923932488E-4</v>
      </c>
      <c r="AY224">
        <v>5.0149625930695496E-4</v>
      </c>
      <c r="BB224">
        <v>4.8485812865824145E-2</v>
      </c>
      <c r="BC224">
        <v>2.4185301943604243E-2</v>
      </c>
      <c r="BE224">
        <v>34189.938452931558</v>
      </c>
      <c r="BF224">
        <v>20.971394236098586</v>
      </c>
      <c r="BG224">
        <v>36354.627253014107</v>
      </c>
      <c r="BH224">
        <v>20.928152319324713</v>
      </c>
    </row>
    <row r="225" spans="3:60" x14ac:dyDescent="0.2">
      <c r="C225" s="138">
        <v>29437.015521154044</v>
      </c>
      <c r="D225" s="138">
        <v>20.840538436325858</v>
      </c>
      <c r="E225" s="138">
        <v>31869.457836293968</v>
      </c>
      <c r="F225" s="138">
        <v>20.859891003174535</v>
      </c>
      <c r="G225" s="138">
        <v>-2432.4423151399242</v>
      </c>
      <c r="H225" s="138">
        <v>-1.935256684867781E-2</v>
      </c>
      <c r="N225" s="138"/>
      <c r="O225" s="138"/>
      <c r="P225" s="138"/>
      <c r="R225">
        <v>273.09053469056443</v>
      </c>
      <c r="S225">
        <v>67.397601064920124</v>
      </c>
      <c r="T225">
        <v>207.54967691911435</v>
      </c>
      <c r="U225">
        <v>93.673655677913231</v>
      </c>
      <c r="X225">
        <v>0.79537622340854008</v>
      </c>
      <c r="Y225">
        <v>0.72449582718217831</v>
      </c>
      <c r="Z225">
        <v>0.7708518188811837</v>
      </c>
      <c r="AA225">
        <v>0.53855611344466703</v>
      </c>
      <c r="AB225">
        <v>0.60519074698219699</v>
      </c>
      <c r="AC225">
        <v>0.93792257587556871</v>
      </c>
      <c r="AD225">
        <v>0.80558166038214829</v>
      </c>
      <c r="AE225">
        <v>0.81010664713508584</v>
      </c>
      <c r="AH225">
        <v>4.809234455082001E-2</v>
      </c>
      <c r="AI225">
        <v>6.7612420007016394E-2</v>
      </c>
      <c r="AJ225">
        <v>0.29434190095489787</v>
      </c>
      <c r="AK225">
        <v>3.2976001117365872E-2</v>
      </c>
      <c r="AL225">
        <v>0.25087489201234359</v>
      </c>
      <c r="AM225">
        <v>0.17317658051118345</v>
      </c>
      <c r="AN225">
        <v>8.5139166295705282E-2</v>
      </c>
      <c r="AO225">
        <v>4.4129465640032617E-2</v>
      </c>
      <c r="AR225">
        <v>9.4093041084086781E-4</v>
      </c>
      <c r="AS225">
        <v>4.6522860938054134E-3</v>
      </c>
      <c r="AT225">
        <v>9.8705006200278153E-2</v>
      </c>
      <c r="AU225">
        <v>2.2102389060872918E-3</v>
      </c>
      <c r="AV225">
        <v>1.8586250607291739E-3</v>
      </c>
      <c r="AW225">
        <v>3.1296927251590165E-3</v>
      </c>
      <c r="AX225">
        <v>2.890003411078615E-4</v>
      </c>
      <c r="AY225">
        <v>3.5172757465170716E-4</v>
      </c>
      <c r="BB225">
        <v>5.2793453202497398E-2</v>
      </c>
      <c r="BC225">
        <v>3.7286834167002833E-2</v>
      </c>
      <c r="BE225">
        <v>29437.015521154044</v>
      </c>
      <c r="BF225">
        <v>20.840538436325858</v>
      </c>
      <c r="BG225">
        <v>31869.457836293968</v>
      </c>
      <c r="BH225">
        <v>20.859891003174535</v>
      </c>
    </row>
    <row r="226" spans="3:60" x14ac:dyDescent="0.2">
      <c r="C226" s="138">
        <v>32853.325633053821</v>
      </c>
      <c r="D226" s="138">
        <v>20.649208607597352</v>
      </c>
      <c r="E226" s="138">
        <v>35012.832857376095</v>
      </c>
      <c r="F226" s="138">
        <v>20.587196258020583</v>
      </c>
      <c r="G226" s="138">
        <v>-2159.5072243222749</v>
      </c>
      <c r="H226" s="138">
        <v>6.2012349576768599E-2</v>
      </c>
      <c r="N226" s="138"/>
      <c r="O226" s="138"/>
      <c r="P226" s="138"/>
      <c r="R226">
        <v>327.88866023303802</v>
      </c>
      <c r="S226">
        <v>62.086778869284288</v>
      </c>
      <c r="T226">
        <v>161.45274004252238</v>
      </c>
      <c r="U226">
        <v>110.05557237086796</v>
      </c>
      <c r="X226">
        <v>0.92039230261780181</v>
      </c>
      <c r="Y226">
        <v>0.52809595409372578</v>
      </c>
      <c r="Z226">
        <v>0.60977910645076239</v>
      </c>
      <c r="AA226">
        <v>0.90046640037138048</v>
      </c>
      <c r="AB226">
        <v>0.77720204740616705</v>
      </c>
      <c r="AC226">
        <v>0.92302375458121833</v>
      </c>
      <c r="AD226">
        <v>0.74370421177910961</v>
      </c>
      <c r="AE226">
        <v>0.67177672608470962</v>
      </c>
      <c r="AH226">
        <v>4.290656584657393E-2</v>
      </c>
      <c r="AI226">
        <v>6.0065743969486274E-2</v>
      </c>
      <c r="AJ226">
        <v>0.11877626778310812</v>
      </c>
      <c r="AK226">
        <v>0.2021937566515658</v>
      </c>
      <c r="AL226">
        <v>0.15730639538958868</v>
      </c>
      <c r="AM226">
        <v>0.23779176708412686</v>
      </c>
      <c r="AN226">
        <v>0.15927555318150233</v>
      </c>
      <c r="AO226">
        <v>7.3198954905424385E-2</v>
      </c>
      <c r="AR226">
        <v>8.4533170774383365E-4</v>
      </c>
      <c r="AS226">
        <v>4.4789483459483055E-3</v>
      </c>
      <c r="AT226">
        <v>0.10096973946562848</v>
      </c>
      <c r="AU226">
        <v>2.1537515239455907E-3</v>
      </c>
      <c r="AV226">
        <v>2.0070725428837921E-3</v>
      </c>
      <c r="AW226">
        <v>3.1955406402461588E-3</v>
      </c>
      <c r="AX226">
        <v>2.8017727458106302E-4</v>
      </c>
      <c r="AY226">
        <v>5.0783090748862669E-4</v>
      </c>
      <c r="BB226">
        <v>5.3898274858122264E-2</v>
      </c>
      <c r="BC226">
        <v>6.1029320846789692E-2</v>
      </c>
      <c r="BE226">
        <v>32853.325633053821</v>
      </c>
      <c r="BF226">
        <v>20.649208607597352</v>
      </c>
      <c r="BG226">
        <v>35012.832857376095</v>
      </c>
      <c r="BH226">
        <v>20.587196258020583</v>
      </c>
    </row>
    <row r="227" spans="3:60" x14ac:dyDescent="0.2">
      <c r="C227" s="138">
        <v>31919.650343861347</v>
      </c>
      <c r="D227" s="138">
        <v>21.423222861269554</v>
      </c>
      <c r="E227" s="138">
        <v>34167.662850140732</v>
      </c>
      <c r="F227" s="138">
        <v>21.41765296067938</v>
      </c>
      <c r="G227" s="138">
        <v>-2248.012506279385</v>
      </c>
      <c r="H227" s="138">
        <v>5.5699005901743703E-3</v>
      </c>
      <c r="N227" s="138"/>
      <c r="O227" s="138"/>
      <c r="P227" s="138"/>
      <c r="R227">
        <v>191.19854571247782</v>
      </c>
      <c r="S227">
        <v>62.44097084968449</v>
      </c>
      <c r="T227">
        <v>226.21243871412747</v>
      </c>
      <c r="U227">
        <v>99.40001294845527</v>
      </c>
      <c r="X227">
        <v>0.84968223322443936</v>
      </c>
      <c r="Y227">
        <v>0.84349764557127405</v>
      </c>
      <c r="Z227">
        <v>0.8570287238801213</v>
      </c>
      <c r="AA227">
        <v>0.66433219944083222</v>
      </c>
      <c r="AB227">
        <v>0.56115860670643125</v>
      </c>
      <c r="AC227">
        <v>0.84120607812798398</v>
      </c>
      <c r="AD227">
        <v>0.88790652057068165</v>
      </c>
      <c r="AE227">
        <v>0.90072031832588928</v>
      </c>
      <c r="AH227">
        <v>0.12567524508991779</v>
      </c>
      <c r="AI227">
        <v>7.6912074223206894E-2</v>
      </c>
      <c r="AJ227">
        <v>3.6809219428227125E-2</v>
      </c>
      <c r="AK227">
        <v>0.27900295118335661</v>
      </c>
      <c r="AL227">
        <v>0.31979403496988856</v>
      </c>
      <c r="AM227">
        <v>9.1469360641487918E-2</v>
      </c>
      <c r="AN227">
        <v>7.0887064258735144E-2</v>
      </c>
      <c r="AO227">
        <v>5.0971292136580804E-2</v>
      </c>
      <c r="AR227">
        <v>9.7058541252115216E-4</v>
      </c>
      <c r="AS227">
        <v>4.5053680895204007E-3</v>
      </c>
      <c r="AT227">
        <v>9.9584089577027274E-2</v>
      </c>
      <c r="AU227">
        <v>1.9446862739241936E-3</v>
      </c>
      <c r="AV227">
        <v>2.1719883228608072E-3</v>
      </c>
      <c r="AW227">
        <v>3.2067021751813769E-3</v>
      </c>
      <c r="AX227">
        <v>3.3941045619538253E-4</v>
      </c>
      <c r="AY227">
        <v>3.6857772099389087E-4</v>
      </c>
      <c r="BB227">
        <v>4.9403047815464216E-2</v>
      </c>
      <c r="BC227">
        <v>2.5127351534910799E-2</v>
      </c>
      <c r="BE227">
        <v>31919.650343861347</v>
      </c>
      <c r="BF227">
        <v>21.423222861269554</v>
      </c>
      <c r="BG227">
        <v>34167.662850140732</v>
      </c>
      <c r="BH227">
        <v>21.41765296067938</v>
      </c>
    </row>
    <row r="228" spans="3:60" x14ac:dyDescent="0.2">
      <c r="C228" s="138">
        <v>31883.991731446367</v>
      </c>
      <c r="D228" s="138">
        <v>20.083967727361234</v>
      </c>
      <c r="E228" s="138">
        <v>33681.352617626668</v>
      </c>
      <c r="F228" s="138">
        <v>20.045397572976057</v>
      </c>
      <c r="G228" s="138">
        <v>-1797.3608861803004</v>
      </c>
      <c r="H228" s="138">
        <v>3.8570154385176636E-2</v>
      </c>
      <c r="N228" s="138"/>
      <c r="O228" s="138"/>
      <c r="P228" s="138"/>
      <c r="R228">
        <v>294.33128214587839</v>
      </c>
      <c r="S228">
        <v>68.307362467525877</v>
      </c>
      <c r="T228">
        <v>258.77661696104605</v>
      </c>
      <c r="U228">
        <v>98.262083100019112</v>
      </c>
      <c r="X228">
        <v>0.81430732572499998</v>
      </c>
      <c r="Y228">
        <v>0.85173166487215324</v>
      </c>
      <c r="Z228">
        <v>0.75860518807789179</v>
      </c>
      <c r="AA228">
        <v>0.75072980444050319</v>
      </c>
      <c r="AB228">
        <v>0.79559274757623277</v>
      </c>
      <c r="AC228">
        <v>0.96416308062074085</v>
      </c>
      <c r="AD228">
        <v>0.76968667262214907</v>
      </c>
      <c r="AE228">
        <v>0.72505864531094155</v>
      </c>
      <c r="AH228">
        <v>2.3575335711651157E-2</v>
      </c>
      <c r="AI228">
        <v>0.15423223858811819</v>
      </c>
      <c r="AJ228">
        <v>7.4174217616319704E-2</v>
      </c>
      <c r="AK228">
        <v>3.4036961307962743E-2</v>
      </c>
      <c r="AL228">
        <v>0.15967879361699178</v>
      </c>
      <c r="AM228">
        <v>0.10611583234839805</v>
      </c>
      <c r="AN228">
        <v>0.11288843053083608</v>
      </c>
      <c r="AO228">
        <v>0.13344489758829758</v>
      </c>
      <c r="AR228">
        <v>9.5766112285711191E-4</v>
      </c>
      <c r="AS228">
        <v>4.785837537313653E-3</v>
      </c>
      <c r="AT228">
        <v>9.9933810283118082E-2</v>
      </c>
      <c r="AU228">
        <v>2.0716251701202726E-3</v>
      </c>
      <c r="AV228">
        <v>1.7549122981641394E-3</v>
      </c>
      <c r="AW228">
        <v>3.387625697594624E-3</v>
      </c>
      <c r="AX228">
        <v>5.197728191036477E-4</v>
      </c>
      <c r="AY228">
        <v>3.848850481917876E-4</v>
      </c>
      <c r="BB228">
        <v>5.3431038075616222E-2</v>
      </c>
      <c r="BC228">
        <v>9.7066489807707934E-2</v>
      </c>
      <c r="BE228">
        <v>31883.991731446367</v>
      </c>
      <c r="BF228">
        <v>20.083967727361234</v>
      </c>
      <c r="BG228">
        <v>33681.352617626668</v>
      </c>
      <c r="BH228">
        <v>20.045397572976057</v>
      </c>
    </row>
    <row r="229" spans="3:60" x14ac:dyDescent="0.2">
      <c r="C229" s="138">
        <v>30377.508132178958</v>
      </c>
      <c r="D229" s="138">
        <v>20.714371126842604</v>
      </c>
      <c r="E229" s="138">
        <v>32673.265644220392</v>
      </c>
      <c r="F229" s="138">
        <v>20.704146561495246</v>
      </c>
      <c r="G229" s="138">
        <v>-2295.7575120414331</v>
      </c>
      <c r="H229" s="138">
        <v>1.0224565347357384E-2</v>
      </c>
      <c r="N229" s="138"/>
      <c r="O229" s="138"/>
      <c r="P229" s="138"/>
      <c r="R229">
        <v>436.01195186785259</v>
      </c>
      <c r="S229">
        <v>72.360348096158376</v>
      </c>
      <c r="T229">
        <v>229.25790322778047</v>
      </c>
      <c r="U229">
        <v>97.531216925710666</v>
      </c>
      <c r="X229">
        <v>0.83353478637466116</v>
      </c>
      <c r="Y229">
        <v>0.79237616690148316</v>
      </c>
      <c r="Z229">
        <v>0.82553916066211275</v>
      </c>
      <c r="AA229">
        <v>0.41152092485214881</v>
      </c>
      <c r="AB229">
        <v>0.9651032562968187</v>
      </c>
      <c r="AC229">
        <v>0.79022217774127923</v>
      </c>
      <c r="AD229">
        <v>0.64275232098333801</v>
      </c>
      <c r="AE229">
        <v>0.41421197352656192</v>
      </c>
      <c r="AH229">
        <v>0.18115158112573582</v>
      </c>
      <c r="AI229">
        <v>0.16315361473167234</v>
      </c>
      <c r="AJ229">
        <v>0.17058169164574677</v>
      </c>
      <c r="AK229">
        <v>5.3790845125419429E-2</v>
      </c>
      <c r="AL229">
        <v>0.25088171886711652</v>
      </c>
      <c r="AM229">
        <v>0.19984650312041907</v>
      </c>
      <c r="AN229">
        <v>8.8772546416682863E-2</v>
      </c>
      <c r="AO229">
        <v>0.16558632360154013</v>
      </c>
      <c r="AR229">
        <v>1.0550579042426511E-3</v>
      </c>
      <c r="AS229">
        <v>4.4807151835977886E-3</v>
      </c>
      <c r="AT229">
        <v>9.9598532965125802E-2</v>
      </c>
      <c r="AU229">
        <v>2.1808953314986779E-3</v>
      </c>
      <c r="AV229">
        <v>2.0420247631726118E-3</v>
      </c>
      <c r="AW229">
        <v>3.3689137644483782E-3</v>
      </c>
      <c r="AX229">
        <v>3.3877541122859911E-4</v>
      </c>
      <c r="AY229">
        <v>3.9122412022802309E-4</v>
      </c>
      <c r="BB229">
        <v>5.4666374907749282E-2</v>
      </c>
      <c r="BC229">
        <v>3.1535242501084006E-2</v>
      </c>
      <c r="BE229">
        <v>30377.508132178958</v>
      </c>
      <c r="BF229">
        <v>20.714371126842604</v>
      </c>
      <c r="BG229">
        <v>32673.265644220392</v>
      </c>
      <c r="BH229">
        <v>20.704146561495246</v>
      </c>
    </row>
    <row r="230" spans="3:60" x14ac:dyDescent="0.2">
      <c r="C230" s="138">
        <v>36779.534307260037</v>
      </c>
      <c r="D230" s="138">
        <v>21.130950576937117</v>
      </c>
      <c r="E230" s="138">
        <v>39099.856602099055</v>
      </c>
      <c r="F230" s="138">
        <v>21.109050007485784</v>
      </c>
      <c r="G230" s="138">
        <v>-2320.3222948390176</v>
      </c>
      <c r="H230" s="138">
        <v>2.1900569451332785E-2</v>
      </c>
      <c r="N230" s="138"/>
      <c r="O230" s="138"/>
      <c r="P230" s="138"/>
      <c r="R230">
        <v>211.40109836832855</v>
      </c>
      <c r="S230">
        <v>60.595891910502338</v>
      </c>
      <c r="T230">
        <v>292.83961137096895</v>
      </c>
      <c r="U230">
        <v>85.644684241837396</v>
      </c>
      <c r="X230">
        <v>0.8720394029315478</v>
      </c>
      <c r="Y230">
        <v>0.68048716958028266</v>
      </c>
      <c r="Z230">
        <v>0.83086032476937133</v>
      </c>
      <c r="AA230">
        <v>0.79037223523402733</v>
      </c>
      <c r="AB230">
        <v>0.82900338790458938</v>
      </c>
      <c r="AC230">
        <v>0.80633267778048823</v>
      </c>
      <c r="AD230">
        <v>0.6766558741703278</v>
      </c>
      <c r="AE230">
        <v>0.9372403269981322</v>
      </c>
      <c r="AH230">
        <v>5.2028704383928703E-2</v>
      </c>
      <c r="AI230">
        <v>3.0580122347597438E-2</v>
      </c>
      <c r="AJ230">
        <v>0.12235943322641607</v>
      </c>
      <c r="AK230">
        <v>0.14525241921257181</v>
      </c>
      <c r="AL230">
        <v>1.5885169446059555E-2</v>
      </c>
      <c r="AM230">
        <v>0.21357313041819026</v>
      </c>
      <c r="AN230">
        <v>6.1787107242644357E-2</v>
      </c>
      <c r="AO230">
        <v>0.18438017719428379</v>
      </c>
      <c r="AR230">
        <v>8.9165570888560808E-4</v>
      </c>
      <c r="AS230">
        <v>4.1998675358014001E-3</v>
      </c>
      <c r="AT230">
        <v>0.1002363375209121</v>
      </c>
      <c r="AU230">
        <v>2.1876546088201998E-3</v>
      </c>
      <c r="AV230">
        <v>2.1430122847779787E-3</v>
      </c>
      <c r="AW230">
        <v>3.0802498828260134E-3</v>
      </c>
      <c r="AX230">
        <v>4.2613236464772442E-4</v>
      </c>
      <c r="AY230">
        <v>4.4652577991390963E-4</v>
      </c>
      <c r="BB230">
        <v>5.4171648557722829E-2</v>
      </c>
      <c r="BC230">
        <v>7.296486834278515E-2</v>
      </c>
      <c r="BE230">
        <v>36779.534307260037</v>
      </c>
      <c r="BF230">
        <v>21.130950576937117</v>
      </c>
      <c r="BG230">
        <v>39099.856602099055</v>
      </c>
      <c r="BH230">
        <v>21.109050007485784</v>
      </c>
    </row>
    <row r="231" spans="3:60" x14ac:dyDescent="0.2">
      <c r="C231" s="138">
        <v>33339.127030945558</v>
      </c>
      <c r="D231" s="138">
        <v>21.624939195928729</v>
      </c>
      <c r="E231" s="138">
        <v>35140.084337479908</v>
      </c>
      <c r="F231" s="138">
        <v>21.611797627323078</v>
      </c>
      <c r="G231" s="138">
        <v>-1800.9573065343502</v>
      </c>
      <c r="H231" s="138">
        <v>1.3141568605650633E-2</v>
      </c>
      <c r="N231" s="138"/>
      <c r="O231" s="138"/>
      <c r="P231" s="138"/>
      <c r="R231">
        <v>203.09115164338797</v>
      </c>
      <c r="S231">
        <v>70.780604009669588</v>
      </c>
      <c r="T231">
        <v>297.94539689423442</v>
      </c>
      <c r="U231">
        <v>78.270953806631539</v>
      </c>
      <c r="X231">
        <v>0.74702546330477315</v>
      </c>
      <c r="Y231">
        <v>0.95873859213665313</v>
      </c>
      <c r="Z231">
        <v>0.80525781990451462</v>
      </c>
      <c r="AA231">
        <v>0.72014995881062882</v>
      </c>
      <c r="AB231">
        <v>0.85313059253333212</v>
      </c>
      <c r="AC231">
        <v>0.65261849858559973</v>
      </c>
      <c r="AD231">
        <v>0.77080466216823385</v>
      </c>
      <c r="AE231">
        <v>0.93298330688017361</v>
      </c>
      <c r="AH231">
        <v>0.1137403579440216</v>
      </c>
      <c r="AI231">
        <v>0.14664581701225765</v>
      </c>
      <c r="AJ231">
        <v>0.12940531857507998</v>
      </c>
      <c r="AK231">
        <v>4.7558459156620603E-2</v>
      </c>
      <c r="AL231">
        <v>0.14389495783803463</v>
      </c>
      <c r="AM231">
        <v>7.6377271886956755E-2</v>
      </c>
      <c r="AN231">
        <v>0.32053669561072062</v>
      </c>
      <c r="AO231">
        <v>0.30898524922002912</v>
      </c>
      <c r="AR231">
        <v>7.5725714134361845E-4</v>
      </c>
      <c r="AS231">
        <v>4.3244037441478329E-3</v>
      </c>
      <c r="AT231">
        <v>0.10009994237884146</v>
      </c>
      <c r="AU231">
        <v>2.0235800475139065E-3</v>
      </c>
      <c r="AV231">
        <v>1.9548725811159998E-3</v>
      </c>
      <c r="AW231">
        <v>3.417034346729575E-3</v>
      </c>
      <c r="AX231">
        <v>4.3835835294869785E-4</v>
      </c>
      <c r="AY231">
        <v>4.185732064679785E-4</v>
      </c>
      <c r="BB231">
        <v>5.346116013089186E-2</v>
      </c>
      <c r="BC231">
        <v>9.3683799507173204E-2</v>
      </c>
      <c r="BE231">
        <v>33339.127030945558</v>
      </c>
      <c r="BF231">
        <v>21.624939195928729</v>
      </c>
      <c r="BG231">
        <v>35140.084337479908</v>
      </c>
      <c r="BH231">
        <v>21.611797627323078</v>
      </c>
    </row>
    <row r="232" spans="3:60" x14ac:dyDescent="0.2">
      <c r="C232" s="138">
        <v>29329.962950988291</v>
      </c>
      <c r="D232" s="138">
        <v>21.033353845819999</v>
      </c>
      <c r="E232" s="138">
        <v>31600.645766306039</v>
      </c>
      <c r="F232" s="138">
        <v>21.005472608634289</v>
      </c>
      <c r="G232" s="138">
        <v>-2270.6828153177485</v>
      </c>
      <c r="H232" s="138">
        <v>2.7881237185710006E-2</v>
      </c>
      <c r="N232" s="138"/>
      <c r="O232" s="138"/>
      <c r="P232" s="138"/>
      <c r="R232">
        <v>78.850878505607255</v>
      </c>
      <c r="S232">
        <v>64.382663673898136</v>
      </c>
      <c r="T232">
        <v>241.12793043686784</v>
      </c>
      <c r="U232">
        <v>99.329345590003953</v>
      </c>
      <c r="X232">
        <v>0.64698166118924016</v>
      </c>
      <c r="Y232">
        <v>0.68037918681091891</v>
      </c>
      <c r="Z232">
        <v>0.52780772227224937</v>
      </c>
      <c r="AA232">
        <v>0.66721863716978713</v>
      </c>
      <c r="AB232">
        <v>0.66753854991427963</v>
      </c>
      <c r="AC232">
        <v>0.75784557491051896</v>
      </c>
      <c r="AD232">
        <v>0.60906982078007876</v>
      </c>
      <c r="AE232">
        <v>0.80806647628939121</v>
      </c>
      <c r="AH232">
        <v>0.10137557059454583</v>
      </c>
      <c r="AI232">
        <v>0.48549287572873456</v>
      </c>
      <c r="AJ232">
        <v>6.8090404732703891E-2</v>
      </c>
      <c r="AK232">
        <v>5.9984962081122584E-2</v>
      </c>
      <c r="AL232">
        <v>0.13228046193428133</v>
      </c>
      <c r="AM232">
        <v>0.20079190379582801</v>
      </c>
      <c r="AN232">
        <v>3.498319338530731E-2</v>
      </c>
      <c r="AO232">
        <v>9.9493728294165029E-2</v>
      </c>
      <c r="AR232">
        <v>8.3861899130458981E-4</v>
      </c>
      <c r="AS232">
        <v>4.2772700429294427E-3</v>
      </c>
      <c r="AT232">
        <v>9.9127141928569779E-2</v>
      </c>
      <c r="AU232">
        <v>1.9788358889772316E-3</v>
      </c>
      <c r="AV232">
        <v>2.1133278089440211E-3</v>
      </c>
      <c r="AW232">
        <v>3.2196153700065548E-3</v>
      </c>
      <c r="AX232">
        <v>4.8794689649300782E-4</v>
      </c>
      <c r="AY232">
        <v>4.4007828148445564E-4</v>
      </c>
      <c r="BB232">
        <v>5.2332461847385048E-2</v>
      </c>
      <c r="BC232">
        <v>2.0007595418696927E-2</v>
      </c>
      <c r="BE232">
        <v>29329.962950988291</v>
      </c>
      <c r="BF232">
        <v>21.033353845819999</v>
      </c>
      <c r="BG232">
        <v>31600.645766306039</v>
      </c>
      <c r="BH232">
        <v>21.005472608634289</v>
      </c>
    </row>
    <row r="233" spans="3:60" x14ac:dyDescent="0.2">
      <c r="C233" s="138">
        <v>30145.428276329811</v>
      </c>
      <c r="D233" s="138">
        <v>20.882465459446102</v>
      </c>
      <c r="E233" s="138">
        <v>32049.48128308358</v>
      </c>
      <c r="F233" s="138">
        <v>20.855268658723325</v>
      </c>
      <c r="G233" s="138">
        <v>-1904.0530067537693</v>
      </c>
      <c r="H233" s="138">
        <v>2.719680072277697E-2</v>
      </c>
      <c r="N233" s="138"/>
      <c r="O233" s="138"/>
      <c r="P233" s="138"/>
      <c r="R233">
        <v>282.85794546914696</v>
      </c>
      <c r="S233">
        <v>56.898739955766182</v>
      </c>
      <c r="T233">
        <v>206.17658838833034</v>
      </c>
      <c r="U233">
        <v>98.756266196572412</v>
      </c>
      <c r="X233">
        <v>0.73300876404555648</v>
      </c>
      <c r="Y233">
        <v>0.82985069986535331</v>
      </c>
      <c r="Z233">
        <v>0.9072613376850156</v>
      </c>
      <c r="AA233">
        <v>0.48201554937845503</v>
      </c>
      <c r="AB233">
        <v>0.62345160142710176</v>
      </c>
      <c r="AC233">
        <v>0.64011750182968297</v>
      </c>
      <c r="AD233">
        <v>0.39881994131346665</v>
      </c>
      <c r="AE233">
        <v>0.49639816144928678</v>
      </c>
      <c r="AH233">
        <v>1.3628777975337902E-2</v>
      </c>
      <c r="AI233">
        <v>5.2615629702496003E-2</v>
      </c>
      <c r="AJ233">
        <v>7.6804948287885311E-2</v>
      </c>
      <c r="AK233">
        <v>8.6517705725603022E-2</v>
      </c>
      <c r="AL233">
        <v>0.18998823958000643</v>
      </c>
      <c r="AM233">
        <v>7.5565242212032535E-2</v>
      </c>
      <c r="AN233">
        <v>1.9285406210869604E-2</v>
      </c>
      <c r="AO233">
        <v>0.22329288522056256</v>
      </c>
      <c r="AR233">
        <v>8.6564921080103171E-4</v>
      </c>
      <c r="AS233">
        <v>4.6819552171816214E-3</v>
      </c>
      <c r="AT233">
        <v>0.10108977889488657</v>
      </c>
      <c r="AU233">
        <v>2.0605644522663225E-3</v>
      </c>
      <c r="AV233">
        <v>1.9856272478851879E-3</v>
      </c>
      <c r="AW233">
        <v>3.6848066996867379E-3</v>
      </c>
      <c r="AX233">
        <v>4.6895029464444349E-4</v>
      </c>
      <c r="AY233">
        <v>4.7919376739136155E-4</v>
      </c>
      <c r="BB233">
        <v>5.1068398934795201E-2</v>
      </c>
      <c r="BC233">
        <v>5.644176693635472E-2</v>
      </c>
      <c r="BE233">
        <v>30145.428276329811</v>
      </c>
      <c r="BF233">
        <v>20.882465459446102</v>
      </c>
      <c r="BG233">
        <v>32049.48128308358</v>
      </c>
      <c r="BH233">
        <v>20.855268658723325</v>
      </c>
    </row>
    <row r="234" spans="3:60" x14ac:dyDescent="0.2">
      <c r="C234" s="138">
        <v>24829.873093842874</v>
      </c>
      <c r="D234" s="138">
        <v>20.425810986356165</v>
      </c>
      <c r="E234" s="138">
        <v>26857.917264723605</v>
      </c>
      <c r="F234" s="138">
        <v>20.379756112242372</v>
      </c>
      <c r="G234" s="138">
        <v>-2028.0441708807302</v>
      </c>
      <c r="H234" s="138">
        <v>4.6054874113792721E-2</v>
      </c>
      <c r="N234" s="138"/>
      <c r="O234" s="138"/>
      <c r="P234" s="138"/>
      <c r="R234">
        <v>119.55387102302183</v>
      </c>
      <c r="S234">
        <v>61.877833621441944</v>
      </c>
      <c r="T234">
        <v>236.98503575237342</v>
      </c>
      <c r="U234">
        <v>103.01125720899235</v>
      </c>
      <c r="X234">
        <v>0.71996164304185739</v>
      </c>
      <c r="Y234">
        <v>0.76016794344587213</v>
      </c>
      <c r="Z234">
        <v>0.81129809090814864</v>
      </c>
      <c r="AA234">
        <v>0.70118524325267484</v>
      </c>
      <c r="AB234">
        <v>0.83506717734048397</v>
      </c>
      <c r="AC234">
        <v>0.64374586537310508</v>
      </c>
      <c r="AD234">
        <v>0.59701952211120202</v>
      </c>
      <c r="AE234">
        <v>0.67645889979117679</v>
      </c>
      <c r="AH234">
        <v>0.1522487507466469</v>
      </c>
      <c r="AI234">
        <v>7.0131341124247348E-2</v>
      </c>
      <c r="AJ234">
        <v>8.1854686800028165E-2</v>
      </c>
      <c r="AK234">
        <v>1.6966102358472623E-2</v>
      </c>
      <c r="AL234">
        <v>1.8076291293615099E-2</v>
      </c>
      <c r="AM234">
        <v>0.11210471261470134</v>
      </c>
      <c r="AN234">
        <v>7.3734591545540185E-2</v>
      </c>
      <c r="AO234">
        <v>6.4886641682397661E-2</v>
      </c>
      <c r="AR234">
        <v>9.4274822406203995E-4</v>
      </c>
      <c r="AS234">
        <v>4.5856404348748603E-3</v>
      </c>
      <c r="AT234">
        <v>9.8274911863947892E-2</v>
      </c>
      <c r="AU234">
        <v>1.9124485184301245E-3</v>
      </c>
      <c r="AV234">
        <v>1.789287925280983E-3</v>
      </c>
      <c r="AW234">
        <v>3.5250441404151012E-3</v>
      </c>
      <c r="AX234">
        <v>3.7317673061983847E-4</v>
      </c>
      <c r="AY234">
        <v>3.5729133335365808E-4</v>
      </c>
      <c r="BB234">
        <v>5.1013674012010291E-2</v>
      </c>
      <c r="BC234">
        <v>6.7239637901133076E-2</v>
      </c>
      <c r="BE234">
        <v>24829.873093842874</v>
      </c>
      <c r="BF234">
        <v>20.425810986356165</v>
      </c>
      <c r="BG234">
        <v>26857.917264723605</v>
      </c>
      <c r="BH234">
        <v>20.379756112242372</v>
      </c>
    </row>
    <row r="235" spans="3:60" x14ac:dyDescent="0.2">
      <c r="C235" s="138">
        <v>35840.477207720549</v>
      </c>
      <c r="D235" s="138">
        <v>20.814608121706659</v>
      </c>
      <c r="E235" s="138">
        <v>37974.248304569715</v>
      </c>
      <c r="F235" s="138">
        <v>20.763682334199878</v>
      </c>
      <c r="G235" s="138">
        <v>-2133.7710968491665</v>
      </c>
      <c r="H235" s="138">
        <v>5.0925787506781006E-2</v>
      </c>
      <c r="N235" s="138"/>
      <c r="O235" s="138"/>
      <c r="P235" s="138"/>
      <c r="R235">
        <v>220.32333134377501</v>
      </c>
      <c r="S235">
        <v>59.43898599992793</v>
      </c>
      <c r="T235">
        <v>246.5098784927558</v>
      </c>
      <c r="U235">
        <v>92.985021489337896</v>
      </c>
      <c r="X235">
        <v>0.64069049908380904</v>
      </c>
      <c r="Y235">
        <v>0.89882087698856483</v>
      </c>
      <c r="Z235">
        <v>0.64202719151794096</v>
      </c>
      <c r="AA235">
        <v>0.77197643438526231</v>
      </c>
      <c r="AB235">
        <v>0.71105693285568938</v>
      </c>
      <c r="AC235">
        <v>0.49975330780776756</v>
      </c>
      <c r="AD235">
        <v>0.81994705354330844</v>
      </c>
      <c r="AE235">
        <v>0.87382006366430809</v>
      </c>
      <c r="AH235">
        <v>0.14439450002432541</v>
      </c>
      <c r="AI235">
        <v>0.30792528520681928</v>
      </c>
      <c r="AJ235">
        <v>4.0682286309929427E-2</v>
      </c>
      <c r="AK235">
        <v>8.0862165736493519E-2</v>
      </c>
      <c r="AL235">
        <v>6.8642591402219399E-2</v>
      </c>
      <c r="AM235">
        <v>0.14162496817397563</v>
      </c>
      <c r="AN235">
        <v>0.3058273265896837</v>
      </c>
      <c r="AO235">
        <v>0.22576571124743106</v>
      </c>
      <c r="AR235">
        <v>9.4289238890632454E-4</v>
      </c>
      <c r="AS235">
        <v>4.8610299241381716E-3</v>
      </c>
      <c r="AT235">
        <v>9.9936569176556952E-2</v>
      </c>
      <c r="AU235">
        <v>2.0157258600680406E-3</v>
      </c>
      <c r="AV235">
        <v>1.8705113209369192E-3</v>
      </c>
      <c r="AW235">
        <v>3.3361410398505802E-3</v>
      </c>
      <c r="AX235">
        <v>4.584414729404962E-4</v>
      </c>
      <c r="AY235">
        <v>2.7053240610397036E-4</v>
      </c>
      <c r="BB235">
        <v>5.7044684831643044E-2</v>
      </c>
      <c r="BC235">
        <v>1.5733196631516674E-2</v>
      </c>
      <c r="BE235">
        <v>35840.477207720549</v>
      </c>
      <c r="BF235">
        <v>20.814608121706659</v>
      </c>
      <c r="BG235">
        <v>37974.248304569715</v>
      </c>
      <c r="BH235">
        <v>20.763682334199878</v>
      </c>
    </row>
    <row r="236" spans="3:60" x14ac:dyDescent="0.2">
      <c r="C236" s="138">
        <v>35354.962989729305</v>
      </c>
      <c r="D236" s="138">
        <v>21.070789513589855</v>
      </c>
      <c r="E236" s="138">
        <v>37869.846178339147</v>
      </c>
      <c r="F236" s="138">
        <v>21.055747794242716</v>
      </c>
      <c r="G236" s="138">
        <v>-2514.8831886098415</v>
      </c>
      <c r="H236" s="138">
        <v>1.5041719347138383E-2</v>
      </c>
      <c r="N236" s="138"/>
      <c r="O236" s="138"/>
      <c r="P236" s="138"/>
      <c r="R236">
        <v>233.17641139272411</v>
      </c>
      <c r="S236">
        <v>68.829859666105008</v>
      </c>
      <c r="T236">
        <v>257.83192967712904</v>
      </c>
      <c r="U236">
        <v>101.23571420139655</v>
      </c>
      <c r="X236">
        <v>0.72043645157735225</v>
      </c>
      <c r="Y236">
        <v>0.93460718731619485</v>
      </c>
      <c r="Z236">
        <v>0.72052037876814068</v>
      </c>
      <c r="AA236">
        <v>0.77662346542203053</v>
      </c>
      <c r="AB236">
        <v>0.69543793112034025</v>
      </c>
      <c r="AC236">
        <v>0.57127304118539635</v>
      </c>
      <c r="AD236">
        <v>0.44000183649961272</v>
      </c>
      <c r="AE236">
        <v>0.8146806290979165</v>
      </c>
      <c r="AH236">
        <v>0.27802801306809843</v>
      </c>
      <c r="AI236">
        <v>5.315672619839551E-2</v>
      </c>
      <c r="AJ236">
        <v>0.19899776090891552</v>
      </c>
      <c r="AK236">
        <v>0.14309007606021618</v>
      </c>
      <c r="AL236">
        <v>3.6927938579085162E-2</v>
      </c>
      <c r="AM236">
        <v>8.9854940210744916E-2</v>
      </c>
      <c r="AN236">
        <v>5.2386516018712692E-2</v>
      </c>
      <c r="AO236">
        <v>7.872457415867018E-2</v>
      </c>
      <c r="AR236">
        <v>9.1387814705434778E-4</v>
      </c>
      <c r="AS236">
        <v>4.5614779136048389E-3</v>
      </c>
      <c r="AT236">
        <v>9.8196061559494063E-2</v>
      </c>
      <c r="AU236">
        <v>1.9645577538736679E-3</v>
      </c>
      <c r="AV236">
        <v>1.934715170740135E-3</v>
      </c>
      <c r="AW236">
        <v>3.2644418453718744E-3</v>
      </c>
      <c r="AX236">
        <v>3.2990871170635256E-4</v>
      </c>
      <c r="AY236">
        <v>4.4693735995193773E-4</v>
      </c>
      <c r="BB236">
        <v>5.7671692303250977E-2</v>
      </c>
      <c r="BC236">
        <v>5.3643294180716339E-2</v>
      </c>
      <c r="BE236">
        <v>35354.962989729305</v>
      </c>
      <c r="BF236">
        <v>21.070789513589855</v>
      </c>
      <c r="BG236">
        <v>37869.846178339147</v>
      </c>
      <c r="BH236">
        <v>21.055747794242716</v>
      </c>
    </row>
    <row r="237" spans="3:60" x14ac:dyDescent="0.2">
      <c r="C237" s="138">
        <v>32107.248157337282</v>
      </c>
      <c r="D237" s="138">
        <v>20.892169273602789</v>
      </c>
      <c r="E237" s="138">
        <v>34078.032422889723</v>
      </c>
      <c r="F237" s="138">
        <v>20.881151919759553</v>
      </c>
      <c r="G237" s="138">
        <v>-1970.78426555244</v>
      </c>
      <c r="H237" s="138">
        <v>1.1017353843236322E-2</v>
      </c>
      <c r="N237" s="138"/>
      <c r="O237" s="138"/>
      <c r="P237" s="138"/>
      <c r="R237">
        <v>444.69641892642426</v>
      </c>
      <c r="S237">
        <v>61.534117744264016</v>
      </c>
      <c r="T237">
        <v>197.44680777208617</v>
      </c>
      <c r="U237">
        <v>104.37790932649646</v>
      </c>
      <c r="X237">
        <v>0.79190534803597223</v>
      </c>
      <c r="Y237">
        <v>0.91604931951063451</v>
      </c>
      <c r="Z237">
        <v>0.6839923731489167</v>
      </c>
      <c r="AA237">
        <v>0.73929449642285294</v>
      </c>
      <c r="AB237">
        <v>0.96287128304413094</v>
      </c>
      <c r="AC237">
        <v>0.50994936135423552</v>
      </c>
      <c r="AD237">
        <v>0.77111116718929618</v>
      </c>
      <c r="AE237">
        <v>0.93300252092601577</v>
      </c>
      <c r="AH237">
        <v>8.4323228581488108E-2</v>
      </c>
      <c r="AI237">
        <v>4.3099675185587216E-2</v>
      </c>
      <c r="AJ237">
        <v>4.5036908345507998E-2</v>
      </c>
      <c r="AK237">
        <v>0.12030414359521791</v>
      </c>
      <c r="AL237">
        <v>0.22743129878195623</v>
      </c>
      <c r="AM237">
        <v>3.5096882278922825E-2</v>
      </c>
      <c r="AN237">
        <v>0.2022117294536121</v>
      </c>
      <c r="AO237">
        <v>6.9527127208487305E-2</v>
      </c>
      <c r="AR237">
        <v>7.8735615982596476E-4</v>
      </c>
      <c r="AS237">
        <v>4.7922985417626629E-3</v>
      </c>
      <c r="AT237">
        <v>9.9004451263969645E-2</v>
      </c>
      <c r="AU237">
        <v>2.0554811424525754E-3</v>
      </c>
      <c r="AV237">
        <v>1.9187395506673342E-3</v>
      </c>
      <c r="AW237">
        <v>3.4942924028266154E-3</v>
      </c>
      <c r="AX237">
        <v>3.9906221736596414E-4</v>
      </c>
      <c r="AY237">
        <v>5.2208930874242387E-4</v>
      </c>
      <c r="BB237">
        <v>5.169918766047843E-2</v>
      </c>
      <c r="BC237">
        <v>2.495567005296663E-2</v>
      </c>
      <c r="BE237">
        <v>32107.248157337282</v>
      </c>
      <c r="BF237">
        <v>20.892169273602789</v>
      </c>
      <c r="BG237">
        <v>34078.032422889723</v>
      </c>
      <c r="BH237">
        <v>20.881151919759553</v>
      </c>
    </row>
    <row r="238" spans="3:60" x14ac:dyDescent="0.2">
      <c r="C238" s="138">
        <v>30717.235013812679</v>
      </c>
      <c r="D238" s="138">
        <v>20.585043804167171</v>
      </c>
      <c r="E238" s="138">
        <v>32878.209688248229</v>
      </c>
      <c r="F238" s="138">
        <v>20.533400941323649</v>
      </c>
      <c r="G238" s="138">
        <v>-2160.9746744355507</v>
      </c>
      <c r="H238" s="138">
        <v>5.1642862843522153E-2</v>
      </c>
      <c r="N238" s="138"/>
      <c r="O238" s="138"/>
      <c r="P238" s="138"/>
      <c r="R238">
        <v>274.97079455828481</v>
      </c>
      <c r="S238">
        <v>55.918939260215971</v>
      </c>
      <c r="T238">
        <v>238.81565805805286</v>
      </c>
      <c r="U238">
        <v>115.44014780525028</v>
      </c>
      <c r="X238">
        <v>0.83826519361006513</v>
      </c>
      <c r="Y238">
        <v>0.72963407768134037</v>
      </c>
      <c r="Z238">
        <v>0.86559121701398678</v>
      </c>
      <c r="AA238">
        <v>0.41250942754851799</v>
      </c>
      <c r="AB238">
        <v>0.92806801474111311</v>
      </c>
      <c r="AC238">
        <v>0.62954393043653079</v>
      </c>
      <c r="AD238">
        <v>0.70720939800401361</v>
      </c>
      <c r="AE238">
        <v>0.98905074566009021</v>
      </c>
      <c r="AH238">
        <v>2.2445404071647079E-2</v>
      </c>
      <c r="AI238">
        <v>4.0969299622699129E-2</v>
      </c>
      <c r="AJ238">
        <v>0.17768811404676677</v>
      </c>
      <c r="AK238">
        <v>0.11589645252002601</v>
      </c>
      <c r="AL238">
        <v>8.2872320476404915E-2</v>
      </c>
      <c r="AM238">
        <v>3.0890907139430546E-2</v>
      </c>
      <c r="AN238">
        <v>0.13192643053863873</v>
      </c>
      <c r="AO238">
        <v>0.25030720150798069</v>
      </c>
      <c r="AR238">
        <v>8.2495402158450667E-4</v>
      </c>
      <c r="AS238">
        <v>4.6765929647348825E-3</v>
      </c>
      <c r="AT238">
        <v>0.10028145483376527</v>
      </c>
      <c r="AU238">
        <v>2.0414844883626104E-3</v>
      </c>
      <c r="AV238">
        <v>1.7862910028172748E-3</v>
      </c>
      <c r="AW238">
        <v>3.4492970745413354E-3</v>
      </c>
      <c r="AX238">
        <v>3.4667428224654476E-4</v>
      </c>
      <c r="AY238">
        <v>2.9650432686964074E-4</v>
      </c>
      <c r="BB238">
        <v>5.3664719251126369E-2</v>
      </c>
      <c r="BC238">
        <v>8.769005551929776E-2</v>
      </c>
      <c r="BE238">
        <v>30717.235013812679</v>
      </c>
      <c r="BF238">
        <v>20.585043804167171</v>
      </c>
      <c r="BG238">
        <v>32878.209688248229</v>
      </c>
      <c r="BH238">
        <v>20.533400941323649</v>
      </c>
    </row>
    <row r="239" spans="3:60" x14ac:dyDescent="0.2">
      <c r="C239" s="138">
        <v>33964.408782789011</v>
      </c>
      <c r="D239" s="138">
        <v>20.812266392469329</v>
      </c>
      <c r="E239" s="138">
        <v>36119.013590406619</v>
      </c>
      <c r="F239" s="138">
        <v>20.781923436836802</v>
      </c>
      <c r="G239" s="138">
        <v>-2154.6048076176085</v>
      </c>
      <c r="H239" s="138">
        <v>3.034295563252698E-2</v>
      </c>
      <c r="N239" s="138"/>
      <c r="O239" s="138"/>
      <c r="P239" s="138"/>
      <c r="R239">
        <v>385.86641202391115</v>
      </c>
      <c r="S239">
        <v>77.125058973505006</v>
      </c>
      <c r="T239">
        <v>247.88325269019347</v>
      </c>
      <c r="U239">
        <v>96.379332964180151</v>
      </c>
      <c r="X239">
        <v>0.78604037868925269</v>
      </c>
      <c r="Y239">
        <v>0.9387134466835324</v>
      </c>
      <c r="Z239">
        <v>0.48459177965678107</v>
      </c>
      <c r="AA239">
        <v>0.48350499985951056</v>
      </c>
      <c r="AB239">
        <v>0.8760608438865618</v>
      </c>
      <c r="AC239">
        <v>0.78520737321568757</v>
      </c>
      <c r="AD239">
        <v>0.68283870099007604</v>
      </c>
      <c r="AE239">
        <v>0.73806396229046478</v>
      </c>
      <c r="AH239">
        <v>0.2413991466559271</v>
      </c>
      <c r="AI239">
        <v>2.616941877324519E-2</v>
      </c>
      <c r="AJ239">
        <v>9.3345641126781898E-3</v>
      </c>
      <c r="AK239">
        <v>1.4497869136192554E-2</v>
      </c>
      <c r="AL239">
        <v>8.0693203724814588E-2</v>
      </c>
      <c r="AM239">
        <v>4.3952771125601364E-2</v>
      </c>
      <c r="AN239">
        <v>0.13639141277553513</v>
      </c>
      <c r="AO239">
        <v>5.5253526410684928E-2</v>
      </c>
      <c r="AR239">
        <v>6.5670046111801787E-4</v>
      </c>
      <c r="AS239">
        <v>4.8714699178209475E-3</v>
      </c>
      <c r="AT239">
        <v>0.10067691681149871</v>
      </c>
      <c r="AU239">
        <v>2.2235889947029852E-3</v>
      </c>
      <c r="AV239">
        <v>2.1317748135999404E-3</v>
      </c>
      <c r="AW239">
        <v>3.3512000840830729E-3</v>
      </c>
      <c r="AX239">
        <v>3.7351951121231044E-4</v>
      </c>
      <c r="AY239">
        <v>4.0413280943346207E-4</v>
      </c>
      <c r="BB239">
        <v>4.0030058294167378E-2</v>
      </c>
      <c r="BC239">
        <v>4.5224433889413135E-2</v>
      </c>
      <c r="BE239">
        <v>33964.408782789011</v>
      </c>
      <c r="BF239">
        <v>20.812266392469329</v>
      </c>
      <c r="BG239">
        <v>36119.013590406619</v>
      </c>
      <c r="BH239">
        <v>20.781923436836802</v>
      </c>
    </row>
    <row r="240" spans="3:60" x14ac:dyDescent="0.2">
      <c r="C240" s="138">
        <v>31455.250830173019</v>
      </c>
      <c r="D240" s="138">
        <v>20.748428486939407</v>
      </c>
      <c r="E240" s="138">
        <v>33352.405501111964</v>
      </c>
      <c r="F240" s="138">
        <v>20.718648639742714</v>
      </c>
      <c r="G240" s="138">
        <v>-1897.154670938944</v>
      </c>
      <c r="H240" s="138">
        <v>2.9779847196692799E-2</v>
      </c>
      <c r="N240" s="138"/>
      <c r="O240" s="138"/>
      <c r="P240" s="138"/>
      <c r="R240">
        <v>257.55668779300049</v>
      </c>
      <c r="S240">
        <v>55.844778660287453</v>
      </c>
      <c r="T240">
        <v>283.1615654509439</v>
      </c>
      <c r="U240">
        <v>92.200259678688283</v>
      </c>
      <c r="X240">
        <v>0.59130222216938066</v>
      </c>
      <c r="Y240">
        <v>0.73594462558717677</v>
      </c>
      <c r="Z240">
        <v>0.82010357669932965</v>
      </c>
      <c r="AA240">
        <v>0.59834585399326556</v>
      </c>
      <c r="AB240">
        <v>0.54055302952424467</v>
      </c>
      <c r="AC240">
        <v>0.53525403510813374</v>
      </c>
      <c r="AD240">
        <v>0.74357805619134543</v>
      </c>
      <c r="AE240">
        <v>0.90697733254360346</v>
      </c>
      <c r="AH240">
        <v>9.1109133401756637E-2</v>
      </c>
      <c r="AI240">
        <v>0.20932856427643665</v>
      </c>
      <c r="AJ240">
        <v>0.15179419465402144</v>
      </c>
      <c r="AK240">
        <v>0.16436384163614071</v>
      </c>
      <c r="AL240">
        <v>7.6142929699608453E-2</v>
      </c>
      <c r="AM240">
        <v>0.10416138242346995</v>
      </c>
      <c r="AN240">
        <v>0.16355385734326122</v>
      </c>
      <c r="AO240">
        <v>9.7360299231255998E-2</v>
      </c>
      <c r="AR240">
        <v>9.8634709785117014E-4</v>
      </c>
      <c r="AS240">
        <v>4.612440151994246E-3</v>
      </c>
      <c r="AT240">
        <v>0.10041483409433127</v>
      </c>
      <c r="AU240">
        <v>1.8547118695122127E-3</v>
      </c>
      <c r="AV240">
        <v>1.9273063890032848E-3</v>
      </c>
      <c r="AW240">
        <v>3.2647058497264005E-3</v>
      </c>
      <c r="AX240">
        <v>3.2693406908586027E-4</v>
      </c>
      <c r="AY240">
        <v>4.3456074453920954E-4</v>
      </c>
      <c r="BB240">
        <v>5.4864845765689618E-2</v>
      </c>
      <c r="BC240">
        <v>1.527738195138051E-2</v>
      </c>
      <c r="BE240">
        <v>31455.250830173019</v>
      </c>
      <c r="BF240">
        <v>20.748428486939407</v>
      </c>
      <c r="BG240">
        <v>33352.405501111964</v>
      </c>
      <c r="BH240">
        <v>20.718648639742714</v>
      </c>
    </row>
    <row r="241" spans="3:60" x14ac:dyDescent="0.2">
      <c r="C241" s="138">
        <v>32574.672942966798</v>
      </c>
      <c r="D241" s="138">
        <v>20.712550061686837</v>
      </c>
      <c r="E241" s="138">
        <v>34800.953663371773</v>
      </c>
      <c r="F241" s="138">
        <v>20.674767149247383</v>
      </c>
      <c r="G241" s="138">
        <v>-2226.280720404975</v>
      </c>
      <c r="H241" s="138">
        <v>3.7782912439453753E-2</v>
      </c>
      <c r="N241" s="138"/>
      <c r="O241" s="138"/>
      <c r="P241" s="138"/>
      <c r="R241">
        <v>331.86337255910701</v>
      </c>
      <c r="S241">
        <v>70.933531123829226</v>
      </c>
      <c r="T241">
        <v>254.75824381355076</v>
      </c>
      <c r="U241">
        <v>74.593165276948355</v>
      </c>
      <c r="X241">
        <v>0.86914411514061052</v>
      </c>
      <c r="Y241">
        <v>0.72038813747921793</v>
      </c>
      <c r="Z241">
        <v>0.87342377370706303</v>
      </c>
      <c r="AA241">
        <v>0.44657836391823552</v>
      </c>
      <c r="AB241">
        <v>0.88982206778689776</v>
      </c>
      <c r="AC241">
        <v>0.410177047394087</v>
      </c>
      <c r="AD241">
        <v>0.90966040208336385</v>
      </c>
      <c r="AE241">
        <v>0.68896488662999189</v>
      </c>
      <c r="AH241">
        <v>0.13192560831333144</v>
      </c>
      <c r="AI241">
        <v>0.21347627002987379</v>
      </c>
      <c r="AJ241">
        <v>0.10693123652900094</v>
      </c>
      <c r="AK241">
        <v>0.22157996436508209</v>
      </c>
      <c r="AL241">
        <v>5.9137295899106657E-2</v>
      </c>
      <c r="AM241">
        <v>7.0045830755339766E-2</v>
      </c>
      <c r="AN241">
        <v>0.22386679520357877</v>
      </c>
      <c r="AO241">
        <v>0.10001585748775443</v>
      </c>
      <c r="AR241">
        <v>9.4277609118209593E-4</v>
      </c>
      <c r="AS241">
        <v>4.5072904709649864E-3</v>
      </c>
      <c r="AT241">
        <v>9.9022460998822698E-2</v>
      </c>
      <c r="AU241">
        <v>1.892901351742197E-3</v>
      </c>
      <c r="AV241">
        <v>2.0705351915448755E-3</v>
      </c>
      <c r="AW241">
        <v>3.7146418500848544E-3</v>
      </c>
      <c r="AX241">
        <v>3.4690271040124077E-4</v>
      </c>
      <c r="AY241">
        <v>5.6774629631062279E-4</v>
      </c>
      <c r="BB241">
        <v>4.5838695238663754E-2</v>
      </c>
      <c r="BC241">
        <v>6.5010065025690622E-2</v>
      </c>
      <c r="BE241">
        <v>32574.672942966798</v>
      </c>
      <c r="BF241">
        <v>20.712550061686837</v>
      </c>
      <c r="BG241">
        <v>34800.953663371773</v>
      </c>
      <c r="BH241">
        <v>20.674767149247383</v>
      </c>
    </row>
    <row r="242" spans="3:60" x14ac:dyDescent="0.2">
      <c r="C242" s="138">
        <v>37378.585050624279</v>
      </c>
      <c r="D242" s="138">
        <v>21.307838774003748</v>
      </c>
      <c r="E242" s="138">
        <v>39273.309847429446</v>
      </c>
      <c r="F242" s="138">
        <v>21.300938090303351</v>
      </c>
      <c r="G242" s="138">
        <v>-1894.724796805167</v>
      </c>
      <c r="H242" s="138">
        <v>6.9006837003975363E-3</v>
      </c>
      <c r="N242" s="138"/>
      <c r="O242" s="138"/>
      <c r="P242" s="138"/>
      <c r="R242">
        <v>273.28891018228052</v>
      </c>
      <c r="S242">
        <v>59.015359091614741</v>
      </c>
      <c r="T242">
        <v>224.77905975160007</v>
      </c>
      <c r="U242">
        <v>90.669458734169524</v>
      </c>
      <c r="X242">
        <v>0.8180703529641552</v>
      </c>
      <c r="Y242">
        <v>0.83888574652243042</v>
      </c>
      <c r="Z242">
        <v>0.84498518563696345</v>
      </c>
      <c r="AA242">
        <v>0.87113253788460654</v>
      </c>
      <c r="AB242">
        <v>0.76620903490912684</v>
      </c>
      <c r="AC242">
        <v>0.83405198922641111</v>
      </c>
      <c r="AD242">
        <v>0.81582159241132479</v>
      </c>
      <c r="AE242">
        <v>0.76501383190778738</v>
      </c>
      <c r="AH242">
        <v>4.6511980701431033E-2</v>
      </c>
      <c r="AI242">
        <v>1.8370222229883382E-2</v>
      </c>
      <c r="AJ242">
        <v>5.1786513548976121E-2</v>
      </c>
      <c r="AK242">
        <v>0.14451673813667087</v>
      </c>
      <c r="AL242">
        <v>0.1983995488293</v>
      </c>
      <c r="AM242">
        <v>0.29525179708048932</v>
      </c>
      <c r="AN242">
        <v>0.10246631110575843</v>
      </c>
      <c r="AO242">
        <v>0.17465157261140107</v>
      </c>
      <c r="AR242">
        <v>8.7263805391353717E-4</v>
      </c>
      <c r="AS242">
        <v>4.3894345270718213E-3</v>
      </c>
      <c r="AT242">
        <v>9.9263741012659792E-2</v>
      </c>
      <c r="AU242">
        <v>1.9781508091172122E-3</v>
      </c>
      <c r="AV242">
        <v>1.8564876778069703E-3</v>
      </c>
      <c r="AW242">
        <v>3.2186041885236098E-3</v>
      </c>
      <c r="AX242">
        <v>3.1172689303711135E-4</v>
      </c>
      <c r="AY242">
        <v>4.8188557276152011E-4</v>
      </c>
      <c r="BB242">
        <v>4.1739838743828805E-2</v>
      </c>
      <c r="BC242">
        <v>5.1114816618426318E-2</v>
      </c>
      <c r="BE242">
        <v>37378.585050624279</v>
      </c>
      <c r="BF242">
        <v>21.307838774003748</v>
      </c>
      <c r="BG242">
        <v>39273.309847429446</v>
      </c>
      <c r="BH242">
        <v>21.300938090303351</v>
      </c>
    </row>
    <row r="243" spans="3:60" x14ac:dyDescent="0.2">
      <c r="C243" s="138">
        <v>34047.725925977189</v>
      </c>
      <c r="D243" s="138">
        <v>20.669275464890941</v>
      </c>
      <c r="E243" s="138">
        <v>36391.155702998993</v>
      </c>
      <c r="F243" s="138">
        <v>20.684549609749272</v>
      </c>
      <c r="G243" s="138">
        <v>-2343.4297770218036</v>
      </c>
      <c r="H243" s="138">
        <v>-1.527414485833134E-2</v>
      </c>
      <c r="N243" s="138"/>
      <c r="O243" s="138"/>
      <c r="P243" s="138"/>
      <c r="R243">
        <v>334.85430301624655</v>
      </c>
      <c r="S243">
        <v>64.722424634765332</v>
      </c>
      <c r="T243">
        <v>270.11754672522073</v>
      </c>
      <c r="U243">
        <v>97.988246617656401</v>
      </c>
      <c r="X243">
        <v>0.68799934448181965</v>
      </c>
      <c r="Y243">
        <v>0.77542498290141626</v>
      </c>
      <c r="Z243">
        <v>0.80556534702856264</v>
      </c>
      <c r="AA243">
        <v>0.60477552963630499</v>
      </c>
      <c r="AB243">
        <v>0.5493038185298782</v>
      </c>
      <c r="AC243">
        <v>0.77147801164444652</v>
      </c>
      <c r="AD243">
        <v>0.8857277556125811</v>
      </c>
      <c r="AE243">
        <v>0.43079663550776109</v>
      </c>
      <c r="AH243">
        <v>8.2282501250339202E-2</v>
      </c>
      <c r="AI243">
        <v>0.12930586906451047</v>
      </c>
      <c r="AJ243">
        <v>0.12132682826529351</v>
      </c>
      <c r="AK243">
        <v>0.19713643753214305</v>
      </c>
      <c r="AL243">
        <v>6.2928831376746652E-2</v>
      </c>
      <c r="AM243">
        <v>6.4449161437429958E-2</v>
      </c>
      <c r="AN243">
        <v>2.2706762763772259E-2</v>
      </c>
      <c r="AO243">
        <v>0.15470620473168772</v>
      </c>
      <c r="AR243">
        <v>8.1510419133707388E-4</v>
      </c>
      <c r="AS243">
        <v>4.5540458236228432E-3</v>
      </c>
      <c r="AT243">
        <v>0.10123203341813125</v>
      </c>
      <c r="AU243">
        <v>2.0763518889187482E-3</v>
      </c>
      <c r="AV243">
        <v>1.8158805602799032E-3</v>
      </c>
      <c r="AW243">
        <v>3.39187492794805E-3</v>
      </c>
      <c r="AX243">
        <v>3.0128758454201106E-4</v>
      </c>
      <c r="AY243">
        <v>5.0497393602644269E-4</v>
      </c>
      <c r="BB243">
        <v>4.8809547844097981E-2</v>
      </c>
      <c r="BC243">
        <v>2.9373614982727128E-2</v>
      </c>
      <c r="BE243">
        <v>34047.725925977189</v>
      </c>
      <c r="BF243">
        <v>20.669275464890941</v>
      </c>
      <c r="BG243">
        <v>36391.155702998993</v>
      </c>
      <c r="BH243">
        <v>20.684549609749272</v>
      </c>
    </row>
    <row r="244" spans="3:60" x14ac:dyDescent="0.2">
      <c r="C244" s="138">
        <v>38981.615855059361</v>
      </c>
      <c r="D244" s="138">
        <v>20.857507161536475</v>
      </c>
      <c r="E244" s="138">
        <v>40963.087965453931</v>
      </c>
      <c r="F244" s="138">
        <v>20.843350837836898</v>
      </c>
      <c r="G244" s="138">
        <v>-1981.4721103945703</v>
      </c>
      <c r="H244" s="138">
        <v>1.41563236995772E-2</v>
      </c>
      <c r="N244" s="138"/>
      <c r="O244" s="138"/>
      <c r="P244" s="138"/>
      <c r="R244">
        <v>260.50613932008463</v>
      </c>
      <c r="S244">
        <v>67.875476414785751</v>
      </c>
      <c r="T244">
        <v>251.39191927637401</v>
      </c>
      <c r="U244">
        <v>91.025842565162321</v>
      </c>
      <c r="X244">
        <v>0.54490229857172612</v>
      </c>
      <c r="Y244">
        <v>0.69499147007177908</v>
      </c>
      <c r="Z244">
        <v>0.80738486839624346</v>
      </c>
      <c r="AA244">
        <v>0.81406476096497193</v>
      </c>
      <c r="AB244">
        <v>0.76881838477410369</v>
      </c>
      <c r="AC244">
        <v>0.44291277364818127</v>
      </c>
      <c r="AD244">
        <v>0.53790991992384041</v>
      </c>
      <c r="AE244">
        <v>0.86470057121980359</v>
      </c>
      <c r="AH244">
        <v>0.1778869078784342</v>
      </c>
      <c r="AI244">
        <v>4.0138893310419199E-2</v>
      </c>
      <c r="AJ244">
        <v>6.2654146869758343E-2</v>
      </c>
      <c r="AK244">
        <v>0.2562671908375509</v>
      </c>
      <c r="AL244">
        <v>0.15860110908434399</v>
      </c>
      <c r="AM244">
        <v>0.19130740592888495</v>
      </c>
      <c r="AN244">
        <v>0.13715156067344236</v>
      </c>
      <c r="AO244">
        <v>0.30597932908597802</v>
      </c>
      <c r="AR244">
        <v>8.1770629006764543E-4</v>
      </c>
      <c r="AS244">
        <v>4.3838142850886096E-3</v>
      </c>
      <c r="AT244">
        <v>9.9455408757345057E-2</v>
      </c>
      <c r="AU244">
        <v>1.7466321309315134E-3</v>
      </c>
      <c r="AV244">
        <v>1.881692437274305E-3</v>
      </c>
      <c r="AW244">
        <v>3.966410637258555E-3</v>
      </c>
      <c r="AX244">
        <v>4.5862975181687471E-4</v>
      </c>
      <c r="AY244">
        <v>4.5277635844065411E-4</v>
      </c>
      <c r="BB244">
        <v>6.2669699150015523E-2</v>
      </c>
      <c r="BC244">
        <v>3.5868795983144838E-2</v>
      </c>
      <c r="BE244">
        <v>38981.615855059361</v>
      </c>
      <c r="BF244">
        <v>20.857507161536475</v>
      </c>
      <c r="BG244">
        <v>40963.087965453931</v>
      </c>
      <c r="BH244">
        <v>20.843350837836898</v>
      </c>
    </row>
    <row r="245" spans="3:60" x14ac:dyDescent="0.2">
      <c r="C245" s="138">
        <v>39733.828378519087</v>
      </c>
      <c r="D245" s="138">
        <v>21.135528147707099</v>
      </c>
      <c r="E245" s="138">
        <v>42005.204647955725</v>
      </c>
      <c r="F245" s="138">
        <v>21.108465899645235</v>
      </c>
      <c r="G245" s="138">
        <v>-2271.3762694366378</v>
      </c>
      <c r="H245" s="138">
        <v>2.7062248061863414E-2</v>
      </c>
      <c r="N245" s="138"/>
      <c r="O245" s="138"/>
      <c r="P245" s="138"/>
      <c r="R245">
        <v>348.96242589736931</v>
      </c>
      <c r="S245">
        <v>62.022150443621783</v>
      </c>
      <c r="T245">
        <v>263.24388352155808</v>
      </c>
      <c r="U245">
        <v>95.835531516511395</v>
      </c>
      <c r="X245">
        <v>0.58074573325067524</v>
      </c>
      <c r="Y245">
        <v>0.65398729297069658</v>
      </c>
      <c r="Z245">
        <v>0.55769380335651675</v>
      </c>
      <c r="AA245">
        <v>0.81721272041828152</v>
      </c>
      <c r="AB245">
        <v>0.93415905747887518</v>
      </c>
      <c r="AC245">
        <v>0.7706513795798986</v>
      </c>
      <c r="AD245">
        <v>0.89754906656664435</v>
      </c>
      <c r="AE245">
        <v>0.72835918752871265</v>
      </c>
      <c r="AH245">
        <v>6.7455962294427185E-2</v>
      </c>
      <c r="AI245">
        <v>6.4320615461887609E-2</v>
      </c>
      <c r="AJ245">
        <v>0.21694809879762855</v>
      </c>
      <c r="AK245">
        <v>0.12733427772386752</v>
      </c>
      <c r="AL245">
        <v>6.9051460559092392E-2</v>
      </c>
      <c r="AM245">
        <v>0.13811708346900053</v>
      </c>
      <c r="AN245">
        <v>6.6774763923017622E-2</v>
      </c>
      <c r="AO245">
        <v>0.11262395688468518</v>
      </c>
      <c r="AR245">
        <v>9.9328524357267245E-4</v>
      </c>
      <c r="AS245">
        <v>4.2019741203641395E-3</v>
      </c>
      <c r="AT245">
        <v>9.8787204732494471E-2</v>
      </c>
      <c r="AU245">
        <v>2.1094327665379664E-3</v>
      </c>
      <c r="AV245">
        <v>1.984917604392648E-3</v>
      </c>
      <c r="AW245">
        <v>3.5226240955532617E-3</v>
      </c>
      <c r="AX245">
        <v>3.4586112687002771E-4</v>
      </c>
      <c r="AY245">
        <v>5.0461036404292336E-4</v>
      </c>
      <c r="BB245">
        <v>4.3416797672041013E-2</v>
      </c>
      <c r="BC245">
        <v>7.0654491036868161E-2</v>
      </c>
      <c r="BE245">
        <v>39733.828378519087</v>
      </c>
      <c r="BF245">
        <v>21.135528147707099</v>
      </c>
      <c r="BG245">
        <v>42005.204647955725</v>
      </c>
      <c r="BH245">
        <v>21.108465899645235</v>
      </c>
    </row>
    <row r="246" spans="3:60" x14ac:dyDescent="0.2">
      <c r="C246" s="138">
        <v>40182.516071601778</v>
      </c>
      <c r="D246" s="138">
        <v>21.31855184795722</v>
      </c>
      <c r="E246" s="138">
        <v>42328.253914197783</v>
      </c>
      <c r="F246" s="138">
        <v>21.321306993208267</v>
      </c>
      <c r="G246" s="138">
        <v>-2145.7378425960051</v>
      </c>
      <c r="H246" s="138">
        <v>-2.7551452510472529E-3</v>
      </c>
      <c r="N246" s="138"/>
      <c r="O246" s="138"/>
      <c r="P246" s="138"/>
      <c r="R246">
        <v>389.16893251611515</v>
      </c>
      <c r="S246">
        <v>58.870747249112561</v>
      </c>
      <c r="T246">
        <v>259.33641523630598</v>
      </c>
      <c r="U246">
        <v>98.41240788665651</v>
      </c>
      <c r="X246">
        <v>0.42412686854224407</v>
      </c>
      <c r="Y246">
        <v>0.820298441038666</v>
      </c>
      <c r="Z246">
        <v>0.76638158056913819</v>
      </c>
      <c r="AA246">
        <v>0.53029309991450957</v>
      </c>
      <c r="AB246">
        <v>0.6978101541821442</v>
      </c>
      <c r="AC246">
        <v>0.62953837136972268</v>
      </c>
      <c r="AD246">
        <v>0.54672955894077357</v>
      </c>
      <c r="AE246">
        <v>0.90620343019899352</v>
      </c>
      <c r="AH246">
        <v>0.28718051361137176</v>
      </c>
      <c r="AI246">
        <v>5.7367449654444291E-2</v>
      </c>
      <c r="AJ246">
        <v>4.6252948612660827E-2</v>
      </c>
      <c r="AK246">
        <v>2.1929967849136478E-2</v>
      </c>
      <c r="AL246">
        <v>8.6038625933482993E-2</v>
      </c>
      <c r="AM246">
        <v>0.13038910427408368</v>
      </c>
      <c r="AN246">
        <v>0.15610055473363327</v>
      </c>
      <c r="AO246">
        <v>5.6488808201823115E-2</v>
      </c>
      <c r="AR246">
        <v>9.2316921351998094E-4</v>
      </c>
      <c r="AS246">
        <v>4.8444674409543476E-3</v>
      </c>
      <c r="AT246">
        <v>9.944017612820559E-2</v>
      </c>
      <c r="AU246">
        <v>1.7433478823986805E-3</v>
      </c>
      <c r="AV246">
        <v>2.0906640443641988E-3</v>
      </c>
      <c r="AW246">
        <v>3.2681253413437911E-3</v>
      </c>
      <c r="AX246">
        <v>3.0032559356609319E-4</v>
      </c>
      <c r="AY246">
        <v>4.3350829182635012E-4</v>
      </c>
      <c r="BB246">
        <v>4.3604755299521104E-2</v>
      </c>
      <c r="BC246">
        <v>3.6587266620505092E-2</v>
      </c>
      <c r="BE246">
        <v>40182.516071601778</v>
      </c>
      <c r="BF246">
        <v>21.31855184795722</v>
      </c>
      <c r="BG246">
        <v>42328.253914197783</v>
      </c>
      <c r="BH246">
        <v>21.321306993208267</v>
      </c>
    </row>
    <row r="247" spans="3:60" x14ac:dyDescent="0.2">
      <c r="C247" s="138">
        <v>30147.543682685045</v>
      </c>
      <c r="D247" s="138">
        <v>21.412358607347727</v>
      </c>
      <c r="E247" s="138">
        <v>32057.196366873526</v>
      </c>
      <c r="F247" s="138">
        <v>21.404336219340721</v>
      </c>
      <c r="G247" s="138">
        <v>-1909.6526841884806</v>
      </c>
      <c r="H247" s="138">
        <v>8.0223880070064979E-3</v>
      </c>
      <c r="N247" s="138"/>
      <c r="O247" s="138"/>
      <c r="P247" s="138"/>
      <c r="R247">
        <v>244.94142768414807</v>
      </c>
      <c r="S247">
        <v>57.989714696730516</v>
      </c>
      <c r="T247">
        <v>276.47195831778981</v>
      </c>
      <c r="U247">
        <v>96.486397399596001</v>
      </c>
      <c r="X247">
        <v>0.76775005840815169</v>
      </c>
      <c r="Y247">
        <v>0.8018744417680953</v>
      </c>
      <c r="Z247">
        <v>0.61195944118090595</v>
      </c>
      <c r="AA247">
        <v>0.56999467855873098</v>
      </c>
      <c r="AB247">
        <v>0.93381595891303615</v>
      </c>
      <c r="AC247">
        <v>0.85889797045648109</v>
      </c>
      <c r="AD247">
        <v>0.93168556966278404</v>
      </c>
      <c r="AE247">
        <v>0.68839378903303228</v>
      </c>
      <c r="AH247">
        <v>0.10762767364544867</v>
      </c>
      <c r="AI247">
        <v>6.6569557004970914E-2</v>
      </c>
      <c r="AJ247">
        <v>0.26284768181291784</v>
      </c>
      <c r="AK247">
        <v>0.12827726397958061</v>
      </c>
      <c r="AL247">
        <v>0.10849476320965135</v>
      </c>
      <c r="AM247">
        <v>0.12621397934290701</v>
      </c>
      <c r="AN247">
        <v>9.9752085927456768E-2</v>
      </c>
      <c r="AO247">
        <v>0.44178614146079376</v>
      </c>
      <c r="AR247">
        <v>8.6346220989418868E-4</v>
      </c>
      <c r="AS247">
        <v>4.5957936840489433E-3</v>
      </c>
      <c r="AT247">
        <v>0.10118728602611105</v>
      </c>
      <c r="AU247">
        <v>2.0526622368446379E-3</v>
      </c>
      <c r="AV247">
        <v>2.1286685747434753E-3</v>
      </c>
      <c r="AW247">
        <v>3.468762451242724E-3</v>
      </c>
      <c r="AX247">
        <v>4.2946516838771043E-4</v>
      </c>
      <c r="AY247">
        <v>3.6954643481874677E-4</v>
      </c>
      <c r="BB247">
        <v>5.0368246222535662E-2</v>
      </c>
      <c r="BC247">
        <v>7.157721021059793E-2</v>
      </c>
      <c r="BE247">
        <v>30147.543682685045</v>
      </c>
      <c r="BF247">
        <v>21.412358607347727</v>
      </c>
      <c r="BG247">
        <v>32057.196366873526</v>
      </c>
      <c r="BH247">
        <v>21.404336219340721</v>
      </c>
    </row>
    <row r="248" spans="3:60" x14ac:dyDescent="0.2">
      <c r="C248" s="138">
        <v>31646.396815199052</v>
      </c>
      <c r="D248" s="138">
        <v>21.523820918995256</v>
      </c>
      <c r="E248" s="138">
        <v>33518.274566706263</v>
      </c>
      <c r="F248" s="138">
        <v>21.519205099306784</v>
      </c>
      <c r="G248" s="138">
        <v>-1871.8777515072106</v>
      </c>
      <c r="H248" s="138">
        <v>4.6158196884711344E-3</v>
      </c>
      <c r="N248" s="138"/>
      <c r="O248" s="138"/>
      <c r="P248" s="138"/>
      <c r="R248">
        <v>213.77543649654029</v>
      </c>
      <c r="S248">
        <v>62.268427740527258</v>
      </c>
      <c r="T248">
        <v>259.69648167841569</v>
      </c>
      <c r="U248">
        <v>103.28124777502441</v>
      </c>
      <c r="X248">
        <v>0.76193023092616274</v>
      </c>
      <c r="Y248">
        <v>0.45265637452923341</v>
      </c>
      <c r="Z248">
        <v>0.83660366326276048</v>
      </c>
      <c r="AA248">
        <v>0.71823698140982795</v>
      </c>
      <c r="AB248">
        <v>0.89304190363992375</v>
      </c>
      <c r="AC248">
        <v>0.65623233132562042</v>
      </c>
      <c r="AD248">
        <v>0.79228618749294821</v>
      </c>
      <c r="AE248">
        <v>0.77541362390879254</v>
      </c>
      <c r="AH248">
        <v>0.12299169645470698</v>
      </c>
      <c r="AI248">
        <v>0.15496866746118154</v>
      </c>
      <c r="AJ248">
        <v>9.5371829925736229E-2</v>
      </c>
      <c r="AK248">
        <v>0.13474381971645644</v>
      </c>
      <c r="AL248">
        <v>3.4460611749982495E-2</v>
      </c>
      <c r="AM248">
        <v>6.5343689390264803E-2</v>
      </c>
      <c r="AN248">
        <v>5.604045568095517E-2</v>
      </c>
      <c r="AO248">
        <v>0.12772167967740178</v>
      </c>
      <c r="AR248">
        <v>9.2276768452881353E-4</v>
      </c>
      <c r="AS248">
        <v>4.3878797466115572E-3</v>
      </c>
      <c r="AT248">
        <v>0.10110143689505424</v>
      </c>
      <c r="AU248">
        <v>2.1577156300002232E-3</v>
      </c>
      <c r="AV248">
        <v>2.0263271182823228E-3</v>
      </c>
      <c r="AW248">
        <v>3.3071156243991285E-3</v>
      </c>
      <c r="AX248">
        <v>3.2972926245020546E-4</v>
      </c>
      <c r="AY248">
        <v>4.9992486775318756E-4</v>
      </c>
      <c r="BB248">
        <v>4.1314906748739139E-2</v>
      </c>
      <c r="BC248">
        <v>6.0616187402998567E-2</v>
      </c>
      <c r="BE248">
        <v>31646.396815199052</v>
      </c>
      <c r="BF248">
        <v>21.523820918995256</v>
      </c>
      <c r="BG248">
        <v>33518.274566706263</v>
      </c>
      <c r="BH248">
        <v>21.519205099306784</v>
      </c>
    </row>
    <row r="249" spans="3:60" x14ac:dyDescent="0.2">
      <c r="C249" s="138">
        <v>30027.666246996978</v>
      </c>
      <c r="D249" s="138">
        <v>21.32242850524317</v>
      </c>
      <c r="E249" s="138">
        <v>32270.01379928731</v>
      </c>
      <c r="F249" s="138">
        <v>21.300087955577684</v>
      </c>
      <c r="G249" s="138">
        <v>-2242.3475522903318</v>
      </c>
      <c r="H249" s="138">
        <v>2.2340549665486265E-2</v>
      </c>
      <c r="N249" s="138"/>
      <c r="O249" s="138"/>
      <c r="P249" s="138"/>
      <c r="R249">
        <v>346.95116664556485</v>
      </c>
      <c r="S249">
        <v>58.11101411037923</v>
      </c>
      <c r="T249">
        <v>230.40995054762951</v>
      </c>
      <c r="U249">
        <v>100.87336122061913</v>
      </c>
      <c r="X249">
        <v>0.60180057379044349</v>
      </c>
      <c r="Y249">
        <v>0.80589194062935021</v>
      </c>
      <c r="Z249">
        <v>0.86343637841753029</v>
      </c>
      <c r="AA249">
        <v>0.89246958368192297</v>
      </c>
      <c r="AB249">
        <v>0.93335318072301865</v>
      </c>
      <c r="AC249">
        <v>0.94018249230749107</v>
      </c>
      <c r="AD249">
        <v>0.54894146518351994</v>
      </c>
      <c r="AE249">
        <v>0.55872746574306686</v>
      </c>
      <c r="AH249">
        <v>5.0089087884585659E-2</v>
      </c>
      <c r="AI249">
        <v>0.16950935510776477</v>
      </c>
      <c r="AJ249">
        <v>0.23930268878631988</v>
      </c>
      <c r="AK249">
        <v>7.1144137313875921E-2</v>
      </c>
      <c r="AL249">
        <v>4.8945943966432037E-2</v>
      </c>
      <c r="AM249">
        <v>5.8338107196906686E-2</v>
      </c>
      <c r="AN249">
        <v>0.15245369257346664</v>
      </c>
      <c r="AO249">
        <v>4.5494663835770277E-2</v>
      </c>
      <c r="AR249">
        <v>8.8491505139740999E-4</v>
      </c>
      <c r="AS249">
        <v>4.7349541731703804E-3</v>
      </c>
      <c r="AT249">
        <v>0.10172039906391617</v>
      </c>
      <c r="AU249">
        <v>2.1118999227645041E-3</v>
      </c>
      <c r="AV249">
        <v>2.012645602682106E-3</v>
      </c>
      <c r="AW249">
        <v>3.3686722599252884E-3</v>
      </c>
      <c r="AX249">
        <v>3.5274841123895685E-4</v>
      </c>
      <c r="AY249">
        <v>4.3652610832320491E-4</v>
      </c>
      <c r="BB249">
        <v>4.3580561599486416E-2</v>
      </c>
      <c r="BC249">
        <v>2.2110893628903724E-2</v>
      </c>
      <c r="BE249">
        <v>30027.666246996978</v>
      </c>
      <c r="BF249">
        <v>21.32242850524317</v>
      </c>
      <c r="BG249">
        <v>32270.01379928731</v>
      </c>
      <c r="BH249">
        <v>21.300087955577684</v>
      </c>
    </row>
    <row r="250" spans="3:60" x14ac:dyDescent="0.2">
      <c r="C250" s="138">
        <v>33776.053960786405</v>
      </c>
      <c r="D250" s="138">
        <v>21.455263568853681</v>
      </c>
      <c r="E250" s="138">
        <v>35655.104825240793</v>
      </c>
      <c r="F250" s="138">
        <v>21.470636571743476</v>
      </c>
      <c r="G250" s="138">
        <v>-1879.0508644543879</v>
      </c>
      <c r="H250" s="138">
        <v>-1.5373002889795373E-2</v>
      </c>
      <c r="N250" s="138"/>
      <c r="O250" s="138"/>
      <c r="P250" s="138"/>
      <c r="R250">
        <v>352.60193584096044</v>
      </c>
      <c r="S250">
        <v>66.840259423423106</v>
      </c>
      <c r="T250">
        <v>250.30680852826487</v>
      </c>
      <c r="U250">
        <v>86.061760919539935</v>
      </c>
      <c r="X250">
        <v>0.83079279655047455</v>
      </c>
      <c r="Y250">
        <v>0.70070831591573612</v>
      </c>
      <c r="Z250">
        <v>0.54154936116193186</v>
      </c>
      <c r="AA250">
        <v>0.42817038490613596</v>
      </c>
      <c r="AB250">
        <v>0.54491692070297193</v>
      </c>
      <c r="AC250">
        <v>0.6695326512308839</v>
      </c>
      <c r="AD250">
        <v>0.66127758608532239</v>
      </c>
      <c r="AE250">
        <v>0.62646233859838907</v>
      </c>
      <c r="AH250">
        <v>8.5704181397285084E-2</v>
      </c>
      <c r="AI250">
        <v>0.16063245093964573</v>
      </c>
      <c r="AJ250">
        <v>0.10408988454954771</v>
      </c>
      <c r="AK250">
        <v>6.0905837153896303E-2</v>
      </c>
      <c r="AL250">
        <v>6.715911168655575E-2</v>
      </c>
      <c r="AM250">
        <v>0.35547834546904034</v>
      </c>
      <c r="AN250">
        <v>1.7626978244318359E-2</v>
      </c>
      <c r="AO250">
        <v>0.17454421976863266</v>
      </c>
      <c r="AR250">
        <v>8.7671673959499998E-4</v>
      </c>
      <c r="AS250">
        <v>4.4311223422014634E-3</v>
      </c>
      <c r="AT250">
        <v>9.8561010197724563E-2</v>
      </c>
      <c r="AU250">
        <v>1.7895943937820543E-3</v>
      </c>
      <c r="AV250">
        <v>1.8898513607768759E-3</v>
      </c>
      <c r="AW250">
        <v>3.71549751304312E-3</v>
      </c>
      <c r="AX250">
        <v>3.57305457093933E-4</v>
      </c>
      <c r="AY250">
        <v>4.7565452319475732E-4</v>
      </c>
      <c r="BB250">
        <v>4.9141222945109538E-2</v>
      </c>
      <c r="BC250">
        <v>5.5192127607085584E-2</v>
      </c>
      <c r="BE250">
        <v>33776.053960786405</v>
      </c>
      <c r="BF250">
        <v>21.455263568853681</v>
      </c>
      <c r="BG250">
        <v>35655.104825240793</v>
      </c>
      <c r="BH250">
        <v>21.470636571743476</v>
      </c>
    </row>
    <row r="251" spans="3:60" x14ac:dyDescent="0.2">
      <c r="C251" s="138">
        <v>31150.890290833966</v>
      </c>
      <c r="D251" s="138">
        <v>21.405191194165432</v>
      </c>
      <c r="E251" s="138">
        <v>33581.091356342251</v>
      </c>
      <c r="F251" s="138">
        <v>21.373986409310401</v>
      </c>
      <c r="G251" s="138">
        <v>-2430.201065508285</v>
      </c>
      <c r="H251" s="138">
        <v>3.120478485503142E-2</v>
      </c>
      <c r="N251" s="138"/>
      <c r="O251" s="138"/>
      <c r="P251" s="138"/>
      <c r="R251">
        <v>294.2256493780821</v>
      </c>
      <c r="S251">
        <v>68.569290741146332</v>
      </c>
      <c r="T251">
        <v>277.06059198120937</v>
      </c>
      <c r="U251">
        <v>101.42759785792437</v>
      </c>
      <c r="X251">
        <v>0.7802802500792908</v>
      </c>
      <c r="Y251">
        <v>0.89052344553639129</v>
      </c>
      <c r="Z251">
        <v>0.66611227184012889</v>
      </c>
      <c r="AA251">
        <v>0.71193066384993997</v>
      </c>
      <c r="AB251">
        <v>0.53683657363679815</v>
      </c>
      <c r="AC251">
        <v>0.70746233794775615</v>
      </c>
      <c r="AD251">
        <v>0.85025842659482243</v>
      </c>
      <c r="AE251">
        <v>0.86573638990647062</v>
      </c>
      <c r="AH251">
        <v>0.15470664136080936</v>
      </c>
      <c r="AI251">
        <v>8.6768646508183611E-2</v>
      </c>
      <c r="AJ251">
        <v>0.19030753310923243</v>
      </c>
      <c r="AK251">
        <v>3.0247899255036681E-2</v>
      </c>
      <c r="AL251">
        <v>0.15863663895668312</v>
      </c>
      <c r="AM251">
        <v>9.6346666890150034E-2</v>
      </c>
      <c r="AN251">
        <v>0.17443054750651499</v>
      </c>
      <c r="AO251">
        <v>1.8458798140964183E-2</v>
      </c>
      <c r="AR251">
        <v>8.7187097701125072E-4</v>
      </c>
      <c r="AS251">
        <v>4.8223949848235081E-3</v>
      </c>
      <c r="AT251">
        <v>9.9334142903254374E-2</v>
      </c>
      <c r="AU251">
        <v>2.0162055864626494E-3</v>
      </c>
      <c r="AV251">
        <v>1.8270284873736864E-3</v>
      </c>
      <c r="AW251">
        <v>3.462207376637827E-3</v>
      </c>
      <c r="AX251">
        <v>3.6477441438898943E-4</v>
      </c>
      <c r="AY251">
        <v>3.9738174831908176E-4</v>
      </c>
      <c r="BB251">
        <v>5.7299886222589524E-2</v>
      </c>
      <c r="BC251">
        <v>5.8509722204487247E-2</v>
      </c>
      <c r="BE251">
        <v>31150.890290833966</v>
      </c>
      <c r="BF251">
        <v>21.405191194165432</v>
      </c>
      <c r="BG251">
        <v>33581.091356342251</v>
      </c>
      <c r="BH251">
        <v>21.373986409310401</v>
      </c>
    </row>
    <row r="252" spans="3:60" x14ac:dyDescent="0.2">
      <c r="C252" s="138">
        <v>28828.284069146739</v>
      </c>
      <c r="D252" s="138">
        <v>21.609341022036226</v>
      </c>
      <c r="E252" s="138">
        <v>30873.200659462993</v>
      </c>
      <c r="F252" s="138">
        <v>21.607441233581525</v>
      </c>
      <c r="G252" s="138">
        <v>-2044.9165903162539</v>
      </c>
      <c r="H252" s="138">
        <v>1.8997884547005128E-3</v>
      </c>
      <c r="N252" s="138"/>
      <c r="O252" s="138"/>
      <c r="P252" s="138"/>
      <c r="R252">
        <v>241.01795230707083</v>
      </c>
      <c r="S252">
        <v>75.559636633287269</v>
      </c>
      <c r="T252">
        <v>254.51973637700442</v>
      </c>
      <c r="U252">
        <v>97.258514838879023</v>
      </c>
      <c r="X252">
        <v>0.83639289478536849</v>
      </c>
      <c r="Y252">
        <v>0.92882342162166132</v>
      </c>
      <c r="Z252">
        <v>0.78760664683260706</v>
      </c>
      <c r="AA252">
        <v>0.89409470150298498</v>
      </c>
      <c r="AB252">
        <v>0.84229973098051514</v>
      </c>
      <c r="AC252">
        <v>0.89858338286135653</v>
      </c>
      <c r="AD252">
        <v>0.53574160960720318</v>
      </c>
      <c r="AE252">
        <v>0.72721609453373304</v>
      </c>
      <c r="AH252">
        <v>7.3041437166365464E-2</v>
      </c>
      <c r="AI252">
        <v>7.6697895058605692E-2</v>
      </c>
      <c r="AJ252">
        <v>0.1373592620370695</v>
      </c>
      <c r="AK252">
        <v>3.6127894010598571E-2</v>
      </c>
      <c r="AL252">
        <v>0.21088179037376076</v>
      </c>
      <c r="AM252">
        <v>0.10277090399179434</v>
      </c>
      <c r="AN252">
        <v>5.0012700097543439E-2</v>
      </c>
      <c r="AO252">
        <v>0.15774114822834495</v>
      </c>
      <c r="AR252">
        <v>9.0093741643837433E-4</v>
      </c>
      <c r="AS252">
        <v>4.9723024587831066E-3</v>
      </c>
      <c r="AT252">
        <v>0.10041391066809247</v>
      </c>
      <c r="AU252">
        <v>1.8033732009112432E-3</v>
      </c>
      <c r="AV252">
        <v>2.0481614872808196E-3</v>
      </c>
      <c r="AW252">
        <v>3.400708097054176E-3</v>
      </c>
      <c r="AX252">
        <v>3.2118510237441324E-4</v>
      </c>
      <c r="AY252">
        <v>4.4353325559323074E-4</v>
      </c>
      <c r="BB252">
        <v>5.0858734459422683E-2</v>
      </c>
      <c r="BC252">
        <v>8.5028610594178655E-2</v>
      </c>
      <c r="BE252">
        <v>28828.284069146739</v>
      </c>
      <c r="BF252">
        <v>21.609341022036226</v>
      </c>
      <c r="BG252">
        <v>30873.200659462993</v>
      </c>
      <c r="BH252">
        <v>21.607441233581525</v>
      </c>
    </row>
    <row r="253" spans="3:60" x14ac:dyDescent="0.2">
      <c r="C253" s="138">
        <v>28981.216113163242</v>
      </c>
      <c r="D253" s="138">
        <v>19.424748772954526</v>
      </c>
      <c r="E253" s="138">
        <v>31058.43257937831</v>
      </c>
      <c r="F253" s="138">
        <v>19.336285021827837</v>
      </c>
      <c r="G253" s="138">
        <v>-2077.2164662150681</v>
      </c>
      <c r="H253" s="138">
        <v>8.8463751126688805E-2</v>
      </c>
      <c r="N253" s="138"/>
      <c r="O253" s="138"/>
      <c r="P253" s="138"/>
      <c r="R253">
        <v>320.12701307739019</v>
      </c>
      <c r="S253">
        <v>66.665104210092878</v>
      </c>
      <c r="T253">
        <v>264.4214594600827</v>
      </c>
      <c r="U253">
        <v>96.2658845469673</v>
      </c>
      <c r="X253">
        <v>0.70648481229425131</v>
      </c>
      <c r="Y253">
        <v>0.89470446115059921</v>
      </c>
      <c r="Z253">
        <v>0.62332670013291847</v>
      </c>
      <c r="AA253">
        <v>0.68763517417927433</v>
      </c>
      <c r="AB253">
        <v>0.85257852254589062</v>
      </c>
      <c r="AC253">
        <v>0.66210863072525594</v>
      </c>
      <c r="AD253">
        <v>0.83174634694300653</v>
      </c>
      <c r="AE253">
        <v>0.69423287144899071</v>
      </c>
      <c r="AH253">
        <v>0.17464669368705465</v>
      </c>
      <c r="AI253">
        <v>8.3697708773306068E-2</v>
      </c>
      <c r="AJ253">
        <v>6.8991513462105858E-2</v>
      </c>
      <c r="AK253">
        <v>7.2384711214594999E-2</v>
      </c>
      <c r="AL253">
        <v>1.3431760135827808E-2</v>
      </c>
      <c r="AM253">
        <v>0.11057507415444856</v>
      </c>
      <c r="AN253">
        <v>0.17513106319264149</v>
      </c>
      <c r="AO253">
        <v>1.344418668861258E-2</v>
      </c>
      <c r="AR253">
        <v>1.0437175209647709E-3</v>
      </c>
      <c r="AS253">
        <v>4.2914295767531472E-3</v>
      </c>
      <c r="AT253">
        <v>9.9298836530545873E-2</v>
      </c>
      <c r="AU253">
        <v>2.0097553293447756E-3</v>
      </c>
      <c r="AV253">
        <v>2.1084991964601674E-3</v>
      </c>
      <c r="AW253">
        <v>3.1624980340741395E-3</v>
      </c>
      <c r="AX253">
        <v>2.9496898643807857E-4</v>
      </c>
      <c r="AY253">
        <v>5.1459907258100124E-4</v>
      </c>
      <c r="BB253">
        <v>5.3383758057619524E-2</v>
      </c>
      <c r="BC253">
        <v>3.3275562379826339E-2</v>
      </c>
      <c r="BE253">
        <v>28981.216113163242</v>
      </c>
      <c r="BF253">
        <v>19.424748772954526</v>
      </c>
      <c r="BG253">
        <v>31058.43257937831</v>
      </c>
      <c r="BH253">
        <v>19.336285021827837</v>
      </c>
    </row>
    <row r="254" spans="3:60" x14ac:dyDescent="0.2">
      <c r="C254" s="138">
        <v>29145.080302292139</v>
      </c>
      <c r="D254" s="138">
        <v>21.187825429257977</v>
      </c>
      <c r="E254" s="138">
        <v>31407.560591853267</v>
      </c>
      <c r="F254" s="138">
        <v>21.183192303731982</v>
      </c>
      <c r="G254" s="138">
        <v>-2262.4802895611283</v>
      </c>
      <c r="H254" s="138">
        <v>4.633125525995041E-3</v>
      </c>
      <c r="N254" s="138"/>
      <c r="O254" s="138"/>
      <c r="P254" s="138"/>
      <c r="R254">
        <v>16.549698343849542</v>
      </c>
      <c r="S254">
        <v>61.542461971478609</v>
      </c>
      <c r="T254">
        <v>255.2592307482914</v>
      </c>
      <c r="U254">
        <v>99.727222617145642</v>
      </c>
      <c r="X254">
        <v>0.73829831152767755</v>
      </c>
      <c r="Y254">
        <v>0.87792381959794885</v>
      </c>
      <c r="Z254">
        <v>0.89264097053241864</v>
      </c>
      <c r="AA254">
        <v>0.63486661094178098</v>
      </c>
      <c r="AB254">
        <v>0.65902424802721593</v>
      </c>
      <c r="AC254">
        <v>0.86394112176247484</v>
      </c>
      <c r="AD254">
        <v>0.62119231505772876</v>
      </c>
      <c r="AE254">
        <v>0.81412186074829751</v>
      </c>
      <c r="AH254">
        <v>0.18978139325819476</v>
      </c>
      <c r="AI254">
        <v>0.2072343363175877</v>
      </c>
      <c r="AJ254">
        <v>2.2204912629891993E-2</v>
      </c>
      <c r="AK254">
        <v>0.18812547132634294</v>
      </c>
      <c r="AL254">
        <v>0.14859909154802542</v>
      </c>
      <c r="AM254">
        <v>4.1462851295056224E-2</v>
      </c>
      <c r="AN254">
        <v>2.727861809940435E-2</v>
      </c>
      <c r="AO254">
        <v>0.18627774865800861</v>
      </c>
      <c r="AR254">
        <v>7.7865463724535267E-4</v>
      </c>
      <c r="AS254">
        <v>4.2522836214139142E-3</v>
      </c>
      <c r="AT254">
        <v>9.9661062959022481E-2</v>
      </c>
      <c r="AU254">
        <v>2.1612320848166666E-3</v>
      </c>
      <c r="AV254">
        <v>1.9939017572264631E-3</v>
      </c>
      <c r="AW254">
        <v>3.1711605990777359E-3</v>
      </c>
      <c r="AX254">
        <v>4.2994466550205779E-4</v>
      </c>
      <c r="AY254">
        <v>3.5321040515460118E-4</v>
      </c>
      <c r="BB254">
        <v>5.7979365901289159E-2</v>
      </c>
      <c r="BC254">
        <v>3.6960394635432145E-2</v>
      </c>
      <c r="BE254">
        <v>29145.080302292139</v>
      </c>
      <c r="BF254">
        <v>21.187825429257977</v>
      </c>
      <c r="BG254">
        <v>31407.560591853267</v>
      </c>
      <c r="BH254">
        <v>21.183192303731982</v>
      </c>
    </row>
    <row r="255" spans="3:60" x14ac:dyDescent="0.2">
      <c r="C255" s="138">
        <v>36814.144638255704</v>
      </c>
      <c r="D255" s="138">
        <v>21.336205458740015</v>
      </c>
      <c r="E255" s="138">
        <v>38777.986896722839</v>
      </c>
      <c r="F255" s="138">
        <v>21.35532733592315</v>
      </c>
      <c r="G255" s="138">
        <v>-1963.8422584671353</v>
      </c>
      <c r="H255" s="138">
        <v>-1.9121877183135183E-2</v>
      </c>
      <c r="N255" s="138"/>
      <c r="O255" s="138"/>
      <c r="P255" s="138"/>
      <c r="R255">
        <v>492.93940607267444</v>
      </c>
      <c r="S255">
        <v>69.15421939533509</v>
      </c>
      <c r="T255">
        <v>290.4401286917352</v>
      </c>
      <c r="U255">
        <v>99.901464036231744</v>
      </c>
      <c r="X255">
        <v>0.8777487605588653</v>
      </c>
      <c r="Y255">
        <v>0.74285836661276639</v>
      </c>
      <c r="Z255">
        <v>0.84793167544625647</v>
      </c>
      <c r="AA255">
        <v>0.89063882059041011</v>
      </c>
      <c r="AB255">
        <v>0.75509985126031742</v>
      </c>
      <c r="AC255">
        <v>0.57421474934766326</v>
      </c>
      <c r="AD255">
        <v>0.68634996123469738</v>
      </c>
      <c r="AE255">
        <v>0.83572177844743489</v>
      </c>
      <c r="AH255">
        <v>2.281147643389192E-2</v>
      </c>
      <c r="AI255">
        <v>0.10345544744318302</v>
      </c>
      <c r="AJ255">
        <v>8.8224712806160399E-2</v>
      </c>
      <c r="AK255">
        <v>0.27089783441193416</v>
      </c>
      <c r="AL255">
        <v>8.7928537115730121E-2</v>
      </c>
      <c r="AM255">
        <v>0.20831551038717222</v>
      </c>
      <c r="AN255">
        <v>8.137592936051985E-2</v>
      </c>
      <c r="AO255">
        <v>0.10261501342993906</v>
      </c>
      <c r="AR255">
        <v>8.3063281647195503E-4</v>
      </c>
      <c r="AS255">
        <v>4.6556956901117053E-3</v>
      </c>
      <c r="AT255">
        <v>0.1001292863405735</v>
      </c>
      <c r="AU255">
        <v>2.1288038406919174E-3</v>
      </c>
      <c r="AV255">
        <v>2.1891729544313288E-3</v>
      </c>
      <c r="AW255">
        <v>3.0902863035170642E-3</v>
      </c>
      <c r="AX255">
        <v>4.4872852158261978E-4</v>
      </c>
      <c r="AY255">
        <v>3.3549125460750613E-4</v>
      </c>
      <c r="BB255">
        <v>5.1796428905704794E-2</v>
      </c>
      <c r="BC255">
        <v>1.6507059946333908E-2</v>
      </c>
      <c r="BE255">
        <v>36814.144638255704</v>
      </c>
      <c r="BF255">
        <v>21.336205458740015</v>
      </c>
      <c r="BG255">
        <v>38777.986896722839</v>
      </c>
      <c r="BH255">
        <v>21.35532733592315</v>
      </c>
    </row>
    <row r="256" spans="3:60" x14ac:dyDescent="0.2">
      <c r="C256" s="138">
        <v>35693.240839258426</v>
      </c>
      <c r="D256" s="138">
        <v>21.675353108826069</v>
      </c>
      <c r="E256" s="138">
        <v>38137.265156784546</v>
      </c>
      <c r="F256" s="138">
        <v>21.662830546193355</v>
      </c>
      <c r="G256" s="138">
        <v>-2444.0243175261203</v>
      </c>
      <c r="H256" s="138">
        <v>1.252256263271434E-2</v>
      </c>
      <c r="N256" s="138"/>
      <c r="O256" s="138"/>
      <c r="P256" s="138"/>
      <c r="R256">
        <v>317.24854815014413</v>
      </c>
      <c r="S256">
        <v>75.829871822513638</v>
      </c>
      <c r="T256">
        <v>236.74063214136652</v>
      </c>
      <c r="U256">
        <v>96.859106629674827</v>
      </c>
      <c r="X256">
        <v>0.83150917406832636</v>
      </c>
      <c r="Y256">
        <v>0.58251781115982437</v>
      </c>
      <c r="Z256">
        <v>0.67148963155911734</v>
      </c>
      <c r="AA256">
        <v>0.75041173803477446</v>
      </c>
      <c r="AB256">
        <v>0.59264410888117236</v>
      </c>
      <c r="AC256">
        <v>0.82900106216147051</v>
      </c>
      <c r="AD256">
        <v>0.7898691984488424</v>
      </c>
      <c r="AE256">
        <v>0.80485614430949881</v>
      </c>
      <c r="AH256">
        <v>4.7861047731888595E-2</v>
      </c>
      <c r="AI256">
        <v>0.15562141269479346</v>
      </c>
      <c r="AJ256">
        <v>0.29401358620090667</v>
      </c>
      <c r="AK256">
        <v>0.27234241685100447</v>
      </c>
      <c r="AL256">
        <v>0.11821041818099087</v>
      </c>
      <c r="AM256">
        <v>5.3324311281526704E-2</v>
      </c>
      <c r="AN256">
        <v>0.10934087046225416</v>
      </c>
      <c r="AO256">
        <v>0.11136190511206767</v>
      </c>
      <c r="AR256">
        <v>9.6903379574742043E-4</v>
      </c>
      <c r="AS256">
        <v>4.9021893642566816E-3</v>
      </c>
      <c r="AT256">
        <v>9.9475821162685232E-2</v>
      </c>
      <c r="AU256">
        <v>2.1103932543017345E-3</v>
      </c>
      <c r="AV256">
        <v>1.8904131653497969E-3</v>
      </c>
      <c r="AW256">
        <v>3.4202964060199292E-3</v>
      </c>
      <c r="AX256">
        <v>3.7902394975420685E-4</v>
      </c>
      <c r="AY256">
        <v>5.3360129774793208E-4</v>
      </c>
      <c r="BB256">
        <v>5.5905990926872318E-2</v>
      </c>
      <c r="BC256">
        <v>6.8716997327276541E-2</v>
      </c>
      <c r="BE256">
        <v>35693.240839258426</v>
      </c>
      <c r="BF256">
        <v>21.675353108826069</v>
      </c>
      <c r="BG256">
        <v>38137.265156784546</v>
      </c>
      <c r="BH256">
        <v>21.662830546193355</v>
      </c>
    </row>
    <row r="257" spans="3:60" x14ac:dyDescent="0.2">
      <c r="C257" s="138">
        <v>26992.448982478989</v>
      </c>
      <c r="D257" s="138">
        <v>21.168891818297404</v>
      </c>
      <c r="E257" s="138">
        <v>28986.546698756814</v>
      </c>
      <c r="F257" s="138">
        <v>21.160881062542217</v>
      </c>
      <c r="G257" s="138">
        <v>-1994.0977162778254</v>
      </c>
      <c r="H257" s="138">
        <v>8.010755755186949E-3</v>
      </c>
      <c r="N257" s="138"/>
      <c r="O257" s="138"/>
      <c r="P257" s="138"/>
      <c r="R257">
        <v>319.40442059917194</v>
      </c>
      <c r="S257">
        <v>61.593495378656122</v>
      </c>
      <c r="T257">
        <v>285.92356369273881</v>
      </c>
      <c r="U257">
        <v>108.21519019642443</v>
      </c>
      <c r="X257">
        <v>0.6589474648396112</v>
      </c>
      <c r="Y257">
        <v>0.34133393899235692</v>
      </c>
      <c r="Z257">
        <v>0.87855432824025925</v>
      </c>
      <c r="AA257">
        <v>0.8961158047469644</v>
      </c>
      <c r="AB257">
        <v>0.87880317002234376</v>
      </c>
      <c r="AC257">
        <v>0.70332191202298577</v>
      </c>
      <c r="AD257">
        <v>0.72745871574175958</v>
      </c>
      <c r="AE257">
        <v>0.82755599379630307</v>
      </c>
      <c r="AH257">
        <v>6.8404992176016366E-2</v>
      </c>
      <c r="AI257">
        <v>7.235403509366245E-3</v>
      </c>
      <c r="AJ257">
        <v>7.8412001460068659E-3</v>
      </c>
      <c r="AK257">
        <v>6.4709883013809533E-2</v>
      </c>
      <c r="AL257">
        <v>0.17408023084278079</v>
      </c>
      <c r="AM257">
        <v>3.479564506366728E-2</v>
      </c>
      <c r="AN257">
        <v>6.2266665770864149E-2</v>
      </c>
      <c r="AO257">
        <v>0.22020371664032856</v>
      </c>
      <c r="AR257">
        <v>8.2892185879909698E-4</v>
      </c>
      <c r="AS257">
        <v>4.2651686739478946E-3</v>
      </c>
      <c r="AT257">
        <v>0.10154316846967493</v>
      </c>
      <c r="AU257">
        <v>2.3195189115627901E-3</v>
      </c>
      <c r="AV257">
        <v>2.0480971468860298E-3</v>
      </c>
      <c r="AW257">
        <v>3.721722410538697E-3</v>
      </c>
      <c r="AX257">
        <v>4.0236850637376254E-4</v>
      </c>
      <c r="AY257">
        <v>4.6883396287744628E-4</v>
      </c>
      <c r="BB257">
        <v>5.3898064899961073E-2</v>
      </c>
      <c r="BC257">
        <v>3.1345951020595814E-2</v>
      </c>
      <c r="BE257">
        <v>26992.448982478989</v>
      </c>
      <c r="BF257">
        <v>21.168891818297404</v>
      </c>
      <c r="BG257">
        <v>28986.546698756814</v>
      </c>
      <c r="BH257">
        <v>21.160881062542217</v>
      </c>
    </row>
    <row r="258" spans="3:60" x14ac:dyDescent="0.2">
      <c r="C258" s="138">
        <v>29957.117029801211</v>
      </c>
      <c r="D258" s="138">
        <v>20.839554283518769</v>
      </c>
      <c r="E258" s="138">
        <v>32479.59540120995</v>
      </c>
      <c r="F258" s="138">
        <v>20.808215140069276</v>
      </c>
      <c r="G258" s="138">
        <v>-2522.4783714087389</v>
      </c>
      <c r="H258" s="138">
        <v>3.1339143449493179E-2</v>
      </c>
      <c r="N258" s="138"/>
      <c r="O258" s="138"/>
      <c r="P258" s="138"/>
      <c r="R258">
        <v>89.293572021441605</v>
      </c>
      <c r="S258">
        <v>60.72761021995592</v>
      </c>
      <c r="T258">
        <v>262.99451713211158</v>
      </c>
      <c r="U258">
        <v>87.300904160184672</v>
      </c>
      <c r="X258">
        <v>0.77831449631286742</v>
      </c>
      <c r="Y258">
        <v>0.64251101992794446</v>
      </c>
      <c r="Z258">
        <v>0.83097606742765706</v>
      </c>
      <c r="AA258">
        <v>0.79619628526066477</v>
      </c>
      <c r="AB258">
        <v>0.61728088248828161</v>
      </c>
      <c r="AC258">
        <v>0.80053124952983468</v>
      </c>
      <c r="AD258">
        <v>0.66578054836606304</v>
      </c>
      <c r="AE258">
        <v>0.83669671909562027</v>
      </c>
      <c r="AH258">
        <v>0.10146011460404891</v>
      </c>
      <c r="AI258">
        <v>6.5726134906021971E-2</v>
      </c>
      <c r="AJ258">
        <v>6.5560841193817332E-2</v>
      </c>
      <c r="AK258">
        <v>8.9686456777323897E-2</v>
      </c>
      <c r="AL258">
        <v>0.10877678750257658</v>
      </c>
      <c r="AM258">
        <v>0.2929468962833246</v>
      </c>
      <c r="AN258">
        <v>2.9484957799127298E-2</v>
      </c>
      <c r="AO258">
        <v>0.18056768777854237</v>
      </c>
      <c r="AR258">
        <v>8.1377761453465484E-4</v>
      </c>
      <c r="AS258">
        <v>4.2537422929309473E-3</v>
      </c>
      <c r="AT258">
        <v>0.10075831548039582</v>
      </c>
      <c r="AU258">
        <v>2.0400059509442237E-3</v>
      </c>
      <c r="AV258">
        <v>1.9913906967554637E-3</v>
      </c>
      <c r="AW258">
        <v>3.1415861411243319E-3</v>
      </c>
      <c r="AX258">
        <v>4.9365189167294155E-4</v>
      </c>
      <c r="AY258">
        <v>5.4012304161432656E-4</v>
      </c>
      <c r="BB258">
        <v>5.0307289369832531E-2</v>
      </c>
      <c r="BC258">
        <v>5.402052079693398E-2</v>
      </c>
      <c r="BE258">
        <v>29957.117029801211</v>
      </c>
      <c r="BF258">
        <v>20.839554283518769</v>
      </c>
      <c r="BG258">
        <v>32479.59540120995</v>
      </c>
      <c r="BH258">
        <v>20.808215140069276</v>
      </c>
    </row>
    <row r="259" spans="3:60" x14ac:dyDescent="0.2">
      <c r="C259" s="138">
        <v>34643.218328061994</v>
      </c>
      <c r="D259" s="138">
        <v>21.582011848141693</v>
      </c>
      <c r="E259" s="138">
        <v>36705.21196264527</v>
      </c>
      <c r="F259" s="138">
        <v>21.584902776514671</v>
      </c>
      <c r="G259" s="138">
        <v>-2061.9936345832757</v>
      </c>
      <c r="H259" s="138">
        <v>-2.8909283729774415E-3</v>
      </c>
      <c r="N259" s="138"/>
      <c r="O259" s="138"/>
      <c r="P259" s="138"/>
      <c r="R259">
        <v>61.595840326888037</v>
      </c>
      <c r="S259">
        <v>51.620853745922389</v>
      </c>
      <c r="T259">
        <v>226.75975881104847</v>
      </c>
      <c r="U259">
        <v>100.34453245144233</v>
      </c>
      <c r="X259">
        <v>0.86773160485567269</v>
      </c>
      <c r="Y259">
        <v>0.73440488859805197</v>
      </c>
      <c r="Z259">
        <v>0.72009189063720502</v>
      </c>
      <c r="AA259">
        <v>0.67751906314489885</v>
      </c>
      <c r="AB259">
        <v>0.85798717337386343</v>
      </c>
      <c r="AC259">
        <v>0.73334295575473252</v>
      </c>
      <c r="AD259">
        <v>0.81567229625185356</v>
      </c>
      <c r="AE259">
        <v>0.89451267808986534</v>
      </c>
      <c r="AH259">
        <v>0.19433677083365031</v>
      </c>
      <c r="AI259">
        <v>0.11070666255542594</v>
      </c>
      <c r="AJ259">
        <v>7.7413607219776859E-2</v>
      </c>
      <c r="AK259">
        <v>0.25980163891365804</v>
      </c>
      <c r="AL259">
        <v>0.23961208228511821</v>
      </c>
      <c r="AM259">
        <v>7.4623290939238585E-2</v>
      </c>
      <c r="AN259">
        <v>0.25798646796433788</v>
      </c>
      <c r="AO259">
        <v>1.8696512660008602E-2</v>
      </c>
      <c r="AR259">
        <v>7.6131347197278345E-4</v>
      </c>
      <c r="AS259">
        <v>4.477748800694503E-3</v>
      </c>
      <c r="AT259">
        <v>0.10098623568237119</v>
      </c>
      <c r="AU259">
        <v>2.116789017862164E-3</v>
      </c>
      <c r="AV259">
        <v>2.1522689945804307E-3</v>
      </c>
      <c r="AW259">
        <v>3.4429582224272393E-3</v>
      </c>
      <c r="AX259">
        <v>5.1209918467176596E-4</v>
      </c>
      <c r="AY259">
        <v>4.3790405995405266E-4</v>
      </c>
      <c r="BB259">
        <v>4.2306898044066968E-2</v>
      </c>
      <c r="BC259">
        <v>2.1516152449119468E-2</v>
      </c>
      <c r="BE259">
        <v>34643.218328061994</v>
      </c>
      <c r="BF259">
        <v>21.582011848141693</v>
      </c>
      <c r="BG259">
        <v>36705.21196264527</v>
      </c>
      <c r="BH259">
        <v>21.584902776514671</v>
      </c>
    </row>
    <row r="260" spans="3:60" x14ac:dyDescent="0.2">
      <c r="C260" s="138">
        <v>32910.844837899764</v>
      </c>
      <c r="D260" s="138">
        <v>21.210669316711424</v>
      </c>
      <c r="E260" s="138">
        <v>34927.430158887175</v>
      </c>
      <c r="F260" s="138">
        <v>21.179458669521136</v>
      </c>
      <c r="G260" s="138">
        <v>-2016.5853209874113</v>
      </c>
      <c r="H260" s="138">
        <v>3.1210647190288654E-2</v>
      </c>
      <c r="N260" s="138"/>
      <c r="O260" s="138"/>
      <c r="P260" s="138"/>
      <c r="R260">
        <v>389.05662070394771</v>
      </c>
      <c r="S260">
        <v>77.40680283487913</v>
      </c>
      <c r="T260">
        <v>280.38125811186455</v>
      </c>
      <c r="U260">
        <v>86.92950576921497</v>
      </c>
      <c r="X260">
        <v>0.41783134567521329</v>
      </c>
      <c r="Y260">
        <v>0.49487566095045715</v>
      </c>
      <c r="Z260">
        <v>0.8468032527423951</v>
      </c>
      <c r="AA260">
        <v>0.52337100336656217</v>
      </c>
      <c r="AB260">
        <v>0.92866513791649341</v>
      </c>
      <c r="AC260">
        <v>0.93472015273503972</v>
      </c>
      <c r="AD260">
        <v>0.84978503903046687</v>
      </c>
      <c r="AE260">
        <v>0.67005905843125313</v>
      </c>
      <c r="AH260">
        <v>0.21288691822694217</v>
      </c>
      <c r="AI260">
        <v>5.4669777282225107E-2</v>
      </c>
      <c r="AJ260">
        <v>0.32106522330724929</v>
      </c>
      <c r="AK260">
        <v>0.1508940334997404</v>
      </c>
      <c r="AL260">
        <v>0.15595623092150157</v>
      </c>
      <c r="AM260">
        <v>0.11696935148072463</v>
      </c>
      <c r="AN260">
        <v>0.18519543210661238</v>
      </c>
      <c r="AO260">
        <v>0.23970095377439093</v>
      </c>
      <c r="AR260">
        <v>8.3152075848666831E-4</v>
      </c>
      <c r="AS260">
        <v>4.4526305273834424E-3</v>
      </c>
      <c r="AT260">
        <v>9.9318265169776987E-2</v>
      </c>
      <c r="AU260">
        <v>1.8244289922209906E-3</v>
      </c>
      <c r="AV260">
        <v>2.0656821974834871E-3</v>
      </c>
      <c r="AW260">
        <v>3.3610030262219686E-3</v>
      </c>
      <c r="AX260">
        <v>4.0794124973075885E-4</v>
      </c>
      <c r="AY260">
        <v>4.7327587466539089E-4</v>
      </c>
      <c r="BB260">
        <v>4.5318071645166845E-2</v>
      </c>
      <c r="BC260">
        <v>5.9286542917314167E-2</v>
      </c>
      <c r="BE260">
        <v>32910.844837899764</v>
      </c>
      <c r="BF260">
        <v>21.210669316711424</v>
      </c>
      <c r="BG260">
        <v>34927.430158887175</v>
      </c>
      <c r="BH260">
        <v>21.179458669521136</v>
      </c>
    </row>
    <row r="261" spans="3:60" x14ac:dyDescent="0.2">
      <c r="C261" s="138">
        <v>31659.14382427742</v>
      </c>
      <c r="D261" s="138">
        <v>20.811865575341614</v>
      </c>
      <c r="E261" s="138">
        <v>33734.218719235861</v>
      </c>
      <c r="F261" s="138">
        <v>20.773404651623512</v>
      </c>
      <c r="G261" s="138">
        <v>-2075.0748949584413</v>
      </c>
      <c r="H261" s="138">
        <v>3.8460923718101725E-2</v>
      </c>
      <c r="N261" s="138"/>
      <c r="O261" s="138"/>
      <c r="P261" s="138"/>
      <c r="R261">
        <v>276.28572137101986</v>
      </c>
      <c r="S261">
        <v>65.445581456768522</v>
      </c>
      <c r="T261">
        <v>225.66364578557437</v>
      </c>
      <c r="U261">
        <v>110.31790280069696</v>
      </c>
      <c r="X261">
        <v>0.86717232875902051</v>
      </c>
      <c r="Y261">
        <v>0.82387265092892992</v>
      </c>
      <c r="Z261">
        <v>0.88582172303865359</v>
      </c>
      <c r="AA261">
        <v>0.91158556690530279</v>
      </c>
      <c r="AB261">
        <v>0.46067541980200816</v>
      </c>
      <c r="AC261">
        <v>0.60330292823957499</v>
      </c>
      <c r="AD261">
        <v>0.44318716832462718</v>
      </c>
      <c r="AE261">
        <v>0.66068172430754502</v>
      </c>
      <c r="AH261">
        <v>0.25810298766262962</v>
      </c>
      <c r="AI261">
        <v>0.11445382256039982</v>
      </c>
      <c r="AJ261">
        <v>0.10142269940071058</v>
      </c>
      <c r="AK261">
        <v>0.16392148012837182</v>
      </c>
      <c r="AL261">
        <v>4.4859273083766027E-3</v>
      </c>
      <c r="AM261">
        <v>0.36782504916330794</v>
      </c>
      <c r="AN261">
        <v>7.7146253978509716E-2</v>
      </c>
      <c r="AO261">
        <v>0.13911946961497967</v>
      </c>
      <c r="AR261">
        <v>1.0273239651741317E-3</v>
      </c>
      <c r="AS261">
        <v>4.2276084735110384E-3</v>
      </c>
      <c r="AT261">
        <v>0.10005367713914892</v>
      </c>
      <c r="AU261">
        <v>2.0718488532547319E-3</v>
      </c>
      <c r="AV261">
        <v>1.8899836541597635E-3</v>
      </c>
      <c r="AW261">
        <v>3.4473821051325126E-3</v>
      </c>
      <c r="AX261">
        <v>4.6827508513958005E-4</v>
      </c>
      <c r="AY261">
        <v>4.3314913965690152E-4</v>
      </c>
      <c r="BB261">
        <v>4.8767725680089281E-2</v>
      </c>
      <c r="BC261">
        <v>0.12489733335503417</v>
      </c>
      <c r="BE261">
        <v>31659.14382427742</v>
      </c>
      <c r="BF261">
        <v>20.811865575341614</v>
      </c>
      <c r="BG261">
        <v>33734.218719235861</v>
      </c>
      <c r="BH261">
        <v>20.773404651623512</v>
      </c>
    </row>
    <row r="262" spans="3:60" x14ac:dyDescent="0.2">
      <c r="C262" s="138">
        <v>31203.111709247376</v>
      </c>
      <c r="D262" s="138">
        <v>20.772023668939646</v>
      </c>
      <c r="E262" s="138">
        <v>33530.328876752385</v>
      </c>
      <c r="F262" s="138">
        <v>20.738540014858049</v>
      </c>
      <c r="G262" s="138">
        <v>-2327.2171675050085</v>
      </c>
      <c r="H262" s="138">
        <v>3.348365408159637E-2</v>
      </c>
      <c r="N262" s="138"/>
      <c r="O262" s="138"/>
      <c r="P262" s="138"/>
      <c r="R262">
        <v>178.58328142709723</v>
      </c>
      <c r="S262">
        <v>58.38925537532495</v>
      </c>
      <c r="T262">
        <v>222.52637931328695</v>
      </c>
      <c r="U262">
        <v>102.88437047121712</v>
      </c>
      <c r="X262">
        <v>0.64873512418619517</v>
      </c>
      <c r="Y262">
        <v>0.76000536430221499</v>
      </c>
      <c r="Z262">
        <v>0.67347128023348424</v>
      </c>
      <c r="AA262">
        <v>0.92925885105526385</v>
      </c>
      <c r="AB262">
        <v>0.63986590671840138</v>
      </c>
      <c r="AC262">
        <v>0.70157359898799176</v>
      </c>
      <c r="AD262">
        <v>0.82994004932801224</v>
      </c>
      <c r="AE262">
        <v>0.83535538695717104</v>
      </c>
      <c r="AH262">
        <v>0.16469898131082938</v>
      </c>
      <c r="AI262">
        <v>0.25536027764195235</v>
      </c>
      <c r="AJ262">
        <v>0.24201316327193789</v>
      </c>
      <c r="AK262">
        <v>0.15374015942704211</v>
      </c>
      <c r="AL262">
        <v>0.299476421346352</v>
      </c>
      <c r="AM262">
        <v>0.24373430964317577</v>
      </c>
      <c r="AN262">
        <v>0.12779916818824688</v>
      </c>
      <c r="AO262">
        <v>4.814419445462792E-3</v>
      </c>
      <c r="AR262">
        <v>9.0772176520503844E-4</v>
      </c>
      <c r="AS262">
        <v>4.4051539560603942E-3</v>
      </c>
      <c r="AT262">
        <v>9.9733458660896168E-2</v>
      </c>
      <c r="AU262">
        <v>1.9976815894153788E-3</v>
      </c>
      <c r="AV262">
        <v>2.127313728740865E-3</v>
      </c>
      <c r="AW262">
        <v>3.2966858016470119E-3</v>
      </c>
      <c r="AX262">
        <v>3.557795748912478E-4</v>
      </c>
      <c r="AY262">
        <v>3.9956282893135342E-4</v>
      </c>
      <c r="BB262">
        <v>4.599692530156977E-2</v>
      </c>
      <c r="BC262">
        <v>2.7369380130501615E-2</v>
      </c>
      <c r="BE262">
        <v>31203.111709247376</v>
      </c>
      <c r="BF262">
        <v>20.772023668939646</v>
      </c>
      <c r="BG262">
        <v>33530.328876752385</v>
      </c>
      <c r="BH262">
        <v>20.738540014858049</v>
      </c>
    </row>
    <row r="263" spans="3:60" x14ac:dyDescent="0.2">
      <c r="C263" s="138">
        <v>29692.232060252303</v>
      </c>
      <c r="D263" s="138">
        <v>20.662125795922805</v>
      </c>
      <c r="E263" s="138">
        <v>31886.914049914645</v>
      </c>
      <c r="F263" s="138">
        <v>20.608939484080647</v>
      </c>
      <c r="G263" s="138">
        <v>-2194.6819896623419</v>
      </c>
      <c r="H263" s="138">
        <v>5.3186311842157608E-2</v>
      </c>
      <c r="N263" s="138"/>
      <c r="O263" s="138"/>
      <c r="P263" s="138"/>
      <c r="R263">
        <v>204.68984899194464</v>
      </c>
      <c r="S263">
        <v>59.209208195700278</v>
      </c>
      <c r="T263">
        <v>271.54857901440431</v>
      </c>
      <c r="U263">
        <v>101.20207813308815</v>
      </c>
      <c r="X263">
        <v>0.92093852697439282</v>
      </c>
      <c r="Y263">
        <v>0.75637729877871074</v>
      </c>
      <c r="Z263">
        <v>0.77031875276961204</v>
      </c>
      <c r="AA263">
        <v>0.58961043439560923</v>
      </c>
      <c r="AB263">
        <v>0.84162983353403509</v>
      </c>
      <c r="AC263">
        <v>0.82027783743831617</v>
      </c>
      <c r="AD263">
        <v>0.86471038445961734</v>
      </c>
      <c r="AE263">
        <v>0.89780953661736351</v>
      </c>
      <c r="AH263">
        <v>0.17481234823406822</v>
      </c>
      <c r="AI263">
        <v>1.5643764171882069E-2</v>
      </c>
      <c r="AJ263">
        <v>5.998767487179002E-2</v>
      </c>
      <c r="AK263">
        <v>4.559126261182489E-2</v>
      </c>
      <c r="AL263">
        <v>8.1015771167928463E-2</v>
      </c>
      <c r="AM263">
        <v>3.2751489076097817E-2</v>
      </c>
      <c r="AN263">
        <v>1.7926213535651048E-2</v>
      </c>
      <c r="AO263">
        <v>0.16175533076542403</v>
      </c>
      <c r="AR263">
        <v>1.0228624269851272E-3</v>
      </c>
      <c r="AS263">
        <v>4.9017848723572621E-3</v>
      </c>
      <c r="AT263">
        <v>0.10110742072198986</v>
      </c>
      <c r="AU263">
        <v>2.0157046412896396E-3</v>
      </c>
      <c r="AV263">
        <v>1.908401257393134E-3</v>
      </c>
      <c r="AW263">
        <v>3.4573024098932814E-3</v>
      </c>
      <c r="AX263">
        <v>3.9618673503997727E-4</v>
      </c>
      <c r="AY263">
        <v>4.9746879061340898E-4</v>
      </c>
      <c r="BB263">
        <v>4.76179092939416E-2</v>
      </c>
      <c r="BC263">
        <v>5.326327756364968E-2</v>
      </c>
      <c r="BE263">
        <v>29692.232060252303</v>
      </c>
      <c r="BF263">
        <v>20.662125795922805</v>
      </c>
      <c r="BG263">
        <v>31886.914049914645</v>
      </c>
      <c r="BH263">
        <v>20.608939484080647</v>
      </c>
    </row>
    <row r="264" spans="3:60" x14ac:dyDescent="0.2">
      <c r="C264" s="138">
        <v>27948.614923757126</v>
      </c>
      <c r="D264" s="138">
        <v>20.866804089570756</v>
      </c>
      <c r="E264" s="138">
        <v>29973.853955029834</v>
      </c>
      <c r="F264" s="138">
        <v>20.871435705427256</v>
      </c>
      <c r="G264" s="138">
        <v>-2025.2390312727075</v>
      </c>
      <c r="H264" s="138">
        <v>-4.6316158564998489E-3</v>
      </c>
      <c r="N264" s="138"/>
      <c r="O264" s="138"/>
      <c r="P264" s="138"/>
      <c r="R264">
        <v>293.05893024052904</v>
      </c>
      <c r="S264">
        <v>67.490150125544758</v>
      </c>
      <c r="T264">
        <v>221.26500263195558</v>
      </c>
      <c r="U264">
        <v>105.22296675109885</v>
      </c>
      <c r="X264">
        <v>0.86868338298336967</v>
      </c>
      <c r="Y264">
        <v>0.75667356212970804</v>
      </c>
      <c r="Z264">
        <v>0.91951490394825952</v>
      </c>
      <c r="AA264">
        <v>0.72796222379928133</v>
      </c>
      <c r="AB264">
        <v>0.69351583722177657</v>
      </c>
      <c r="AC264">
        <v>0.90891954700758182</v>
      </c>
      <c r="AD264">
        <v>0.80767774508880996</v>
      </c>
      <c r="AE264">
        <v>0.67262673700724829</v>
      </c>
      <c r="AH264">
        <v>2.744532277520273E-2</v>
      </c>
      <c r="AI264">
        <v>0.17136736928825869</v>
      </c>
      <c r="AJ264">
        <v>0.16544385576070442</v>
      </c>
      <c r="AK264">
        <v>5.0106444758877711E-2</v>
      </c>
      <c r="AL264">
        <v>8.1964171954839848E-2</v>
      </c>
      <c r="AM264">
        <v>8.6968904970460503E-2</v>
      </c>
      <c r="AN264">
        <v>0.33628388845872392</v>
      </c>
      <c r="AO264">
        <v>0.30297400551532083</v>
      </c>
      <c r="AR264">
        <v>9.5515846015548078E-4</v>
      </c>
      <c r="AS264">
        <v>4.7039729770231853E-3</v>
      </c>
      <c r="AT264">
        <v>9.7271751898191164E-2</v>
      </c>
      <c r="AU264">
        <v>2.193767622594045E-3</v>
      </c>
      <c r="AV264">
        <v>2.0329377116607983E-3</v>
      </c>
      <c r="AW264">
        <v>3.9963356152601381E-3</v>
      </c>
      <c r="AX264">
        <v>5.3900176258114829E-4</v>
      </c>
      <c r="AY264">
        <v>4.9800858541260151E-4</v>
      </c>
      <c r="BB264">
        <v>4.8314012287208705E-2</v>
      </c>
      <c r="BC264">
        <v>5.4315224913473736E-2</v>
      </c>
      <c r="BE264">
        <v>27948.614923757126</v>
      </c>
      <c r="BF264">
        <v>20.866804089570756</v>
      </c>
      <c r="BG264">
        <v>29973.853955029834</v>
      </c>
      <c r="BH264">
        <v>20.871435705427256</v>
      </c>
    </row>
    <row r="265" spans="3:60" x14ac:dyDescent="0.2">
      <c r="C265" s="138">
        <v>30012.013151962739</v>
      </c>
      <c r="D265" s="138">
        <v>20.852542209564124</v>
      </c>
      <c r="E265" s="138">
        <v>31879.468932851938</v>
      </c>
      <c r="F265" s="138">
        <v>20.799553027908217</v>
      </c>
      <c r="G265" s="138">
        <v>-1867.4557808891986</v>
      </c>
      <c r="H265" s="138">
        <v>5.2989181655906492E-2</v>
      </c>
      <c r="N265" s="138"/>
      <c r="O265" s="138"/>
      <c r="P265" s="138"/>
      <c r="R265">
        <v>267.34734919310091</v>
      </c>
      <c r="S265">
        <v>63.28973977515907</v>
      </c>
      <c r="T265">
        <v>262.45911642285341</v>
      </c>
      <c r="U265">
        <v>106.32670322414802</v>
      </c>
      <c r="X265">
        <v>0.82780659116847666</v>
      </c>
      <c r="Y265">
        <v>0.92455219987230075</v>
      </c>
      <c r="Z265">
        <v>0.48629411425259456</v>
      </c>
      <c r="AA265">
        <v>0.78632285899146703</v>
      </c>
      <c r="AB265">
        <v>0.6774935754653465</v>
      </c>
      <c r="AC265">
        <v>0.70601350156801768</v>
      </c>
      <c r="AD265">
        <v>0.73518574820556348</v>
      </c>
      <c r="AE265">
        <v>0.6627495556703723</v>
      </c>
      <c r="AH265">
        <v>8.6406590962054608E-2</v>
      </c>
      <c r="AI265">
        <v>3.6597145014154897E-2</v>
      </c>
      <c r="AJ265">
        <v>9.9207700020097045E-2</v>
      </c>
      <c r="AK265">
        <v>2.0047863774630637E-2</v>
      </c>
      <c r="AL265">
        <v>1.2732511868019714E-2</v>
      </c>
      <c r="AM265">
        <v>3.9669406879332736E-2</v>
      </c>
      <c r="AN265">
        <v>2.4930664862348184E-3</v>
      </c>
      <c r="AO265">
        <v>0.33388217843397561</v>
      </c>
      <c r="AR265">
        <v>9.9283932824978383E-4</v>
      </c>
      <c r="AS265">
        <v>4.4174354373865167E-3</v>
      </c>
      <c r="AT265">
        <v>0.1005303628655202</v>
      </c>
      <c r="AU265">
        <v>2.0248540371025081E-3</v>
      </c>
      <c r="AV265">
        <v>2.0505796976909574E-3</v>
      </c>
      <c r="AW265">
        <v>3.4987264331789447E-3</v>
      </c>
      <c r="AX265">
        <v>4.3241731222343205E-4</v>
      </c>
      <c r="AY265">
        <v>4.9767907688069712E-4</v>
      </c>
      <c r="BB265">
        <v>5.1797776610442603E-2</v>
      </c>
      <c r="BC265">
        <v>4.9755711517775247E-2</v>
      </c>
      <c r="BE265">
        <v>30012.013151962739</v>
      </c>
      <c r="BF265">
        <v>20.852542209564124</v>
      </c>
      <c r="BG265">
        <v>31879.468932851938</v>
      </c>
      <c r="BH265">
        <v>20.799553027908217</v>
      </c>
    </row>
    <row r="266" spans="3:60" x14ac:dyDescent="0.2">
      <c r="C266" s="138">
        <v>29004.821394196268</v>
      </c>
      <c r="D266" s="138">
        <v>20.56497403893777</v>
      </c>
      <c r="E266" s="138">
        <v>30698.958120079522</v>
      </c>
      <c r="F266" s="138">
        <v>20.508585876804258</v>
      </c>
      <c r="G266" s="138">
        <v>-1694.1367258832543</v>
      </c>
      <c r="H266" s="138">
        <v>5.6388162133512054E-2</v>
      </c>
      <c r="N266" s="138"/>
      <c r="O266" s="138"/>
      <c r="P266" s="138"/>
      <c r="R266">
        <v>233.59231761400713</v>
      </c>
      <c r="S266">
        <v>66.366517121472697</v>
      </c>
      <c r="T266">
        <v>265.22760099754964</v>
      </c>
      <c r="U266">
        <v>91.798625006041874</v>
      </c>
      <c r="X266">
        <v>0.59619720186399305</v>
      </c>
      <c r="Y266">
        <v>0.68548665101965656</v>
      </c>
      <c r="Z266">
        <v>0.60404982779147531</v>
      </c>
      <c r="AA266">
        <v>0.83653770477115807</v>
      </c>
      <c r="AB266">
        <v>0.54940666213034661</v>
      </c>
      <c r="AC266">
        <v>0.68757661589357566</v>
      </c>
      <c r="AD266">
        <v>0.88372182249067621</v>
      </c>
      <c r="AE266">
        <v>0.85206610330725874</v>
      </c>
      <c r="AH266">
        <v>0.19006868143829503</v>
      </c>
      <c r="AI266">
        <v>9.7412368874701838E-2</v>
      </c>
      <c r="AJ266">
        <v>0.24906615380780706</v>
      </c>
      <c r="AK266">
        <v>0.11173637623604737</v>
      </c>
      <c r="AL266">
        <v>4.5629978769660795E-2</v>
      </c>
      <c r="AM266">
        <v>0.17081741268933448</v>
      </c>
      <c r="AN266">
        <v>3.8353795755869058E-2</v>
      </c>
      <c r="AO266">
        <v>0.11339167014770857</v>
      </c>
      <c r="AR266">
        <v>1.0241916412350172E-3</v>
      </c>
      <c r="AS266">
        <v>4.1198051982674769E-3</v>
      </c>
      <c r="AT266">
        <v>0.10314218262685648</v>
      </c>
      <c r="AU266">
        <v>2.0636046937952957E-3</v>
      </c>
      <c r="AV266">
        <v>1.943973410362354E-3</v>
      </c>
      <c r="AW266">
        <v>3.3808970902720874E-3</v>
      </c>
      <c r="AX266">
        <v>4.263991115256438E-4</v>
      </c>
      <c r="AY266">
        <v>4.1491326917512711E-4</v>
      </c>
      <c r="BB266">
        <v>4.5985908533692443E-2</v>
      </c>
      <c r="BC266">
        <v>5.6474447890314416E-2</v>
      </c>
      <c r="BE266">
        <v>29004.821394196268</v>
      </c>
      <c r="BF266">
        <v>20.56497403893777</v>
      </c>
      <c r="BG266">
        <v>30698.958120079522</v>
      </c>
      <c r="BH266">
        <v>20.508585876804258</v>
      </c>
    </row>
    <row r="267" spans="3:60" x14ac:dyDescent="0.2">
      <c r="C267" s="138">
        <v>27626.745349040204</v>
      </c>
      <c r="D267" s="138">
        <v>20.633853525668595</v>
      </c>
      <c r="E267" s="138">
        <v>29443.808050041564</v>
      </c>
      <c r="F267" s="138">
        <v>20.57494578742584</v>
      </c>
      <c r="G267" s="138">
        <v>-1817.0627010013595</v>
      </c>
      <c r="H267" s="138">
        <v>5.8907738242755414E-2</v>
      </c>
      <c r="N267" s="138"/>
      <c r="O267" s="138"/>
      <c r="P267" s="138"/>
      <c r="R267">
        <v>121.98738908719764</v>
      </c>
      <c r="S267">
        <v>47.554428329899139</v>
      </c>
      <c r="T267">
        <v>256.96098572172474</v>
      </c>
      <c r="U267">
        <v>85.046196281849731</v>
      </c>
      <c r="X267">
        <v>0.91431513177648216</v>
      </c>
      <c r="Y267">
        <v>0.88231575470016033</v>
      </c>
      <c r="Z267">
        <v>0.75248040826520057</v>
      </c>
      <c r="AA267">
        <v>0.78934019191264559</v>
      </c>
      <c r="AB267">
        <v>0.85559201412449115</v>
      </c>
      <c r="AC267">
        <v>0.69216490448393087</v>
      </c>
      <c r="AD267">
        <v>0.85165771046646166</v>
      </c>
      <c r="AE267">
        <v>0.74295748043682053</v>
      </c>
      <c r="AH267">
        <v>0.14908569345218703</v>
      </c>
      <c r="AI267">
        <v>2.7179728425644756E-2</v>
      </c>
      <c r="AJ267">
        <v>6.22270634055615E-2</v>
      </c>
      <c r="AK267">
        <v>0.13594602371602671</v>
      </c>
      <c r="AL267">
        <v>0.20655851522169011</v>
      </c>
      <c r="AM267">
        <v>0.30292213637859611</v>
      </c>
      <c r="AN267">
        <v>6.2468163258493581E-2</v>
      </c>
      <c r="AO267">
        <v>0.11362661055362688</v>
      </c>
      <c r="AR267">
        <v>9.7470427344614752E-4</v>
      </c>
      <c r="AS267">
        <v>4.3775779958838603E-3</v>
      </c>
      <c r="AT267">
        <v>0.10024106751284778</v>
      </c>
      <c r="AU267">
        <v>1.6994604494891216E-3</v>
      </c>
      <c r="AV267">
        <v>2.0109885042630671E-3</v>
      </c>
      <c r="AW267">
        <v>3.2179215857757212E-3</v>
      </c>
      <c r="AX267">
        <v>2.9843424512943935E-4</v>
      </c>
      <c r="AY267">
        <v>4.6142515540847917E-4</v>
      </c>
      <c r="BB267">
        <v>4.9373017791651153E-2</v>
      </c>
      <c r="BC267">
        <v>2.041702072306157E-2</v>
      </c>
      <c r="BE267">
        <v>27626.745349040204</v>
      </c>
      <c r="BF267">
        <v>20.633853525668595</v>
      </c>
      <c r="BG267">
        <v>29443.808050041564</v>
      </c>
      <c r="BH267">
        <v>20.57494578742584</v>
      </c>
    </row>
    <row r="268" spans="3:60" x14ac:dyDescent="0.2">
      <c r="C268" s="140">
        <v>33555.239832994572</v>
      </c>
      <c r="D268" s="140">
        <v>20.61168326640453</v>
      </c>
      <c r="E268" s="140">
        <v>36241.729417670365</v>
      </c>
      <c r="F268" s="140">
        <v>20.600165937877776</v>
      </c>
      <c r="G268" s="140">
        <v>-2686.4895846757936</v>
      </c>
      <c r="H268" s="140">
        <v>1.1517328526753801E-2</v>
      </c>
      <c r="N268" s="138"/>
      <c r="O268" s="138"/>
      <c r="P268" s="138"/>
      <c r="R268">
        <v>164.55205789928181</v>
      </c>
      <c r="S268">
        <v>59.24837745830078</v>
      </c>
      <c r="T268">
        <v>248.68784415765094</v>
      </c>
      <c r="U268">
        <v>90.843532540195667</v>
      </c>
      <c r="X268">
        <v>0.69613728119844487</v>
      </c>
      <c r="Y268">
        <v>0.61885089326019993</v>
      </c>
      <c r="Z268">
        <v>0.54443398885983463</v>
      </c>
      <c r="AA268">
        <v>0.74184725698160081</v>
      </c>
      <c r="AB268">
        <v>0.84349350142628188</v>
      </c>
      <c r="AC268">
        <v>0.69583598369003274</v>
      </c>
      <c r="AD268">
        <v>0.92512551948164967</v>
      </c>
      <c r="AE268">
        <v>0.68486578866946335</v>
      </c>
      <c r="AH268">
        <v>4.0188584789210169E-2</v>
      </c>
      <c r="AI268">
        <v>1.1192422977927552E-2</v>
      </c>
      <c r="AJ268">
        <v>0.29731414783182863</v>
      </c>
      <c r="AK268">
        <v>7.7536275618552142E-2</v>
      </c>
      <c r="AL268">
        <v>0.28790946602364664</v>
      </c>
      <c r="AM268">
        <v>9.7362196560864644E-2</v>
      </c>
      <c r="AN268">
        <v>0.2878010832071014</v>
      </c>
      <c r="AO268">
        <v>4.1648063973581673E-2</v>
      </c>
      <c r="AR268">
        <v>8.4424600972221359E-4</v>
      </c>
      <c r="AS268">
        <v>4.3112153825704252E-3</v>
      </c>
      <c r="AT268">
        <v>0.10043411626650867</v>
      </c>
      <c r="AU268">
        <v>1.9203016270814739E-3</v>
      </c>
      <c r="AV268">
        <v>1.8533362957765958E-3</v>
      </c>
      <c r="AW268">
        <v>3.2926691124299757E-3</v>
      </c>
      <c r="AX268">
        <v>5.28984003663302E-4</v>
      </c>
      <c r="AY268">
        <v>4.2746526304750855E-4</v>
      </c>
      <c r="BB268">
        <v>4.5693036928442142E-2</v>
      </c>
      <c r="BC268">
        <v>4.7210541919625371E-2</v>
      </c>
      <c r="BE268">
        <v>33555.239832994572</v>
      </c>
      <c r="BF268">
        <v>20.61168326640453</v>
      </c>
      <c r="BG268">
        <v>36241.729417670365</v>
      </c>
      <c r="BH268">
        <v>20.600165937877776</v>
      </c>
    </row>
    <row r="269" spans="3:60" x14ac:dyDescent="0.2">
      <c r="C269" s="138">
        <v>33324.490995138636</v>
      </c>
      <c r="D269" s="138">
        <v>21.275557373475706</v>
      </c>
      <c r="E269" s="138">
        <v>35614.923570839026</v>
      </c>
      <c r="F269" s="138">
        <v>21.2677475212415</v>
      </c>
      <c r="G269" s="138">
        <v>-2290.4325757003899</v>
      </c>
      <c r="H269" s="138">
        <v>7.8098522342067156E-3</v>
      </c>
      <c r="N269" s="138"/>
      <c r="O269" s="138"/>
      <c r="P269" s="138"/>
      <c r="R269">
        <v>73.289891410529549</v>
      </c>
      <c r="S269">
        <v>76.197507242116743</v>
      </c>
      <c r="T269">
        <v>255.96335230137603</v>
      </c>
      <c r="U269">
        <v>94.592180696635651</v>
      </c>
      <c r="X269">
        <v>0.70828253650708461</v>
      </c>
      <c r="Y269">
        <v>0.85182913854299125</v>
      </c>
      <c r="Z269">
        <v>0.69273943036671359</v>
      </c>
      <c r="AA269">
        <v>0.80018930628705798</v>
      </c>
      <c r="AB269">
        <v>0.78357429227112652</v>
      </c>
      <c r="AC269">
        <v>0.79160567861211906</v>
      </c>
      <c r="AD269">
        <v>0.85478537019033107</v>
      </c>
      <c r="AE269">
        <v>0.94406231078924674</v>
      </c>
      <c r="AH269">
        <v>0.12766462594068129</v>
      </c>
      <c r="AI269">
        <v>0.28805441348425032</v>
      </c>
      <c r="AJ269">
        <v>0.3057786398503699</v>
      </c>
      <c r="AK269">
        <v>0.16585009767562919</v>
      </c>
      <c r="AL269">
        <v>0.44226599146008072</v>
      </c>
      <c r="AM269">
        <v>3.985207342171293E-2</v>
      </c>
      <c r="AN269">
        <v>0.17412361984218505</v>
      </c>
      <c r="AO269">
        <v>0.21394511951843675</v>
      </c>
      <c r="AR269">
        <v>8.7844821227144043E-4</v>
      </c>
      <c r="AS269">
        <v>4.1636547688653422E-3</v>
      </c>
      <c r="AT269">
        <v>9.9133776912951416E-2</v>
      </c>
      <c r="AU269">
        <v>2.0516488695813129E-3</v>
      </c>
      <c r="AV269">
        <v>2.2854495235185013E-3</v>
      </c>
      <c r="AW269">
        <v>3.2653438520718683E-3</v>
      </c>
      <c r="AX269">
        <v>4.496066243807606E-4</v>
      </c>
      <c r="AY269">
        <v>3.0663631390259169E-4</v>
      </c>
      <c r="BB269">
        <v>5.0389235345041139E-2</v>
      </c>
      <c r="BC269">
        <v>0.10164045368883445</v>
      </c>
      <c r="BE269">
        <v>33324.490995138636</v>
      </c>
      <c r="BF269">
        <v>21.275557373475706</v>
      </c>
      <c r="BG269">
        <v>35614.923570839026</v>
      </c>
      <c r="BH269">
        <v>21.2677475212415</v>
      </c>
    </row>
    <row r="270" spans="3:60" x14ac:dyDescent="0.2">
      <c r="C270" s="138">
        <v>31690.125163253324</v>
      </c>
      <c r="D270" s="138">
        <v>21.494502199912858</v>
      </c>
      <c r="E270" s="138">
        <v>33352.18146341329</v>
      </c>
      <c r="F270" s="138">
        <v>21.497156099836918</v>
      </c>
      <c r="G270" s="138">
        <v>-1662.0563001599658</v>
      </c>
      <c r="H270" s="138">
        <v>-2.6538999240592887E-3</v>
      </c>
      <c r="N270" s="138"/>
      <c r="O270" s="138"/>
      <c r="P270" s="138"/>
      <c r="R270">
        <v>287.84612245647872</v>
      </c>
      <c r="S270">
        <v>69.050973140670109</v>
      </c>
      <c r="T270">
        <v>297.45355008358655</v>
      </c>
      <c r="U270">
        <v>92.589565525579829</v>
      </c>
      <c r="X270">
        <v>0.51095212122373568</v>
      </c>
      <c r="Y270">
        <v>0.78889492827020091</v>
      </c>
      <c r="Z270">
        <v>0.65126220368189558</v>
      </c>
      <c r="AA270">
        <v>0.61666521251725137</v>
      </c>
      <c r="AB270">
        <v>0.71048964193347819</v>
      </c>
      <c r="AC270">
        <v>0.89118423209914788</v>
      </c>
      <c r="AD270">
        <v>0.85099688964872933</v>
      </c>
      <c r="AE270">
        <v>0.88253101443835891</v>
      </c>
      <c r="AH270">
        <v>6.5901169547348482E-2</v>
      </c>
      <c r="AI270">
        <v>2.6164011160330736E-2</v>
      </c>
      <c r="AJ270">
        <v>0.15587865859878924</v>
      </c>
      <c r="AK270">
        <v>8.344499623720858E-2</v>
      </c>
      <c r="AL270">
        <v>0.12918025642036202</v>
      </c>
      <c r="AM270">
        <v>0.15273000813661686</v>
      </c>
      <c r="AN270">
        <v>0.10629572997114534</v>
      </c>
      <c r="AO270">
        <v>0.19699092536288509</v>
      </c>
      <c r="AR270">
        <v>8.7377214821235014E-4</v>
      </c>
      <c r="AS270">
        <v>4.383616332305296E-3</v>
      </c>
      <c r="AT270">
        <v>9.9933986188354598E-2</v>
      </c>
      <c r="AU270">
        <v>2.0513043214532845E-3</v>
      </c>
      <c r="AV270">
        <v>2.0162422017306891E-3</v>
      </c>
      <c r="AW270">
        <v>3.3028552456705589E-3</v>
      </c>
      <c r="AX270">
        <v>3.91932984592161E-4</v>
      </c>
      <c r="AY270">
        <v>4.6639100232437336E-4</v>
      </c>
      <c r="BB270">
        <v>5.0154988823752356E-2</v>
      </c>
      <c r="BC270">
        <v>4.400013541838111E-2</v>
      </c>
      <c r="BE270">
        <v>31690.125163253324</v>
      </c>
      <c r="BF270">
        <v>21.494502199912858</v>
      </c>
      <c r="BG270">
        <v>33352.18146341329</v>
      </c>
      <c r="BH270">
        <v>21.497156099836918</v>
      </c>
    </row>
    <row r="271" spans="3:60" x14ac:dyDescent="0.2">
      <c r="C271" s="138">
        <v>28971.545244422668</v>
      </c>
      <c r="D271" s="138">
        <v>21.032268629133529</v>
      </c>
      <c r="E271" s="138">
        <v>30782.918063189602</v>
      </c>
      <c r="F271" s="138">
        <v>21.005039120248874</v>
      </c>
      <c r="G271" s="138">
        <v>-1811.3728187669331</v>
      </c>
      <c r="H271" s="138">
        <v>2.7229508884655473E-2</v>
      </c>
      <c r="N271" s="138"/>
      <c r="O271" s="138"/>
      <c r="P271" s="138"/>
      <c r="R271">
        <v>264.21957674138861</v>
      </c>
      <c r="S271">
        <v>53.973536146996224</v>
      </c>
      <c r="T271">
        <v>266.33776089301494</v>
      </c>
      <c r="U271">
        <v>101.51079728885757</v>
      </c>
      <c r="X271">
        <v>0.73349029915884612</v>
      </c>
      <c r="Y271">
        <v>0.84666213546775004</v>
      </c>
      <c r="Z271">
        <v>0.86845714570357169</v>
      </c>
      <c r="AA271">
        <v>0.67203727180098838</v>
      </c>
      <c r="AB271">
        <v>0.73471921568837728</v>
      </c>
      <c r="AC271">
        <v>0.88575820503551816</v>
      </c>
      <c r="AD271">
        <v>0.8373255347982117</v>
      </c>
      <c r="AE271">
        <v>0.72395594877204172</v>
      </c>
      <c r="AH271">
        <v>0.28677606243375553</v>
      </c>
      <c r="AI271">
        <v>6.4068874183121571E-2</v>
      </c>
      <c r="AJ271">
        <v>9.2522975952445741E-2</v>
      </c>
      <c r="AK271">
        <v>3.8678046307610403E-2</v>
      </c>
      <c r="AL271">
        <v>0.11765431517854308</v>
      </c>
      <c r="AM271">
        <v>0.25191368285007287</v>
      </c>
      <c r="AN271">
        <v>0.18715594666110658</v>
      </c>
      <c r="AO271">
        <v>4.5651097641419724E-2</v>
      </c>
      <c r="AR271">
        <v>8.7729761795708999E-4</v>
      </c>
      <c r="AS271">
        <v>4.4461221293922229E-3</v>
      </c>
      <c r="AT271">
        <v>9.8782447798687112E-2</v>
      </c>
      <c r="AU271">
        <v>1.9771960063507481E-3</v>
      </c>
      <c r="AV271">
        <v>1.9066449795550877E-3</v>
      </c>
      <c r="AW271">
        <v>3.3289563068152686E-3</v>
      </c>
      <c r="AX271">
        <v>3.0535559493473515E-4</v>
      </c>
      <c r="AY271">
        <v>5.1290281458793441E-4</v>
      </c>
      <c r="BB271">
        <v>4.8891511671528338E-2</v>
      </c>
      <c r="BC271">
        <v>5.3169693204374924E-2</v>
      </c>
      <c r="BE271">
        <v>28971.545244422668</v>
      </c>
      <c r="BF271">
        <v>21.032268629133529</v>
      </c>
      <c r="BG271">
        <v>30782.918063189602</v>
      </c>
      <c r="BH271">
        <v>21.005039120248874</v>
      </c>
    </row>
    <row r="272" spans="3:60" x14ac:dyDescent="0.2">
      <c r="C272" s="138">
        <v>27711.477658075946</v>
      </c>
      <c r="D272" s="138">
        <v>21.634674391147524</v>
      </c>
      <c r="E272" s="138">
        <v>29961.280101270964</v>
      </c>
      <c r="F272" s="138">
        <v>21.650585698736268</v>
      </c>
      <c r="G272" s="138">
        <v>-2249.802443195018</v>
      </c>
      <c r="H272" s="138">
        <v>-1.5911307588744705E-2</v>
      </c>
      <c r="N272" s="138"/>
      <c r="O272" s="138"/>
      <c r="P272" s="138"/>
      <c r="R272">
        <v>245.4167272392682</v>
      </c>
      <c r="S272">
        <v>61.624426634572444</v>
      </c>
      <c r="T272">
        <v>263.10610634501325</v>
      </c>
      <c r="U272">
        <v>91.020378897430703</v>
      </c>
      <c r="X272">
        <v>0.83255674778731603</v>
      </c>
      <c r="Y272">
        <v>0.82457632273133508</v>
      </c>
      <c r="Z272">
        <v>0.63055030279690683</v>
      </c>
      <c r="AA272">
        <v>0.65048379920821564</v>
      </c>
      <c r="AB272">
        <v>0.70335570147791737</v>
      </c>
      <c r="AC272">
        <v>0.79436224448768677</v>
      </c>
      <c r="AD272">
        <v>0.88405421824714403</v>
      </c>
      <c r="AE272">
        <v>0.56236183203720003</v>
      </c>
      <c r="AH272">
        <v>8.8726612875313027E-2</v>
      </c>
      <c r="AI272">
        <v>0.12442623454109558</v>
      </c>
      <c r="AJ272">
        <v>0.15254538974530474</v>
      </c>
      <c r="AK272">
        <v>0.12866451767997789</v>
      </c>
      <c r="AL272">
        <v>2.7379949752755373E-2</v>
      </c>
      <c r="AM272">
        <v>1.8204474760317946E-2</v>
      </c>
      <c r="AN272">
        <v>5.0961773736569627E-2</v>
      </c>
      <c r="AO272">
        <v>0.12758967603445515</v>
      </c>
      <c r="AR272">
        <v>8.6771709007648007E-4</v>
      </c>
      <c r="AS272">
        <v>4.1929935856351132E-3</v>
      </c>
      <c r="AT272">
        <v>9.9149921591575735E-2</v>
      </c>
      <c r="AU272">
        <v>2.1210520503287533E-3</v>
      </c>
      <c r="AV272">
        <v>2.2089018868973742E-3</v>
      </c>
      <c r="AW272">
        <v>3.5504345835610795E-3</v>
      </c>
      <c r="AX272">
        <v>5.3244293963616851E-4</v>
      </c>
      <c r="AY272">
        <v>4.0858927167432036E-4</v>
      </c>
      <c r="BB272">
        <v>6.0870147550329934E-2</v>
      </c>
      <c r="BC272">
        <v>4.1714564901563646E-2</v>
      </c>
      <c r="BE272">
        <v>27711.477658075946</v>
      </c>
      <c r="BF272">
        <v>21.634674391147524</v>
      </c>
      <c r="BG272">
        <v>29961.280101270964</v>
      </c>
      <c r="BH272">
        <v>21.650585698736268</v>
      </c>
    </row>
    <row r="273" spans="3:60" x14ac:dyDescent="0.2">
      <c r="C273" s="138">
        <v>28384.073270126486</v>
      </c>
      <c r="D273" s="138">
        <v>21.467804951352626</v>
      </c>
      <c r="E273" s="138">
        <v>30406.227256034697</v>
      </c>
      <c r="F273" s="138">
        <v>21.452257823641894</v>
      </c>
      <c r="G273" s="138">
        <v>-2022.1539859082113</v>
      </c>
      <c r="H273" s="138">
        <v>1.5547127710732411E-2</v>
      </c>
      <c r="N273" s="138"/>
      <c r="O273" s="138"/>
      <c r="P273" s="138"/>
      <c r="R273">
        <v>288.26592902718772</v>
      </c>
      <c r="S273">
        <v>54.544603225764966</v>
      </c>
      <c r="T273">
        <v>194.3043347463161</v>
      </c>
      <c r="U273">
        <v>83.474262381948975</v>
      </c>
      <c r="X273">
        <v>0.60929355794387885</v>
      </c>
      <c r="Y273">
        <v>0.94946767984314007</v>
      </c>
      <c r="Z273">
        <v>0.56755206322184637</v>
      </c>
      <c r="AA273">
        <v>0.81963040922499886</v>
      </c>
      <c r="AB273">
        <v>0.80940756083278498</v>
      </c>
      <c r="AC273">
        <v>0.8356644973054238</v>
      </c>
      <c r="AD273">
        <v>0.61947689745573731</v>
      </c>
      <c r="AE273">
        <v>0.94558017697343666</v>
      </c>
      <c r="AH273">
        <v>0.14940972227130023</v>
      </c>
      <c r="AI273">
        <v>0.28649830209976723</v>
      </c>
      <c r="AJ273">
        <v>0.16177519645113558</v>
      </c>
      <c r="AK273">
        <v>4.1453050875736253E-2</v>
      </c>
      <c r="AL273">
        <v>0.11644873885308715</v>
      </c>
      <c r="AM273">
        <v>0.2959319834797669</v>
      </c>
      <c r="AN273">
        <v>4.9136241245371748E-2</v>
      </c>
      <c r="AO273">
        <v>0.12391154106135949</v>
      </c>
      <c r="AR273">
        <v>8.6481553175943087E-4</v>
      </c>
      <c r="AS273">
        <v>4.4962604482494282E-3</v>
      </c>
      <c r="AT273">
        <v>9.9536882159784415E-2</v>
      </c>
      <c r="AU273">
        <v>1.8622242684761426E-3</v>
      </c>
      <c r="AV273">
        <v>2.007511778400084E-3</v>
      </c>
      <c r="AW273">
        <v>3.4173686785400337E-3</v>
      </c>
      <c r="AX273">
        <v>3.788254607856424E-4</v>
      </c>
      <c r="AY273">
        <v>4.7497526930628808E-4</v>
      </c>
      <c r="BB273">
        <v>5.6386554695494584E-2</v>
      </c>
      <c r="BC273">
        <v>2.492080491427115E-2</v>
      </c>
      <c r="BE273">
        <v>28384.073270126486</v>
      </c>
      <c r="BF273">
        <v>21.467804951352626</v>
      </c>
      <c r="BG273">
        <v>30406.227256034697</v>
      </c>
      <c r="BH273">
        <v>21.452257823641894</v>
      </c>
    </row>
    <row r="274" spans="3:60" x14ac:dyDescent="0.2">
      <c r="C274" s="138">
        <v>31516.065546373698</v>
      </c>
      <c r="D274" s="138">
        <v>20.710803987355021</v>
      </c>
      <c r="E274" s="138">
        <v>33739.655314941476</v>
      </c>
      <c r="F274" s="138">
        <v>20.670014556861304</v>
      </c>
      <c r="G274" s="138">
        <v>-2223.5897685677774</v>
      </c>
      <c r="H274" s="138">
        <v>4.0789430493717305E-2</v>
      </c>
      <c r="N274" s="138"/>
      <c r="O274" s="138"/>
      <c r="P274" s="138"/>
      <c r="R274">
        <v>214.53423386791798</v>
      </c>
      <c r="S274">
        <v>61.605580604726008</v>
      </c>
      <c r="T274">
        <v>296.02759111307404</v>
      </c>
      <c r="U274">
        <v>110.88793577286992</v>
      </c>
      <c r="X274">
        <v>0.74759374991852656</v>
      </c>
      <c r="Y274">
        <v>0.83420070845641781</v>
      </c>
      <c r="Z274">
        <v>0.88048444963601624</v>
      </c>
      <c r="AA274">
        <v>0.71649990369023098</v>
      </c>
      <c r="AB274">
        <v>0.81572829805880109</v>
      </c>
      <c r="AC274">
        <v>0.79729540817753741</v>
      </c>
      <c r="AD274">
        <v>0.86378391046657355</v>
      </c>
      <c r="AE274">
        <v>0.90082262306167449</v>
      </c>
      <c r="AH274">
        <v>0.13112619549133808</v>
      </c>
      <c r="AI274">
        <v>6.6775733345155408E-2</v>
      </c>
      <c r="AJ274">
        <v>0.23365707822805981</v>
      </c>
      <c r="AK274">
        <v>0.15640332384672551</v>
      </c>
      <c r="AL274">
        <v>0.32979380039276973</v>
      </c>
      <c r="AM274">
        <v>0.11498272635635975</v>
      </c>
      <c r="AN274">
        <v>5.55140775388554E-2</v>
      </c>
      <c r="AO274">
        <v>4.9348937833011974E-2</v>
      </c>
      <c r="AR274">
        <v>9.0604492896706468E-4</v>
      </c>
      <c r="AS274">
        <v>4.3508683151430982E-3</v>
      </c>
      <c r="AT274">
        <v>0.10131314964793992</v>
      </c>
      <c r="AU274">
        <v>1.8360965747993105E-3</v>
      </c>
      <c r="AV274">
        <v>1.7453761233782647E-3</v>
      </c>
      <c r="AW274">
        <v>3.0095949114884411E-3</v>
      </c>
      <c r="AX274">
        <v>3.7927836385980728E-4</v>
      </c>
      <c r="AY274">
        <v>3.8330764604027184E-4</v>
      </c>
      <c r="BB274">
        <v>4.9030568565279584E-2</v>
      </c>
      <c r="BC274">
        <v>4.8627485773332424E-2</v>
      </c>
      <c r="BE274">
        <v>31516.065546373698</v>
      </c>
      <c r="BF274">
        <v>20.710803987355021</v>
      </c>
      <c r="BG274">
        <v>33739.655314941476</v>
      </c>
      <c r="BH274">
        <v>20.670014556861304</v>
      </c>
    </row>
    <row r="275" spans="3:60" x14ac:dyDescent="0.2">
      <c r="C275" s="138">
        <v>34727.067018297981</v>
      </c>
      <c r="D275" s="138">
        <v>20.318314821531608</v>
      </c>
      <c r="E275" s="138">
        <v>36974.881092239797</v>
      </c>
      <c r="F275" s="138">
        <v>20.320197152043505</v>
      </c>
      <c r="G275" s="138">
        <v>-2247.8140739418159</v>
      </c>
      <c r="H275" s="138">
        <v>-1.8823305118971234E-3</v>
      </c>
      <c r="N275" s="138"/>
      <c r="O275" s="138"/>
      <c r="P275" s="138"/>
      <c r="R275">
        <v>222.54725712481073</v>
      </c>
      <c r="S275">
        <v>71.020400759207547</v>
      </c>
      <c r="T275">
        <v>258.54874784454375</v>
      </c>
      <c r="U275">
        <v>103.04042023187831</v>
      </c>
      <c r="X275">
        <v>0.70669359470502691</v>
      </c>
      <c r="Y275">
        <v>0.74275993329259382</v>
      </c>
      <c r="Z275">
        <v>0.66728894348662815</v>
      </c>
      <c r="AA275">
        <v>0.63707967822816503</v>
      </c>
      <c r="AB275">
        <v>0.9611174170906539</v>
      </c>
      <c r="AC275">
        <v>0.72037771003587803</v>
      </c>
      <c r="AD275">
        <v>0.85327064395782815</v>
      </c>
      <c r="AE275">
        <v>0.90970103938621172</v>
      </c>
      <c r="AH275">
        <v>0.11116846546332093</v>
      </c>
      <c r="AI275">
        <v>0.19844845426731961</v>
      </c>
      <c r="AJ275">
        <v>0.11040149079090034</v>
      </c>
      <c r="AK275">
        <v>0.17452098072978062</v>
      </c>
      <c r="AL275">
        <v>0.18824672529699127</v>
      </c>
      <c r="AM275">
        <v>0.19736107172119555</v>
      </c>
      <c r="AN275">
        <v>0.13166332861135954</v>
      </c>
      <c r="AO275">
        <v>0.19330237026543551</v>
      </c>
      <c r="AR275">
        <v>1.0494514914541897E-3</v>
      </c>
      <c r="AS275">
        <v>4.4839785680007207E-3</v>
      </c>
      <c r="AT275">
        <v>9.9937911931091528E-2</v>
      </c>
      <c r="AU275">
        <v>1.9952288037009278E-3</v>
      </c>
      <c r="AV275">
        <v>1.8894608054638236E-3</v>
      </c>
      <c r="AW275">
        <v>3.1537130462791579E-3</v>
      </c>
      <c r="AX275">
        <v>3.8764435284114511E-4</v>
      </c>
      <c r="AY275">
        <v>4.3859023130897381E-4</v>
      </c>
      <c r="BB275">
        <v>5.3530098947054849E-2</v>
      </c>
      <c r="BC275">
        <v>3.6444663397153396E-2</v>
      </c>
      <c r="BE275">
        <v>34727.067018297981</v>
      </c>
      <c r="BF275">
        <v>20.318314821531608</v>
      </c>
      <c r="BG275">
        <v>36974.881092239797</v>
      </c>
      <c r="BH275">
        <v>20.320197152043505</v>
      </c>
    </row>
    <row r="276" spans="3:60" x14ac:dyDescent="0.2">
      <c r="C276" s="138">
        <v>43767.42023930393</v>
      </c>
      <c r="D276" s="138">
        <v>20.961054449999963</v>
      </c>
      <c r="E276" s="138">
        <v>46165.75241966638</v>
      </c>
      <c r="F276" s="138">
        <v>20.961082406936598</v>
      </c>
      <c r="G276" s="138">
        <v>-2398.3321803624494</v>
      </c>
      <c r="H276" s="138">
        <v>-2.7956936634154772E-5</v>
      </c>
      <c r="N276" s="138"/>
      <c r="O276" s="138"/>
      <c r="P276" s="138"/>
      <c r="R276">
        <v>269.75296200932883</v>
      </c>
      <c r="S276">
        <v>67.549110042516816</v>
      </c>
      <c r="T276">
        <v>247.1392602387144</v>
      </c>
      <c r="U276">
        <v>88.41727308682816</v>
      </c>
      <c r="X276">
        <v>0.65126173069797444</v>
      </c>
      <c r="Y276">
        <v>0.39931942764352335</v>
      </c>
      <c r="Z276">
        <v>0.87832260782217331</v>
      </c>
      <c r="AA276">
        <v>0.53584071572983905</v>
      </c>
      <c r="AB276">
        <v>0.85661262162742358</v>
      </c>
      <c r="AC276">
        <v>0.84841494960107</v>
      </c>
      <c r="AD276">
        <v>0.84535303965884434</v>
      </c>
      <c r="AE276">
        <v>0.92248429201842219</v>
      </c>
      <c r="AH276">
        <v>0.16249072835173362</v>
      </c>
      <c r="AI276">
        <v>8.0035106349967466E-2</v>
      </c>
      <c r="AJ276">
        <v>0.12050928439835606</v>
      </c>
      <c r="AK276">
        <v>9.3077566871277329E-2</v>
      </c>
      <c r="AL276">
        <v>7.19811873832088E-2</v>
      </c>
      <c r="AM276">
        <v>0.10933772702838807</v>
      </c>
      <c r="AN276">
        <v>0.12423541168209074</v>
      </c>
      <c r="AO276">
        <v>9.505616578338083E-2</v>
      </c>
      <c r="AR276">
        <v>9.2824948209280222E-4</v>
      </c>
      <c r="AS276">
        <v>4.3475205782473542E-3</v>
      </c>
      <c r="AT276">
        <v>0.10027396579449077</v>
      </c>
      <c r="AU276">
        <v>2.0689824529250833E-3</v>
      </c>
      <c r="AV276">
        <v>2.1518880649475935E-3</v>
      </c>
      <c r="AW276">
        <v>3.1656991436361712E-3</v>
      </c>
      <c r="AX276">
        <v>3.4690786518303012E-4</v>
      </c>
      <c r="AY276">
        <v>4.1091312579731034E-4</v>
      </c>
      <c r="BB276">
        <v>5.9609017319308344E-2</v>
      </c>
      <c r="BC276">
        <v>4.8625943044331432E-2</v>
      </c>
      <c r="BE276">
        <v>43767.42023930393</v>
      </c>
      <c r="BF276">
        <v>20.961054449999963</v>
      </c>
      <c r="BG276">
        <v>46165.75241966638</v>
      </c>
      <c r="BH276">
        <v>20.961082406936598</v>
      </c>
    </row>
    <row r="277" spans="3:60" x14ac:dyDescent="0.2">
      <c r="C277" s="138">
        <v>24413.21698469394</v>
      </c>
      <c r="D277" s="138">
        <v>21.906958829793332</v>
      </c>
      <c r="E277" s="138">
        <v>25957.912851337082</v>
      </c>
      <c r="F277" s="138">
        <v>21.902334411333815</v>
      </c>
      <c r="G277" s="138">
        <v>-1544.6958666431419</v>
      </c>
      <c r="H277" s="138">
        <v>4.6244184595174431E-3</v>
      </c>
      <c r="N277" s="138"/>
      <c r="O277" s="138"/>
      <c r="P277" s="138"/>
      <c r="R277">
        <v>300.3875247674784</v>
      </c>
      <c r="S277">
        <v>71.502722572733333</v>
      </c>
      <c r="T277">
        <v>315.26475897655121</v>
      </c>
      <c r="U277">
        <v>76.351085830580089</v>
      </c>
      <c r="X277">
        <v>0.88448534482237307</v>
      </c>
      <c r="Y277">
        <v>0.82149689116350844</v>
      </c>
      <c r="Z277">
        <v>0.76880600530285426</v>
      </c>
      <c r="AA277">
        <v>0.87694226467056513</v>
      </c>
      <c r="AB277">
        <v>0.65577048985556763</v>
      </c>
      <c r="AC277">
        <v>0.92756717504979824</v>
      </c>
      <c r="AD277">
        <v>0.50052409418558197</v>
      </c>
      <c r="AE277">
        <v>0.87288372155752425</v>
      </c>
      <c r="AH277">
        <v>4.3280080636171503E-2</v>
      </c>
      <c r="AI277">
        <v>0.26819415879779263</v>
      </c>
      <c r="AJ277">
        <v>0.19191110042509496</v>
      </c>
      <c r="AK277">
        <v>0.11392380807298874</v>
      </c>
      <c r="AL277">
        <v>0.13608774863726925</v>
      </c>
      <c r="AM277">
        <v>1.6901219931326539E-2</v>
      </c>
      <c r="AN277">
        <v>3.6501012157345025E-2</v>
      </c>
      <c r="AO277">
        <v>0.10488712652915866</v>
      </c>
      <c r="AR277">
        <v>8.4491179180266516E-4</v>
      </c>
      <c r="AS277">
        <v>4.6035588493111845E-3</v>
      </c>
      <c r="AT277">
        <v>9.9261924049172001E-2</v>
      </c>
      <c r="AU277">
        <v>2.0890983866278523E-3</v>
      </c>
      <c r="AV277">
        <v>2.052037659138306E-3</v>
      </c>
      <c r="AW277">
        <v>3.6746823452771249E-3</v>
      </c>
      <c r="AX277">
        <v>4.7422417544917828E-4</v>
      </c>
      <c r="AY277">
        <v>4.1260361750716952E-4</v>
      </c>
      <c r="BB277">
        <v>4.8517285733280228E-2</v>
      </c>
      <c r="BC277">
        <v>4.5288786580934541E-2</v>
      </c>
      <c r="BE277">
        <v>24413.21698469394</v>
      </c>
      <c r="BF277">
        <v>21.906958829793332</v>
      </c>
      <c r="BG277">
        <v>25957.912851337082</v>
      </c>
      <c r="BH277">
        <v>21.902334411333815</v>
      </c>
    </row>
    <row r="278" spans="3:60" x14ac:dyDescent="0.2">
      <c r="C278" s="138">
        <v>21899.206392521653</v>
      </c>
      <c r="D278" s="138">
        <v>21.288624595372781</v>
      </c>
      <c r="E278" s="138">
        <v>23310.660087429078</v>
      </c>
      <c r="F278" s="138">
        <v>21.274746187605114</v>
      </c>
      <c r="G278" s="138">
        <v>-1411.4536949074245</v>
      </c>
      <c r="H278" s="138">
        <v>1.3878407767666801E-2</v>
      </c>
      <c r="N278" s="138"/>
      <c r="O278" s="138"/>
      <c r="P278" s="138"/>
      <c r="R278">
        <v>267.97665195813266</v>
      </c>
      <c r="S278">
        <v>63.058033226975709</v>
      </c>
      <c r="T278">
        <v>264.5588960381283</v>
      </c>
      <c r="U278">
        <v>98.851456562021042</v>
      </c>
      <c r="X278">
        <v>0.80425468235617181</v>
      </c>
      <c r="Y278">
        <v>0.77817063054809876</v>
      </c>
      <c r="Z278">
        <v>0.83922552455906174</v>
      </c>
      <c r="AA278">
        <v>0.74882582445682566</v>
      </c>
      <c r="AB278">
        <v>0.83141727875454241</v>
      </c>
      <c r="AC278">
        <v>0.69579837094923325</v>
      </c>
      <c r="AD278">
        <v>0.89132889095571244</v>
      </c>
      <c r="AE278">
        <v>0.89731536919495736</v>
      </c>
      <c r="AH278">
        <v>4.1434314937195516E-2</v>
      </c>
      <c r="AI278">
        <v>0.23010877389723106</v>
      </c>
      <c r="AJ278">
        <v>0.14978283099198975</v>
      </c>
      <c r="AK278">
        <v>0.15300778624064915</v>
      </c>
      <c r="AL278">
        <v>0.10880135730834695</v>
      </c>
      <c r="AM278">
        <v>5.5120871481131983E-2</v>
      </c>
      <c r="AN278">
        <v>0.17443960929101643</v>
      </c>
      <c r="AO278">
        <v>0.29404440457764369</v>
      </c>
      <c r="AR278">
        <v>8.171487308797909E-4</v>
      </c>
      <c r="AS278">
        <v>4.0801411483943704E-3</v>
      </c>
      <c r="AT278">
        <v>9.8130994202704908E-2</v>
      </c>
      <c r="AU278">
        <v>1.6752568911887603E-3</v>
      </c>
      <c r="AV278">
        <v>2.0935217352615609E-3</v>
      </c>
      <c r="AW278">
        <v>3.4978889015424564E-3</v>
      </c>
      <c r="AX278">
        <v>3.7137505322056751E-4</v>
      </c>
      <c r="AY278">
        <v>4.0846020770871706E-4</v>
      </c>
      <c r="BB278">
        <v>5.2425741375578094E-2</v>
      </c>
      <c r="BC278">
        <v>8.0167830861706868E-2</v>
      </c>
      <c r="BE278">
        <v>21899.206392521653</v>
      </c>
      <c r="BF278">
        <v>21.288624595372781</v>
      </c>
      <c r="BG278">
        <v>23310.660087429078</v>
      </c>
      <c r="BH278">
        <v>21.274746187605114</v>
      </c>
    </row>
    <row r="279" spans="3:60" x14ac:dyDescent="0.2">
      <c r="C279" s="138">
        <v>31495.751563344835</v>
      </c>
      <c r="D279" s="138">
        <v>20.673974355261326</v>
      </c>
      <c r="E279" s="138">
        <v>33507.932595104212</v>
      </c>
      <c r="F279" s="138">
        <v>20.628729143317884</v>
      </c>
      <c r="G279" s="138">
        <v>-2012.1810317593772</v>
      </c>
      <c r="H279" s="138">
        <v>4.5245211943441888E-2</v>
      </c>
      <c r="N279" s="138"/>
      <c r="O279" s="138"/>
      <c r="P279" s="138"/>
      <c r="R279">
        <v>140.23124229315573</v>
      </c>
      <c r="S279">
        <v>59.198356687914021</v>
      </c>
      <c r="T279">
        <v>229.86602767272501</v>
      </c>
      <c r="U279">
        <v>103.87638019719819</v>
      </c>
      <c r="X279">
        <v>0.89519628340898727</v>
      </c>
      <c r="Y279">
        <v>0.65435045990912777</v>
      </c>
      <c r="Z279">
        <v>0.78988684412437471</v>
      </c>
      <c r="AA279">
        <v>0.85124633044026488</v>
      </c>
      <c r="AB279">
        <v>0.70530296726262609</v>
      </c>
      <c r="AC279">
        <v>0.60568203093996087</v>
      </c>
      <c r="AD279">
        <v>0.69245353995178482</v>
      </c>
      <c r="AE279">
        <v>0.6794297605858457</v>
      </c>
      <c r="AH279">
        <v>0.14761318654747213</v>
      </c>
      <c r="AI279">
        <v>9.342035679531091E-2</v>
      </c>
      <c r="AJ279">
        <v>0.20826013444397773</v>
      </c>
      <c r="AK279">
        <v>0.26847572562697242</v>
      </c>
      <c r="AL279">
        <v>5.6175543322088295E-2</v>
      </c>
      <c r="AM279">
        <v>5.4163879345880961E-2</v>
      </c>
      <c r="AN279">
        <v>1.502580851035118E-2</v>
      </c>
      <c r="AO279">
        <v>0.13908731729525248</v>
      </c>
      <c r="AR279">
        <v>8.4856137231878969E-4</v>
      </c>
      <c r="AS279">
        <v>4.3110780278261896E-3</v>
      </c>
      <c r="AT279">
        <v>9.9590838129690412E-2</v>
      </c>
      <c r="AU279">
        <v>1.8812801307354404E-3</v>
      </c>
      <c r="AV279">
        <v>1.8481233933965052E-3</v>
      </c>
      <c r="AW279">
        <v>3.1088759065452487E-3</v>
      </c>
      <c r="AX279">
        <v>3.6506350475972176E-4</v>
      </c>
      <c r="AY279">
        <v>4.1729137122336111E-4</v>
      </c>
      <c r="BB279">
        <v>4.4421741086656745E-2</v>
      </c>
      <c r="BC279">
        <v>2.3668615830789896E-2</v>
      </c>
      <c r="BE279">
        <v>31495.751563344835</v>
      </c>
      <c r="BF279">
        <v>20.673974355261326</v>
      </c>
      <c r="BG279">
        <v>33507.932595104212</v>
      </c>
      <c r="BH279">
        <v>20.628729143317884</v>
      </c>
    </row>
    <row r="280" spans="3:60" x14ac:dyDescent="0.2">
      <c r="C280" s="138">
        <v>29858.752465823411</v>
      </c>
      <c r="D280" s="138">
        <v>21.180174542058634</v>
      </c>
      <c r="E280" s="138">
        <v>32004.300753859021</v>
      </c>
      <c r="F280" s="138">
        <v>21.161931446203678</v>
      </c>
      <c r="G280" s="138">
        <v>-2145.5482880356103</v>
      </c>
      <c r="H280" s="138">
        <v>1.8243095854955982E-2</v>
      </c>
      <c r="N280" s="138"/>
      <c r="O280" s="138"/>
      <c r="P280" s="138"/>
      <c r="R280">
        <v>246.97116387126891</v>
      </c>
      <c r="S280">
        <v>62.367604495729402</v>
      </c>
      <c r="T280">
        <v>285.0194767681582</v>
      </c>
      <c r="U280">
        <v>88.756320231360348</v>
      </c>
      <c r="X280">
        <v>0.58036566888029306</v>
      </c>
      <c r="Y280">
        <v>0.6795820590258882</v>
      </c>
      <c r="Z280">
        <v>0.81778810812808245</v>
      </c>
      <c r="AA280">
        <v>0.90639549890458349</v>
      </c>
      <c r="AB280">
        <v>0.71894892732889581</v>
      </c>
      <c r="AC280">
        <v>0.93754274107174662</v>
      </c>
      <c r="AD280">
        <v>0.84882630906500744</v>
      </c>
      <c r="AE280">
        <v>0.88714006038516269</v>
      </c>
      <c r="AH280">
        <v>0.15350744365889413</v>
      </c>
      <c r="AI280">
        <v>0.2152506377705331</v>
      </c>
      <c r="AJ280">
        <v>7.4069647816797479E-2</v>
      </c>
      <c r="AK280">
        <v>1.4420422526911891E-2</v>
      </c>
      <c r="AL280">
        <v>0.40106217815806355</v>
      </c>
      <c r="AM280">
        <v>3.5912454968571428E-2</v>
      </c>
      <c r="AN280">
        <v>0.10940334974669341</v>
      </c>
      <c r="AO280">
        <v>6.318763802760019E-2</v>
      </c>
      <c r="AR280">
        <v>9.4478630872929514E-4</v>
      </c>
      <c r="AS280">
        <v>4.8558913814354954E-3</v>
      </c>
      <c r="AT280">
        <v>0.10040366300912529</v>
      </c>
      <c r="AU280">
        <v>2.1383678518673843E-3</v>
      </c>
      <c r="AV280">
        <v>1.8400709138675026E-3</v>
      </c>
      <c r="AW280">
        <v>3.6098317969198712E-3</v>
      </c>
      <c r="AX280">
        <v>3.6236232281139499E-4</v>
      </c>
      <c r="AY280">
        <v>5.0159728450049901E-4</v>
      </c>
      <c r="BB280">
        <v>5.4892335732265707E-2</v>
      </c>
      <c r="BC280">
        <v>4.5858096281407516E-2</v>
      </c>
      <c r="BE280">
        <v>29858.752465823411</v>
      </c>
      <c r="BF280">
        <v>21.180174542058634</v>
      </c>
      <c r="BG280">
        <v>32004.300753859021</v>
      </c>
      <c r="BH280">
        <v>21.161931446203678</v>
      </c>
    </row>
    <row r="281" spans="3:60" x14ac:dyDescent="0.2">
      <c r="C281" s="138">
        <v>30162.652694511282</v>
      </c>
      <c r="D281" s="138">
        <v>20.917810867032014</v>
      </c>
      <c r="E281" s="138">
        <v>32407.381870800586</v>
      </c>
      <c r="F281" s="138">
        <v>20.895413908990584</v>
      </c>
      <c r="G281" s="138">
        <v>-2244.7291762893037</v>
      </c>
      <c r="H281" s="138">
        <v>2.2396958041429826E-2</v>
      </c>
      <c r="N281" s="138"/>
      <c r="O281" s="138"/>
      <c r="P281" s="138"/>
      <c r="R281">
        <v>420.78231575920472</v>
      </c>
      <c r="S281">
        <v>67.700430876805555</v>
      </c>
      <c r="T281">
        <v>304.2103766408265</v>
      </c>
      <c r="U281">
        <v>108.23247307999149</v>
      </c>
      <c r="X281">
        <v>0.46418696365678397</v>
      </c>
      <c r="Y281">
        <v>0.74904171118878371</v>
      </c>
      <c r="Z281">
        <v>0.7570418645610193</v>
      </c>
      <c r="AA281">
        <v>0.91617340934725511</v>
      </c>
      <c r="AB281">
        <v>0.67647268574013231</v>
      </c>
      <c r="AC281">
        <v>0.91533180610080889</v>
      </c>
      <c r="AD281">
        <v>0.75446202981559907</v>
      </c>
      <c r="AE281">
        <v>0.7011952617618229</v>
      </c>
      <c r="AH281">
        <v>0.23752620704478655</v>
      </c>
      <c r="AI281">
        <v>5.5154261886920519E-2</v>
      </c>
      <c r="AJ281">
        <v>7.3448786498709895E-2</v>
      </c>
      <c r="AK281">
        <v>0.19134271072055431</v>
      </c>
      <c r="AL281">
        <v>0.18080838046895642</v>
      </c>
      <c r="AM281">
        <v>7.9569683963956583E-2</v>
      </c>
      <c r="AN281">
        <v>0.16377610116913865</v>
      </c>
      <c r="AO281">
        <v>0.10905957152949108</v>
      </c>
      <c r="AR281">
        <v>8.336734348822944E-4</v>
      </c>
      <c r="AS281">
        <v>4.6910438572440594E-3</v>
      </c>
      <c r="AT281">
        <v>0.10027450092830859</v>
      </c>
      <c r="AU281">
        <v>2.0392439565547482E-3</v>
      </c>
      <c r="AV281">
        <v>1.84845601757614E-3</v>
      </c>
      <c r="AW281">
        <v>3.5226319691593622E-3</v>
      </c>
      <c r="AX281">
        <v>3.9690502880940226E-4</v>
      </c>
      <c r="AY281">
        <v>4.8979877105970182E-4</v>
      </c>
      <c r="BB281">
        <v>5.2457994678375308E-2</v>
      </c>
      <c r="BC281">
        <v>3.1733836716536158E-2</v>
      </c>
      <c r="BE281">
        <v>30162.652694511282</v>
      </c>
      <c r="BF281">
        <v>20.917810867032014</v>
      </c>
      <c r="BG281">
        <v>32407.381870800586</v>
      </c>
      <c r="BH281">
        <v>20.895413908990584</v>
      </c>
    </row>
    <row r="282" spans="3:60" x14ac:dyDescent="0.2">
      <c r="C282" s="138">
        <v>29561.489496947379</v>
      </c>
      <c r="D282" s="138">
        <v>21.212415830945883</v>
      </c>
      <c r="E282" s="138">
        <v>31387.637891173883</v>
      </c>
      <c r="F282" s="138">
        <v>21.202266266293648</v>
      </c>
      <c r="G282" s="138">
        <v>-1826.148394226504</v>
      </c>
      <c r="H282" s="138">
        <v>1.0149564652234488E-2</v>
      </c>
      <c r="N282" s="138"/>
      <c r="O282" s="138"/>
      <c r="P282" s="138"/>
      <c r="R282">
        <v>408.41796646697384</v>
      </c>
      <c r="S282">
        <v>66.931412701126035</v>
      </c>
      <c r="T282">
        <v>254.36965121183786</v>
      </c>
      <c r="U282">
        <v>97.165645021352546</v>
      </c>
      <c r="X282">
        <v>0.69213794390891603</v>
      </c>
      <c r="Y282">
        <v>0.64110329501876495</v>
      </c>
      <c r="Z282">
        <v>0.81758579069774562</v>
      </c>
      <c r="AA282">
        <v>0.9194231899371782</v>
      </c>
      <c r="AB282">
        <v>0.72558219335153629</v>
      </c>
      <c r="AC282">
        <v>0.72722406548237717</v>
      </c>
      <c r="AD282">
        <v>0.6598734160026245</v>
      </c>
      <c r="AE282">
        <v>0.8328523439354043</v>
      </c>
      <c r="AH282">
        <v>0.10601287960804173</v>
      </c>
      <c r="AI282">
        <v>0.17630391949569058</v>
      </c>
      <c r="AJ282">
        <v>7.0937290000951059E-2</v>
      </c>
      <c r="AK282">
        <v>0.11329961517608444</v>
      </c>
      <c r="AL282">
        <v>4.7702672443405536E-2</v>
      </c>
      <c r="AM282">
        <v>5.0186710885560037E-2</v>
      </c>
      <c r="AN282">
        <v>0.1793504801239989</v>
      </c>
      <c r="AO282">
        <v>6.8225768907343887E-2</v>
      </c>
      <c r="AR282">
        <v>8.4839063113183785E-4</v>
      </c>
      <c r="AS282">
        <v>4.5494647964208212E-3</v>
      </c>
      <c r="AT282">
        <v>0.10003575643073359</v>
      </c>
      <c r="AU282">
        <v>2.0658824892195726E-3</v>
      </c>
      <c r="AV282">
        <v>1.8975732524730421E-3</v>
      </c>
      <c r="AW282">
        <v>3.7018547480487385E-3</v>
      </c>
      <c r="AX282">
        <v>3.2363801741151722E-4</v>
      </c>
      <c r="AY282">
        <v>4.5207875154706922E-4</v>
      </c>
      <c r="BB282">
        <v>4.5104859207230931E-2</v>
      </c>
      <c r="BC282">
        <v>0.10399330207019952</v>
      </c>
      <c r="BE282">
        <v>29561.489496947379</v>
      </c>
      <c r="BF282">
        <v>21.212415830945883</v>
      </c>
      <c r="BG282">
        <v>31387.637891173883</v>
      </c>
      <c r="BH282">
        <v>21.202266266293648</v>
      </c>
    </row>
    <row r="283" spans="3:60" x14ac:dyDescent="0.2">
      <c r="C283" s="138">
        <v>33622.603417060665</v>
      </c>
      <c r="D283" s="138">
        <v>21.699537810210462</v>
      </c>
      <c r="E283" s="138">
        <v>35990.858272145379</v>
      </c>
      <c r="F283" s="138">
        <v>21.694474815641879</v>
      </c>
      <c r="G283" s="138">
        <v>-2368.2548550847132</v>
      </c>
      <c r="H283" s="138">
        <v>5.0629945685827238E-3</v>
      </c>
      <c r="N283" s="138"/>
      <c r="O283" s="138"/>
      <c r="P283" s="138"/>
      <c r="R283">
        <v>311.67667601681075</v>
      </c>
      <c r="S283">
        <v>54.082593575775888</v>
      </c>
      <c r="T283">
        <v>213.29587459417269</v>
      </c>
      <c r="U283">
        <v>70.744091270290141</v>
      </c>
      <c r="X283">
        <v>0.9315354164488443</v>
      </c>
      <c r="Y283">
        <v>0.75265756032912678</v>
      </c>
      <c r="Z283">
        <v>0.54279532671469843</v>
      </c>
      <c r="AA283">
        <v>0.60158661902601274</v>
      </c>
      <c r="AB283">
        <v>0.89200988128180336</v>
      </c>
      <c r="AC283">
        <v>0.67564913824990591</v>
      </c>
      <c r="AD283">
        <v>0.78929929864848003</v>
      </c>
      <c r="AE283">
        <v>0.71277271167243506</v>
      </c>
      <c r="AH283">
        <v>2.8340867431170258E-2</v>
      </c>
      <c r="AI283">
        <v>8.5557458131229946E-2</v>
      </c>
      <c r="AJ283">
        <v>0.13316980735106609</v>
      </c>
      <c r="AK283">
        <v>6.5566540788054684E-2</v>
      </c>
      <c r="AL283">
        <v>5.2492742632070266E-2</v>
      </c>
      <c r="AM283">
        <v>2.7780578390125488E-2</v>
      </c>
      <c r="AN283">
        <v>0.11182167930299991</v>
      </c>
      <c r="AO283">
        <v>1.0552146321996081E-2</v>
      </c>
      <c r="AR283">
        <v>1.014571622529048E-3</v>
      </c>
      <c r="AS283">
        <v>4.2644268702934909E-3</v>
      </c>
      <c r="AT283">
        <v>9.987831322108516E-2</v>
      </c>
      <c r="AU283">
        <v>1.992350120719957E-3</v>
      </c>
      <c r="AV283">
        <v>1.8759521223678094E-3</v>
      </c>
      <c r="AW283">
        <v>3.2368212709643161E-3</v>
      </c>
      <c r="AX283">
        <v>5.1755230428962573E-4</v>
      </c>
      <c r="AY283">
        <v>5.5994214679300214E-4</v>
      </c>
      <c r="BB283">
        <v>4.9910890131419472E-2</v>
      </c>
      <c r="BC283">
        <v>4.4545899206656248E-2</v>
      </c>
      <c r="BE283">
        <v>33622.603417060665</v>
      </c>
      <c r="BF283">
        <v>21.699537810210462</v>
      </c>
      <c r="BG283">
        <v>35990.858272145379</v>
      </c>
      <c r="BH283">
        <v>21.694474815641879</v>
      </c>
    </row>
    <row r="284" spans="3:60" x14ac:dyDescent="0.2">
      <c r="C284" s="138">
        <v>36833.996310138769</v>
      </c>
      <c r="D284" s="138">
        <v>19.913612860670803</v>
      </c>
      <c r="E284" s="138">
        <v>38811.783130191187</v>
      </c>
      <c r="F284" s="138">
        <v>19.835478549493327</v>
      </c>
      <c r="G284" s="138">
        <v>-1977.7868200524172</v>
      </c>
      <c r="H284" s="138">
        <v>7.8134311177475269E-2</v>
      </c>
      <c r="N284" s="138"/>
      <c r="O284" s="138"/>
      <c r="P284" s="138"/>
      <c r="R284">
        <v>344.96932432317453</v>
      </c>
      <c r="S284">
        <v>69.716949468373016</v>
      </c>
      <c r="T284">
        <v>249.95110050092779</v>
      </c>
      <c r="U284">
        <v>109.55821875147087</v>
      </c>
      <c r="X284">
        <v>0.61417337858873244</v>
      </c>
      <c r="Y284">
        <v>0.57211302237518347</v>
      </c>
      <c r="Z284">
        <v>0.85832532512134452</v>
      </c>
      <c r="AA284">
        <v>0.81727333127964141</v>
      </c>
      <c r="AB284">
        <v>0.54915423262004959</v>
      </c>
      <c r="AC284">
        <v>0.78909776006675836</v>
      </c>
      <c r="AD284">
        <v>0.83647695489322871</v>
      </c>
      <c r="AE284">
        <v>0.88429669693895963</v>
      </c>
      <c r="AH284">
        <v>9.7314811419758951E-2</v>
      </c>
      <c r="AI284">
        <v>0.16476892897081374</v>
      </c>
      <c r="AJ284">
        <v>0.17577842026000923</v>
      </c>
      <c r="AK284">
        <v>0.12398180765526745</v>
      </c>
      <c r="AL284">
        <v>5.2125168378311715E-2</v>
      </c>
      <c r="AM284">
        <v>4.9670516706884049E-2</v>
      </c>
      <c r="AN284">
        <v>0.24580202061630918</v>
      </c>
      <c r="AO284">
        <v>0.15771462453161089</v>
      </c>
      <c r="AR284">
        <v>8.8705639192487862E-4</v>
      </c>
      <c r="AS284">
        <v>4.6377482744625054E-3</v>
      </c>
      <c r="AT284">
        <v>0.10002162812885362</v>
      </c>
      <c r="AU284">
        <v>1.8703790154930931E-3</v>
      </c>
      <c r="AV284">
        <v>1.9504049426779576E-3</v>
      </c>
      <c r="AW284">
        <v>3.1689539080843277E-3</v>
      </c>
      <c r="AX284">
        <v>4.1130258757582361E-4</v>
      </c>
      <c r="AY284">
        <v>5.191479531512222E-4</v>
      </c>
      <c r="BB284">
        <v>6.155193751418131E-2</v>
      </c>
      <c r="BC284">
        <v>2.2911626028583567E-2</v>
      </c>
      <c r="BE284">
        <v>36833.996310138769</v>
      </c>
      <c r="BF284">
        <v>19.913612860670803</v>
      </c>
      <c r="BG284">
        <v>38811.783130191187</v>
      </c>
      <c r="BH284">
        <v>19.835478549493327</v>
      </c>
    </row>
    <row r="285" spans="3:60" x14ac:dyDescent="0.2">
      <c r="C285" s="138">
        <v>25497.619452703992</v>
      </c>
      <c r="D285" s="138">
        <v>21.052025680597879</v>
      </c>
      <c r="E285" s="138">
        <v>27169.552068847785</v>
      </c>
      <c r="F285" s="138">
        <v>21.015842275101715</v>
      </c>
      <c r="G285" s="138">
        <v>-1671.932616143793</v>
      </c>
      <c r="H285" s="138">
        <v>3.6183405496164056E-2</v>
      </c>
      <c r="N285" s="138"/>
      <c r="O285" s="138"/>
      <c r="P285" s="138"/>
      <c r="R285">
        <v>166.30613475858974</v>
      </c>
      <c r="S285">
        <v>63.03318568725544</v>
      </c>
      <c r="T285">
        <v>293.45155019018222</v>
      </c>
      <c r="U285">
        <v>93.712285857790633</v>
      </c>
      <c r="X285">
        <v>0.80542206944804118</v>
      </c>
      <c r="Y285">
        <v>0.69604045215890886</v>
      </c>
      <c r="Z285">
        <v>0.58863115674104483</v>
      </c>
      <c r="AA285">
        <v>0.77940016777641197</v>
      </c>
      <c r="AB285">
        <v>0.53211950425231391</v>
      </c>
      <c r="AC285">
        <v>0.73204278967083847</v>
      </c>
      <c r="AD285">
        <v>0.86429670571618089</v>
      </c>
      <c r="AE285">
        <v>0.40402938166594954</v>
      </c>
      <c r="AH285">
        <v>0.27117642060218927</v>
      </c>
      <c r="AI285">
        <v>0.13233015306312057</v>
      </c>
      <c r="AJ285">
        <v>0.15645458587366012</v>
      </c>
      <c r="AK285">
        <v>0.28050591146649417</v>
      </c>
      <c r="AL285">
        <v>0.13924967392418974</v>
      </c>
      <c r="AM285">
        <v>3.4907841030837883E-3</v>
      </c>
      <c r="AN285">
        <v>0.27010954125978359</v>
      </c>
      <c r="AO285">
        <v>0.14682457727814668</v>
      </c>
      <c r="AR285">
        <v>8.6214264524562374E-4</v>
      </c>
      <c r="AS285">
        <v>4.1124019337292414E-3</v>
      </c>
      <c r="AT285">
        <v>9.9228614237418897E-2</v>
      </c>
      <c r="AU285">
        <v>1.8206691611145727E-3</v>
      </c>
      <c r="AV285">
        <v>2.0281406237926403E-3</v>
      </c>
      <c r="AW285">
        <v>3.2018685313162914E-3</v>
      </c>
      <c r="AX285">
        <v>3.9831477943386151E-4</v>
      </c>
      <c r="AY285">
        <v>4.7071474849558204E-4</v>
      </c>
      <c r="BB285">
        <v>4.5414737621634289E-2</v>
      </c>
      <c r="BC285">
        <v>3.9971171536321376E-2</v>
      </c>
      <c r="BE285">
        <v>25497.619452703992</v>
      </c>
      <c r="BF285">
        <v>21.052025680597879</v>
      </c>
      <c r="BG285">
        <v>27169.552068847785</v>
      </c>
      <c r="BH285">
        <v>21.015842275101715</v>
      </c>
    </row>
    <row r="286" spans="3:60" x14ac:dyDescent="0.2">
      <c r="C286" s="138">
        <v>35726.34746404476</v>
      </c>
      <c r="D286" s="138">
        <v>21.516910433665863</v>
      </c>
      <c r="E286" s="138">
        <v>37793.228615113701</v>
      </c>
      <c r="F286" s="138">
        <v>21.519235896947173</v>
      </c>
      <c r="G286" s="138">
        <v>-2066.8811510689411</v>
      </c>
      <c r="H286" s="138">
        <v>-2.3254632813092257E-3</v>
      </c>
      <c r="N286" s="138"/>
      <c r="O286" s="138"/>
      <c r="P286" s="138"/>
      <c r="R286">
        <v>67.841593469529073</v>
      </c>
      <c r="S286">
        <v>60.189810333397226</v>
      </c>
      <c r="T286">
        <v>255.76128045836487</v>
      </c>
      <c r="U286">
        <v>109.13152658908413</v>
      </c>
      <c r="X286">
        <v>0.86172719632645345</v>
      </c>
      <c r="Y286">
        <v>0.8066967493924162</v>
      </c>
      <c r="Z286">
        <v>0.41365656417302449</v>
      </c>
      <c r="AA286">
        <v>0.94236527265539249</v>
      </c>
      <c r="AB286">
        <v>0.79379458081543208</v>
      </c>
      <c r="AC286">
        <v>0.94778303381453033</v>
      </c>
      <c r="AD286">
        <v>0.8913223026551037</v>
      </c>
      <c r="AE286">
        <v>0.73291306200014172</v>
      </c>
      <c r="AH286">
        <v>0.15656554696499092</v>
      </c>
      <c r="AI286">
        <v>4.3126711732290768E-2</v>
      </c>
      <c r="AJ286">
        <v>8.7299873907457193E-2</v>
      </c>
      <c r="AK286">
        <v>7.5911241329104984E-2</v>
      </c>
      <c r="AL286">
        <v>5.6393888474417952E-2</v>
      </c>
      <c r="AM286">
        <v>9.7901822098543478E-2</v>
      </c>
      <c r="AN286">
        <v>0.3110631981136468</v>
      </c>
      <c r="AO286">
        <v>0.10931893288409167</v>
      </c>
      <c r="AR286">
        <v>1.028841950357684E-3</v>
      </c>
      <c r="AS286">
        <v>4.6400243118620565E-3</v>
      </c>
      <c r="AT286">
        <v>0.1005317152960451</v>
      </c>
      <c r="AU286">
        <v>1.9078560457400783E-3</v>
      </c>
      <c r="AV286">
        <v>1.8726374132164525E-3</v>
      </c>
      <c r="AW286">
        <v>3.5211724853844162E-3</v>
      </c>
      <c r="AX286">
        <v>3.1872748616942485E-4</v>
      </c>
      <c r="AY286">
        <v>3.4628330250146405E-4</v>
      </c>
      <c r="BB286">
        <v>4.7645959603618913E-2</v>
      </c>
      <c r="BC286">
        <v>2.0471057130232315E-2</v>
      </c>
      <c r="BE286">
        <v>35726.34746404476</v>
      </c>
      <c r="BF286">
        <v>21.516910433665863</v>
      </c>
      <c r="BG286">
        <v>37793.228615113701</v>
      </c>
      <c r="BH286">
        <v>21.519235896947173</v>
      </c>
    </row>
    <row r="287" spans="3:60" x14ac:dyDescent="0.2">
      <c r="C287" s="138">
        <v>34032.040774971894</v>
      </c>
      <c r="D287" s="138">
        <v>20.259338753490663</v>
      </c>
      <c r="E287" s="138">
        <v>36140.413058680948</v>
      </c>
      <c r="F287" s="138">
        <v>20.208250341349078</v>
      </c>
      <c r="G287" s="138">
        <v>-2108.3722837090536</v>
      </c>
      <c r="H287" s="138">
        <v>5.1088412141584882E-2</v>
      </c>
      <c r="N287" s="138"/>
      <c r="O287" s="138"/>
      <c r="P287" s="138"/>
      <c r="R287">
        <v>338.31618283320182</v>
      </c>
      <c r="S287">
        <v>72.692002176161623</v>
      </c>
      <c r="T287">
        <v>275.727774405584</v>
      </c>
      <c r="U287">
        <v>98.083444847852888</v>
      </c>
      <c r="X287">
        <v>0.69909709512898033</v>
      </c>
      <c r="Y287">
        <v>0.75431910347546605</v>
      </c>
      <c r="Z287">
        <v>0.91453683120534102</v>
      </c>
      <c r="AA287">
        <v>0.78522521975994597</v>
      </c>
      <c r="AB287">
        <v>0.79066627201450546</v>
      </c>
      <c r="AC287">
        <v>0.80251419603613205</v>
      </c>
      <c r="AD287">
        <v>0.82845678290423064</v>
      </c>
      <c r="AE287">
        <v>0.83871265909358084</v>
      </c>
      <c r="AH287">
        <v>9.1546628557770293E-2</v>
      </c>
      <c r="AI287">
        <v>0.19414055328904456</v>
      </c>
      <c r="AJ287">
        <v>0.13364704291393081</v>
      </c>
      <c r="AK287">
        <v>2.5480667844369975E-2</v>
      </c>
      <c r="AL287">
        <v>0.11919628319607611</v>
      </c>
      <c r="AM287">
        <v>0.11884930542308492</v>
      </c>
      <c r="AN287">
        <v>0.20100256063705246</v>
      </c>
      <c r="AO287">
        <v>8.888636069291711E-2</v>
      </c>
      <c r="AR287">
        <v>9.0635782374881568E-4</v>
      </c>
      <c r="AS287">
        <v>4.381256935621281E-3</v>
      </c>
      <c r="AT287">
        <v>9.9622898060131776E-2</v>
      </c>
      <c r="AU287">
        <v>1.9896331709520513E-3</v>
      </c>
      <c r="AV287">
        <v>2.1448833343721274E-3</v>
      </c>
      <c r="AW287">
        <v>3.5739744198249879E-3</v>
      </c>
      <c r="AX287">
        <v>4.1544414157212994E-4</v>
      </c>
      <c r="AY287">
        <v>3.9288697984616737E-4</v>
      </c>
      <c r="BB287">
        <v>4.9160322992042184E-2</v>
      </c>
      <c r="BC287">
        <v>3.7955430440236707E-2</v>
      </c>
      <c r="BE287">
        <v>34032.040774971894</v>
      </c>
      <c r="BF287">
        <v>20.259338753490663</v>
      </c>
      <c r="BG287">
        <v>36140.413058680948</v>
      </c>
      <c r="BH287">
        <v>20.208250341349078</v>
      </c>
    </row>
    <row r="288" spans="3:60" x14ac:dyDescent="0.2">
      <c r="C288" s="138">
        <v>34194.783363526083</v>
      </c>
      <c r="D288" s="138">
        <v>21.338189363650127</v>
      </c>
      <c r="E288" s="138">
        <v>36348.275180133052</v>
      </c>
      <c r="F288" s="138">
        <v>21.365763329009912</v>
      </c>
      <c r="G288" s="138">
        <v>-2153.4918166069692</v>
      </c>
      <c r="H288" s="138">
        <v>-2.7573965359785291E-2</v>
      </c>
      <c r="N288" s="138"/>
      <c r="O288" s="138"/>
      <c r="P288" s="138"/>
      <c r="R288">
        <v>172.12724381706661</v>
      </c>
      <c r="S288">
        <v>54.948212017742193</v>
      </c>
      <c r="T288">
        <v>250.58909821382773</v>
      </c>
      <c r="U288">
        <v>110.05832755217534</v>
      </c>
      <c r="X288">
        <v>0.69234047125799969</v>
      </c>
      <c r="Y288">
        <v>0.94244326776870579</v>
      </c>
      <c r="Z288">
        <v>0.76304484022269303</v>
      </c>
      <c r="AA288">
        <v>0.73677038231917935</v>
      </c>
      <c r="AB288">
        <v>0.88054385745625718</v>
      </c>
      <c r="AC288">
        <v>0.72816409156587969</v>
      </c>
      <c r="AD288">
        <v>0.81872175404781233</v>
      </c>
      <c r="AE288">
        <v>0.80735937928222812</v>
      </c>
      <c r="AH288">
        <v>0.16212013099379941</v>
      </c>
      <c r="AI288">
        <v>0.11313512717824659</v>
      </c>
      <c r="AJ288">
        <v>0.16018489934790925</v>
      </c>
      <c r="AK288">
        <v>0.14249854599478162</v>
      </c>
      <c r="AL288">
        <v>8.7376319500767408E-2</v>
      </c>
      <c r="AM288">
        <v>1.3034363570626817E-2</v>
      </c>
      <c r="AN288">
        <v>0.23709007597565079</v>
      </c>
      <c r="AO288">
        <v>6.9295994504844138E-2</v>
      </c>
      <c r="AR288">
        <v>7.9700647676795786E-4</v>
      </c>
      <c r="AS288">
        <v>4.4730841894055256E-3</v>
      </c>
      <c r="AT288">
        <v>9.9381093287408198E-2</v>
      </c>
      <c r="AU288">
        <v>1.8442534594690192E-3</v>
      </c>
      <c r="AV288">
        <v>1.9821692451864772E-3</v>
      </c>
      <c r="AW288">
        <v>3.5323109735866387E-3</v>
      </c>
      <c r="AX288">
        <v>4.5850269692493395E-4</v>
      </c>
      <c r="AY288">
        <v>4.6039995970648118E-4</v>
      </c>
      <c r="BB288">
        <v>4.5830706987537752E-2</v>
      </c>
      <c r="BC288">
        <v>2.5735771689246921E-2</v>
      </c>
      <c r="BE288">
        <v>34194.783363526083</v>
      </c>
      <c r="BF288">
        <v>21.338189363650127</v>
      </c>
      <c r="BG288">
        <v>36348.275180133052</v>
      </c>
      <c r="BH288">
        <v>21.365763329009912</v>
      </c>
    </row>
    <row r="289" spans="3:60" x14ac:dyDescent="0.2">
      <c r="C289" s="138">
        <v>31725.249761387531</v>
      </c>
      <c r="D289" s="138">
        <v>20.912945775730542</v>
      </c>
      <c r="E289" s="138">
        <v>34019.071161002365</v>
      </c>
      <c r="F289" s="138">
        <v>20.874476079953347</v>
      </c>
      <c r="G289" s="138">
        <v>-2293.8213996148334</v>
      </c>
      <c r="H289" s="138">
        <v>3.8469695777195057E-2</v>
      </c>
      <c r="N289" s="138"/>
      <c r="O289" s="138"/>
      <c r="P289" s="138"/>
      <c r="R289">
        <v>145.11780768474387</v>
      </c>
      <c r="S289">
        <v>58.843716879321597</v>
      </c>
      <c r="T289">
        <v>275.46600812843332</v>
      </c>
      <c r="U289">
        <v>88.467041974930197</v>
      </c>
      <c r="X289">
        <v>0.4817309560680561</v>
      </c>
      <c r="Y289">
        <v>0.70630404373649314</v>
      </c>
      <c r="Z289">
        <v>0.6705705232966126</v>
      </c>
      <c r="AA289">
        <v>0.54344608347905055</v>
      </c>
      <c r="AB289">
        <v>0.64134701884990886</v>
      </c>
      <c r="AC289">
        <v>0.66541301940724507</v>
      </c>
      <c r="AD289">
        <v>0.90496294074168748</v>
      </c>
      <c r="AE289">
        <v>0.88501812031199933</v>
      </c>
      <c r="AH289">
        <v>4.5328747946648207E-2</v>
      </c>
      <c r="AI289">
        <v>0.20356455864744505</v>
      </c>
      <c r="AJ289">
        <v>0.11714537424976135</v>
      </c>
      <c r="AK289">
        <v>0.17897683216488669</v>
      </c>
      <c r="AL289">
        <v>0.13006163502727741</v>
      </c>
      <c r="AM289">
        <v>0.18345770252536275</v>
      </c>
      <c r="AN289">
        <v>2.2692772429546482E-2</v>
      </c>
      <c r="AO289">
        <v>0.20700836582647775</v>
      </c>
      <c r="AR289">
        <v>1.0435846794564219E-3</v>
      </c>
      <c r="AS289">
        <v>4.6031841161605636E-3</v>
      </c>
      <c r="AT289">
        <v>9.8910251119653472E-2</v>
      </c>
      <c r="AU289">
        <v>1.842087441608842E-3</v>
      </c>
      <c r="AV289">
        <v>2.1417153770626474E-3</v>
      </c>
      <c r="AW289">
        <v>3.077964909143035E-3</v>
      </c>
      <c r="AX289">
        <v>4.0144401312369737E-4</v>
      </c>
      <c r="AY289">
        <v>4.5046337584953022E-4</v>
      </c>
      <c r="BB289">
        <v>6.2418838387673037E-2</v>
      </c>
      <c r="BC289">
        <v>5.1149290206748632E-2</v>
      </c>
      <c r="BE289">
        <v>31725.249761387531</v>
      </c>
      <c r="BF289">
        <v>20.912945775730542</v>
      </c>
      <c r="BG289">
        <v>34019.071161002365</v>
      </c>
      <c r="BH289">
        <v>20.874476079953347</v>
      </c>
    </row>
    <row r="290" spans="3:60" x14ac:dyDescent="0.2">
      <c r="C290" s="138">
        <v>29128.515349027159</v>
      </c>
      <c r="D290" s="138">
        <v>21.149453666933571</v>
      </c>
      <c r="E290" s="138">
        <v>30893.866735840526</v>
      </c>
      <c r="F290" s="138">
        <v>21.141247835953539</v>
      </c>
      <c r="G290" s="138">
        <v>-1765.3513868133668</v>
      </c>
      <c r="H290" s="138">
        <v>8.205830980031692E-3</v>
      </c>
      <c r="N290" s="138"/>
      <c r="O290" s="138"/>
      <c r="P290" s="138"/>
      <c r="R290">
        <v>204.47183605789033</v>
      </c>
      <c r="S290">
        <v>62.333527236145244</v>
      </c>
      <c r="T290">
        <v>235.20796973777098</v>
      </c>
      <c r="U290">
        <v>99.023373163313863</v>
      </c>
      <c r="X290">
        <v>0.5927934463108514</v>
      </c>
      <c r="Y290">
        <v>0.79143370081720188</v>
      </c>
      <c r="Z290">
        <v>0.8963051416372021</v>
      </c>
      <c r="AA290">
        <v>0.60420496605030882</v>
      </c>
      <c r="AB290">
        <v>0.84062796579855537</v>
      </c>
      <c r="AC290">
        <v>0.77868081325156802</v>
      </c>
      <c r="AD290">
        <v>0.87414033203745178</v>
      </c>
      <c r="AE290">
        <v>0.57350599088244159</v>
      </c>
      <c r="AH290">
        <v>0.20946833617456828</v>
      </c>
      <c r="AI290">
        <v>3.4869228065924851E-2</v>
      </c>
      <c r="AJ290">
        <v>6.3364008408435812E-2</v>
      </c>
      <c r="AK290">
        <v>6.3113570562966959E-2</v>
      </c>
      <c r="AL290">
        <v>0.15163010467669391</v>
      </c>
      <c r="AM290">
        <v>0.16898098311577658</v>
      </c>
      <c r="AN290">
        <v>0.29698992083412856</v>
      </c>
      <c r="AO290">
        <v>0.14784242435419648</v>
      </c>
      <c r="AR290">
        <v>1.2087609568086632E-3</v>
      </c>
      <c r="AS290">
        <v>4.5853031457603333E-3</v>
      </c>
      <c r="AT290">
        <v>0.10010259208088546</v>
      </c>
      <c r="AU290">
        <v>1.838926962241054E-3</v>
      </c>
      <c r="AV290">
        <v>1.8094673791180633E-3</v>
      </c>
      <c r="AW290">
        <v>3.4930374020064603E-3</v>
      </c>
      <c r="AX290">
        <v>3.8411923161146247E-4</v>
      </c>
      <c r="AY290">
        <v>3.9689486239761384E-4</v>
      </c>
      <c r="BB290">
        <v>5.4090064075336119E-2</v>
      </c>
      <c r="BC290">
        <v>2.4488548525579846E-2</v>
      </c>
      <c r="BE290">
        <v>29128.515349027159</v>
      </c>
      <c r="BF290">
        <v>21.149453666933571</v>
      </c>
      <c r="BG290">
        <v>30893.866735840526</v>
      </c>
      <c r="BH290">
        <v>21.141247835953539</v>
      </c>
    </row>
    <row r="291" spans="3:60" x14ac:dyDescent="0.2">
      <c r="C291" s="138">
        <v>26349.975389030602</v>
      </c>
      <c r="D291" s="138">
        <v>21.580449301142874</v>
      </c>
      <c r="E291" s="138">
        <v>28217.029515573959</v>
      </c>
      <c r="F291" s="138">
        <v>21.607858107162556</v>
      </c>
      <c r="G291" s="138">
        <v>-1867.0541265433567</v>
      </c>
      <c r="H291" s="138">
        <v>-2.740880601968243E-2</v>
      </c>
      <c r="N291" s="138"/>
      <c r="O291" s="138"/>
      <c r="P291" s="138"/>
      <c r="R291">
        <v>237.70270437302844</v>
      </c>
      <c r="S291">
        <v>70.71734202264912</v>
      </c>
      <c r="T291">
        <v>260.61386475897177</v>
      </c>
      <c r="U291">
        <v>108.08809821090185</v>
      </c>
      <c r="X291">
        <v>0.73608613463179107</v>
      </c>
      <c r="Y291">
        <v>0.89832309213307793</v>
      </c>
      <c r="Z291">
        <v>0.7231731133322945</v>
      </c>
      <c r="AA291">
        <v>0.93506592007336597</v>
      </c>
      <c r="AB291">
        <v>0.84784267938766533</v>
      </c>
      <c r="AC291">
        <v>0.88693336125283895</v>
      </c>
      <c r="AD291">
        <v>0.93404537746758542</v>
      </c>
      <c r="AE291">
        <v>0.88131318819539106</v>
      </c>
      <c r="AH291">
        <v>0.14030316165369416</v>
      </c>
      <c r="AI291">
        <v>0.12669910482072733</v>
      </c>
      <c r="AJ291">
        <v>4.4182325475485063E-2</v>
      </c>
      <c r="AK291">
        <v>7.4273546842523408E-2</v>
      </c>
      <c r="AL291">
        <v>9.0780371091115364E-2</v>
      </c>
      <c r="AM291">
        <v>0.30669758227346688</v>
      </c>
      <c r="AN291">
        <v>3.7056539734919847E-2</v>
      </c>
      <c r="AO291">
        <v>0.1103255348620551</v>
      </c>
      <c r="AR291">
        <v>9.3954248721561662E-4</v>
      </c>
      <c r="AS291">
        <v>4.4205559025820712E-3</v>
      </c>
      <c r="AT291">
        <v>9.9757287830824715E-2</v>
      </c>
      <c r="AU291">
        <v>2.1526301169889628E-3</v>
      </c>
      <c r="AV291">
        <v>1.9643518779031213E-3</v>
      </c>
      <c r="AW291">
        <v>3.3957234906274044E-3</v>
      </c>
      <c r="AX291">
        <v>3.1811376937032078E-4</v>
      </c>
      <c r="AY291">
        <v>4.1917964275572619E-4</v>
      </c>
      <c r="BB291">
        <v>5.3013263634148933E-2</v>
      </c>
      <c r="BC291">
        <v>5.7489476178590793E-2</v>
      </c>
      <c r="BE291">
        <v>26349.975389030602</v>
      </c>
      <c r="BF291">
        <v>21.580449301142874</v>
      </c>
      <c r="BG291">
        <v>28217.029515573959</v>
      </c>
      <c r="BH291">
        <v>21.607858107162556</v>
      </c>
    </row>
    <row r="292" spans="3:60" x14ac:dyDescent="0.2">
      <c r="C292" s="138">
        <v>38071.962174575165</v>
      </c>
      <c r="D292" s="138">
        <v>21.155127247450508</v>
      </c>
      <c r="E292" s="138">
        <v>40109.946483480941</v>
      </c>
      <c r="F292" s="138">
        <v>21.139278124413725</v>
      </c>
      <c r="G292" s="138">
        <v>-2037.9843089057758</v>
      </c>
      <c r="H292" s="138">
        <v>1.5849123036783652E-2</v>
      </c>
      <c r="N292" s="138"/>
      <c r="O292" s="138"/>
      <c r="P292" s="138"/>
      <c r="R292">
        <v>286.97987471141221</v>
      </c>
      <c r="S292">
        <v>60.453111651696133</v>
      </c>
      <c r="T292">
        <v>243.28678458801139</v>
      </c>
      <c r="U292">
        <v>77.054976512178399</v>
      </c>
      <c r="X292">
        <v>0.6571996485022904</v>
      </c>
      <c r="Y292">
        <v>0.7060144877404565</v>
      </c>
      <c r="Z292">
        <v>0.78100709156966863</v>
      </c>
      <c r="AA292">
        <v>0.84677147273337094</v>
      </c>
      <c r="AB292">
        <v>0.94965047896173516</v>
      </c>
      <c r="AC292">
        <v>0.66123413220451643</v>
      </c>
      <c r="AD292">
        <v>0.67274581461963345</v>
      </c>
      <c r="AE292">
        <v>0.8804755077399441</v>
      </c>
      <c r="AH292">
        <v>6.2452963005994344E-2</v>
      </c>
      <c r="AI292">
        <v>4.6794905375883489E-2</v>
      </c>
      <c r="AJ292">
        <v>5.455746740017875E-2</v>
      </c>
      <c r="AK292">
        <v>0.38397859906533405</v>
      </c>
      <c r="AL292">
        <v>0.13388722831928423</v>
      </c>
      <c r="AM292">
        <v>8.7444822179051362E-2</v>
      </c>
      <c r="AN292">
        <v>7.932993182364223E-2</v>
      </c>
      <c r="AO292">
        <v>0.20061267118158443</v>
      </c>
      <c r="AR292">
        <v>1.0039088281699193E-3</v>
      </c>
      <c r="AS292">
        <v>4.466345912831779E-3</v>
      </c>
      <c r="AT292">
        <v>9.855134608105641E-2</v>
      </c>
      <c r="AU292">
        <v>1.7971917255495309E-3</v>
      </c>
      <c r="AV292">
        <v>1.787634309031559E-3</v>
      </c>
      <c r="AW292">
        <v>3.1423466461904695E-3</v>
      </c>
      <c r="AX292">
        <v>2.970719393931814E-4</v>
      </c>
      <c r="AY292">
        <v>5.6998118833229139E-4</v>
      </c>
      <c r="BB292">
        <v>5.0671995225401112E-2</v>
      </c>
      <c r="BC292">
        <v>8.8339670133969261E-2</v>
      </c>
      <c r="BE292">
        <v>38071.962174575165</v>
      </c>
      <c r="BF292">
        <v>21.155127247450508</v>
      </c>
      <c r="BG292">
        <v>40109.946483480941</v>
      </c>
      <c r="BH292">
        <v>21.139278124413725</v>
      </c>
    </row>
    <row r="293" spans="3:60" x14ac:dyDescent="0.2">
      <c r="C293" s="138">
        <v>28074.537135100076</v>
      </c>
      <c r="D293" s="138">
        <v>20.749443855857614</v>
      </c>
      <c r="E293" s="138">
        <v>30000.187592187449</v>
      </c>
      <c r="F293" s="138">
        <v>20.704597299485549</v>
      </c>
      <c r="G293" s="138">
        <v>-1925.6504570873731</v>
      </c>
      <c r="H293" s="138">
        <v>4.4846556372064583E-2</v>
      </c>
      <c r="N293" s="138"/>
      <c r="O293" s="138"/>
      <c r="P293" s="138"/>
      <c r="R293">
        <v>434.57624656841563</v>
      </c>
      <c r="S293">
        <v>55.513207641504422</v>
      </c>
      <c r="T293">
        <v>259.14141504932201</v>
      </c>
      <c r="U293">
        <v>98.458362853900269</v>
      </c>
      <c r="X293">
        <v>0.94084907338553936</v>
      </c>
      <c r="Y293">
        <v>0.6000555859520349</v>
      </c>
      <c r="Z293">
        <v>0.64867056381868493</v>
      </c>
      <c r="AA293">
        <v>0.81356768392594725</v>
      </c>
      <c r="AB293">
        <v>0.81207518320218808</v>
      </c>
      <c r="AC293">
        <v>0.80675192650496474</v>
      </c>
      <c r="AD293">
        <v>0.76131586036034027</v>
      </c>
      <c r="AE293">
        <v>0.81542292643643732</v>
      </c>
      <c r="AH293">
        <v>0.13207178019660581</v>
      </c>
      <c r="AI293">
        <v>0.24557902946552812</v>
      </c>
      <c r="AJ293">
        <v>0.18504772439812212</v>
      </c>
      <c r="AK293">
        <v>0.142494494460781</v>
      </c>
      <c r="AL293">
        <v>3.7196476744592033E-2</v>
      </c>
      <c r="AM293">
        <v>0.1873440814611379</v>
      </c>
      <c r="AN293">
        <v>0.14660334453146062</v>
      </c>
      <c r="AO293">
        <v>6.1450332371761895E-2</v>
      </c>
      <c r="AR293">
        <v>1.0407920216897182E-3</v>
      </c>
      <c r="AS293">
        <v>4.7534076925078717E-3</v>
      </c>
      <c r="AT293">
        <v>9.9841655396748982E-2</v>
      </c>
      <c r="AU293">
        <v>1.9541749368250953E-3</v>
      </c>
      <c r="AV293">
        <v>2.0697652995081972E-3</v>
      </c>
      <c r="AW293">
        <v>3.2171514561015009E-3</v>
      </c>
      <c r="AX293">
        <v>3.2952399574894681E-4</v>
      </c>
      <c r="AY293">
        <v>4.6397212775928232E-4</v>
      </c>
      <c r="BB293">
        <v>5.2103294445579373E-2</v>
      </c>
      <c r="BC293">
        <v>4.3901228098092264E-2</v>
      </c>
      <c r="BE293">
        <v>28074.537135100076</v>
      </c>
      <c r="BF293">
        <v>20.749443855857614</v>
      </c>
      <c r="BG293">
        <v>30000.187592187449</v>
      </c>
      <c r="BH293">
        <v>20.704597299485549</v>
      </c>
    </row>
    <row r="294" spans="3:60" x14ac:dyDescent="0.2">
      <c r="C294" s="138">
        <v>32339.827831163395</v>
      </c>
      <c r="D294" s="138">
        <v>21.67180329854121</v>
      </c>
      <c r="E294" s="138">
        <v>34784.176378008517</v>
      </c>
      <c r="F294" s="138">
        <v>21.665004274960445</v>
      </c>
      <c r="G294" s="138">
        <v>-2444.3485468451217</v>
      </c>
      <c r="H294" s="138">
        <v>6.7990235807648958E-3</v>
      </c>
      <c r="N294" s="138"/>
      <c r="O294" s="138"/>
      <c r="P294" s="138"/>
      <c r="R294">
        <v>224.26680411847835</v>
      </c>
      <c r="S294">
        <v>62.61865514555096</v>
      </c>
      <c r="T294">
        <v>279.33023176538831</v>
      </c>
      <c r="U294">
        <v>97.810820488946064</v>
      </c>
      <c r="X294">
        <v>0.84585184409243497</v>
      </c>
      <c r="Y294">
        <v>0.80695345506864224</v>
      </c>
      <c r="Z294">
        <v>0.8879091148416367</v>
      </c>
      <c r="AA294">
        <v>0.91384309927770391</v>
      </c>
      <c r="AB294">
        <v>0.83261607876092947</v>
      </c>
      <c r="AC294">
        <v>0.85645891531292073</v>
      </c>
      <c r="AD294">
        <v>0.86056499312417334</v>
      </c>
      <c r="AE294">
        <v>0.86533575122861006</v>
      </c>
      <c r="AH294">
        <v>0.13505686813774509</v>
      </c>
      <c r="AI294">
        <v>8.2523642578140377E-2</v>
      </c>
      <c r="AJ294">
        <v>9.1764945933421771E-2</v>
      </c>
      <c r="AK294">
        <v>0.16890306890216589</v>
      </c>
      <c r="AL294">
        <v>2.9061994798896262E-2</v>
      </c>
      <c r="AM294">
        <v>2.3799585378341037E-2</v>
      </c>
      <c r="AN294">
        <v>0.13587775855231476</v>
      </c>
      <c r="AO294">
        <v>5.0425539473351488E-2</v>
      </c>
      <c r="AR294">
        <v>7.673854915980305E-4</v>
      </c>
      <c r="AS294">
        <v>4.4800053012131946E-3</v>
      </c>
      <c r="AT294">
        <v>0.10079301157279741</v>
      </c>
      <c r="AU294">
        <v>2.0111533555575711E-3</v>
      </c>
      <c r="AV294">
        <v>2.2317412348180632E-3</v>
      </c>
      <c r="AW294">
        <v>3.5434854065814481E-3</v>
      </c>
      <c r="AX294">
        <v>4.3784107706823505E-4</v>
      </c>
      <c r="AY294">
        <v>4.2242615210637198E-4</v>
      </c>
      <c r="BB294">
        <v>4.7838621683856344E-2</v>
      </c>
      <c r="BC294">
        <v>4.1031451002343546E-2</v>
      </c>
      <c r="BE294">
        <v>32339.827831163395</v>
      </c>
      <c r="BF294">
        <v>21.67180329854121</v>
      </c>
      <c r="BG294">
        <v>34784.176378008517</v>
      </c>
      <c r="BH294">
        <v>21.665004274960445</v>
      </c>
    </row>
    <row r="295" spans="3:60" x14ac:dyDescent="0.2">
      <c r="C295" s="138">
        <v>31037.939123625758</v>
      </c>
      <c r="D295" s="138">
        <v>21.259594626820128</v>
      </c>
      <c r="E295" s="138">
        <v>32757.596401511641</v>
      </c>
      <c r="F295" s="138">
        <v>21.246130881377429</v>
      </c>
      <c r="G295" s="138">
        <v>-1719.6572778858826</v>
      </c>
      <c r="H295" s="138">
        <v>1.3463745442699349E-2</v>
      </c>
      <c r="N295" s="138"/>
      <c r="O295" s="138"/>
      <c r="P295" s="138"/>
      <c r="R295">
        <v>329.40296309793189</v>
      </c>
      <c r="S295">
        <v>60.09787786418719</v>
      </c>
      <c r="T295">
        <v>293.59555714630494</v>
      </c>
      <c r="U295">
        <v>97.075088641612794</v>
      </c>
      <c r="X295">
        <v>0.76916171158635149</v>
      </c>
      <c r="Y295">
        <v>0.67754434056925261</v>
      </c>
      <c r="Z295">
        <v>0.61430778576992429</v>
      </c>
      <c r="AA295">
        <v>0.75191154530556326</v>
      </c>
      <c r="AB295">
        <v>0.76549401236032555</v>
      </c>
      <c r="AC295">
        <v>0.76144031118325839</v>
      </c>
      <c r="AD295">
        <v>0.80538403531914882</v>
      </c>
      <c r="AE295">
        <v>0.8424139589280244</v>
      </c>
      <c r="AH295">
        <v>0.17255263143624355</v>
      </c>
      <c r="AI295">
        <v>8.0714635736455764E-2</v>
      </c>
      <c r="AJ295">
        <v>0.12243664665991261</v>
      </c>
      <c r="AK295">
        <v>7.4161756883654339E-2</v>
      </c>
      <c r="AL295">
        <v>6.5431760873125189E-2</v>
      </c>
      <c r="AM295">
        <v>0.10988849014609858</v>
      </c>
      <c r="AN295">
        <v>7.484214484768259E-2</v>
      </c>
      <c r="AO295">
        <v>0.27620548677409917</v>
      </c>
      <c r="AR295">
        <v>1.0221872012009525E-3</v>
      </c>
      <c r="AS295">
        <v>4.3378850436225054E-3</v>
      </c>
      <c r="AT295">
        <v>9.8936694555411264E-2</v>
      </c>
      <c r="AU295">
        <v>1.8539237118298903E-3</v>
      </c>
      <c r="AV295">
        <v>2.2131203520158182E-3</v>
      </c>
      <c r="AW295">
        <v>3.3714624315737364E-3</v>
      </c>
      <c r="AX295">
        <v>4.0206542533760548E-4</v>
      </c>
      <c r="AY295">
        <v>3.8283219895989684E-4</v>
      </c>
      <c r="BB295">
        <v>4.3666161608883883E-2</v>
      </c>
      <c r="BC295">
        <v>1.6805855660626649E-2</v>
      </c>
      <c r="BE295">
        <v>31037.939123625758</v>
      </c>
      <c r="BF295">
        <v>21.259594626820128</v>
      </c>
      <c r="BG295">
        <v>32757.596401511641</v>
      </c>
      <c r="BH295">
        <v>21.246130881377429</v>
      </c>
    </row>
    <row r="296" spans="3:60" x14ac:dyDescent="0.2">
      <c r="C296" s="138">
        <v>27867.490569234946</v>
      </c>
      <c r="D296" s="138">
        <v>21.121459932510056</v>
      </c>
      <c r="E296" s="138">
        <v>29690.773487386941</v>
      </c>
      <c r="F296" s="138">
        <v>21.087870983908566</v>
      </c>
      <c r="G296" s="138">
        <v>-1823.2829181519955</v>
      </c>
      <c r="H296" s="138">
        <v>3.3588948601490642E-2</v>
      </c>
      <c r="N296" s="138"/>
      <c r="O296" s="138"/>
      <c r="P296" s="138"/>
      <c r="R296">
        <v>158.08948277142372</v>
      </c>
      <c r="S296">
        <v>68.963041387271474</v>
      </c>
      <c r="T296">
        <v>262.38151816577073</v>
      </c>
      <c r="U296">
        <v>93.30075490003685</v>
      </c>
      <c r="X296">
        <v>0.80278087910039209</v>
      </c>
      <c r="Y296">
        <v>0.49438935135610806</v>
      </c>
      <c r="Z296">
        <v>0.55676554581313442</v>
      </c>
      <c r="AA296">
        <v>0.83975722717951373</v>
      </c>
      <c r="AB296">
        <v>0.70150908591285155</v>
      </c>
      <c r="AC296">
        <v>0.94190577502192419</v>
      </c>
      <c r="AD296">
        <v>0.54204163498931957</v>
      </c>
      <c r="AE296">
        <v>0.9191018150472019</v>
      </c>
      <c r="AH296">
        <v>0.13301974203083056</v>
      </c>
      <c r="AI296">
        <v>5.6514035729407608E-2</v>
      </c>
      <c r="AJ296">
        <v>8.3018183497937548E-2</v>
      </c>
      <c r="AK296">
        <v>0.12318444346007718</v>
      </c>
      <c r="AL296">
        <v>0.21219287605112269</v>
      </c>
      <c r="AM296">
        <v>0.10383229439162156</v>
      </c>
      <c r="AN296">
        <v>0.15088611621290138</v>
      </c>
      <c r="AO296">
        <v>5.7657375335266936E-2</v>
      </c>
      <c r="AR296">
        <v>9.6057971710861167E-4</v>
      </c>
      <c r="AS296">
        <v>5.0049912392239326E-3</v>
      </c>
      <c r="AT296">
        <v>0.10002779010439355</v>
      </c>
      <c r="AU296">
        <v>2.0676084609640988E-3</v>
      </c>
      <c r="AV296">
        <v>1.9002272989448133E-3</v>
      </c>
      <c r="AW296">
        <v>3.4607659598208107E-3</v>
      </c>
      <c r="AX296">
        <v>3.9565699525199663E-4</v>
      </c>
      <c r="AY296">
        <v>4.5690603087544801E-4</v>
      </c>
      <c r="BB296">
        <v>4.6698629652603789E-2</v>
      </c>
      <c r="BC296">
        <v>2.7163691040371071E-2</v>
      </c>
      <c r="BE296">
        <v>27867.490569234946</v>
      </c>
      <c r="BF296">
        <v>21.121459932510056</v>
      </c>
      <c r="BG296">
        <v>29690.773487386941</v>
      </c>
      <c r="BH296">
        <v>21.087870983908566</v>
      </c>
    </row>
    <row r="297" spans="3:60" x14ac:dyDescent="0.2">
      <c r="C297" s="138">
        <v>27593.576864771811</v>
      </c>
      <c r="D297" s="138">
        <v>21.412999543445608</v>
      </c>
      <c r="E297" s="138">
        <v>29986.287067698027</v>
      </c>
      <c r="F297" s="138">
        <v>21.396201762974478</v>
      </c>
      <c r="G297" s="138">
        <v>-2392.7102029262169</v>
      </c>
      <c r="H297" s="138">
        <v>1.6797780471129897E-2</v>
      </c>
      <c r="N297" s="138"/>
      <c r="O297" s="138"/>
      <c r="P297" s="138"/>
      <c r="R297">
        <v>155.85928302001415</v>
      </c>
      <c r="S297">
        <v>67.95954540743827</v>
      </c>
      <c r="T297">
        <v>206.05262981479819</v>
      </c>
      <c r="U297">
        <v>97.47449591441513</v>
      </c>
      <c r="X297">
        <v>0.67062942068796794</v>
      </c>
      <c r="Y297">
        <v>0.52566837203184791</v>
      </c>
      <c r="Z297">
        <v>0.64374867405547342</v>
      </c>
      <c r="AA297">
        <v>0.75189860479457271</v>
      </c>
      <c r="AB297">
        <v>0.80946560882675533</v>
      </c>
      <c r="AC297">
        <v>0.86385267082900108</v>
      </c>
      <c r="AD297">
        <v>0.76913378402611576</v>
      </c>
      <c r="AE297">
        <v>0.84915506523357909</v>
      </c>
      <c r="AH297">
        <v>6.8842313056046711E-3</v>
      </c>
      <c r="AI297">
        <v>0.16915056750680069</v>
      </c>
      <c r="AJ297">
        <v>0.12280712832860985</v>
      </c>
      <c r="AK297">
        <v>0.12633614863013165</v>
      </c>
      <c r="AL297">
        <v>0.11099629851769099</v>
      </c>
      <c r="AM297">
        <v>0.10539835357356853</v>
      </c>
      <c r="AN297">
        <v>2.2159527315312566E-2</v>
      </c>
      <c r="AO297">
        <v>7.5781158125425074E-2</v>
      </c>
      <c r="AR297">
        <v>9.4844039019725823E-4</v>
      </c>
      <c r="AS297">
        <v>4.3731171268216636E-3</v>
      </c>
      <c r="AT297">
        <v>0.10108326622372799</v>
      </c>
      <c r="AU297">
        <v>2.0906852847860646E-3</v>
      </c>
      <c r="AV297">
        <v>1.7592740732314959E-3</v>
      </c>
      <c r="AW297">
        <v>3.5301347594167698E-3</v>
      </c>
      <c r="AX297">
        <v>5.4564058030448503E-4</v>
      </c>
      <c r="AY297">
        <v>4.4255288815685478E-4</v>
      </c>
      <c r="BB297">
        <v>5.4705418627977842E-2</v>
      </c>
      <c r="BC297">
        <v>7.3821225069108376E-2</v>
      </c>
      <c r="BE297">
        <v>27593.576864771811</v>
      </c>
      <c r="BF297">
        <v>21.412999543445608</v>
      </c>
      <c r="BG297">
        <v>29986.287067698027</v>
      </c>
      <c r="BH297">
        <v>21.396201762974478</v>
      </c>
    </row>
    <row r="298" spans="3:60" x14ac:dyDescent="0.2">
      <c r="C298" s="138">
        <v>36094.97540267797</v>
      </c>
      <c r="D298" s="138">
        <v>21.468089645641637</v>
      </c>
      <c r="E298" s="138">
        <v>38372.698152410616</v>
      </c>
      <c r="F298" s="138">
        <v>21.495490402601998</v>
      </c>
      <c r="G298" s="138">
        <v>-2277.7227497326458</v>
      </c>
      <c r="H298" s="138">
        <v>-2.740075696036115E-2</v>
      </c>
      <c r="N298" s="138"/>
      <c r="O298" s="138"/>
      <c r="P298" s="138"/>
      <c r="R298">
        <v>353.14717699440723</v>
      </c>
      <c r="S298">
        <v>52.188139470298353</v>
      </c>
      <c r="T298">
        <v>231.60853039252913</v>
      </c>
      <c r="U298">
        <v>94.230538679513131</v>
      </c>
      <c r="X298">
        <v>0.8049250707713318</v>
      </c>
      <c r="Y298">
        <v>0.91460880686852586</v>
      </c>
      <c r="Z298">
        <v>0.62693728363528733</v>
      </c>
      <c r="AA298">
        <v>0.7734529449789781</v>
      </c>
      <c r="AB298">
        <v>0.71602765584975536</v>
      </c>
      <c r="AC298">
        <v>0.67231840577955326</v>
      </c>
      <c r="AD298">
        <v>0.64470253224648577</v>
      </c>
      <c r="AE298">
        <v>0.65475698012370076</v>
      </c>
      <c r="AH298">
        <v>0.13293624449988728</v>
      </c>
      <c r="AI298">
        <v>0.15394974293832842</v>
      </c>
      <c r="AJ298">
        <v>2.6308691531916173E-2</v>
      </c>
      <c r="AK298">
        <v>7.1474648307677358E-2</v>
      </c>
      <c r="AL298">
        <v>3.2098447745473657E-2</v>
      </c>
      <c r="AM298">
        <v>6.678758117928052E-2</v>
      </c>
      <c r="AN298">
        <v>0.19464799731240301</v>
      </c>
      <c r="AO298">
        <v>0.13157637423740398</v>
      </c>
      <c r="AR298">
        <v>9.1385835472090893E-4</v>
      </c>
      <c r="AS298">
        <v>4.2667113365180481E-3</v>
      </c>
      <c r="AT298">
        <v>0.10090684891531476</v>
      </c>
      <c r="AU298">
        <v>2.0698174951480075E-3</v>
      </c>
      <c r="AV298">
        <v>2.2284159820910032E-3</v>
      </c>
      <c r="AW298">
        <v>3.1237251778187623E-3</v>
      </c>
      <c r="AX298">
        <v>4.4567453798194379E-4</v>
      </c>
      <c r="AY298">
        <v>4.5300505117396028E-4</v>
      </c>
      <c r="BB298">
        <v>5.0744711609107873E-2</v>
      </c>
      <c r="BC298">
        <v>0.10795951907634205</v>
      </c>
      <c r="BE298">
        <v>36094.97540267797</v>
      </c>
      <c r="BF298">
        <v>21.468089645641637</v>
      </c>
      <c r="BG298">
        <v>38372.698152410616</v>
      </c>
      <c r="BH298">
        <v>21.495490402601998</v>
      </c>
    </row>
    <row r="299" spans="3:60" x14ac:dyDescent="0.2">
      <c r="C299" s="138">
        <v>34334.839332112213</v>
      </c>
      <c r="D299" s="138">
        <v>21.002066236740266</v>
      </c>
      <c r="E299" s="138">
        <v>36203.799961478551</v>
      </c>
      <c r="F299" s="138">
        <v>21.028624667880464</v>
      </c>
      <c r="G299" s="138">
        <v>-1868.9606293663383</v>
      </c>
      <c r="H299" s="138">
        <v>-2.6558431140198735E-2</v>
      </c>
      <c r="N299" s="138"/>
      <c r="O299" s="138"/>
      <c r="P299" s="138"/>
      <c r="R299">
        <v>424.89862970403425</v>
      </c>
      <c r="S299">
        <v>66.783364034894106</v>
      </c>
      <c r="T299">
        <v>272.1073951564079</v>
      </c>
      <c r="U299">
        <v>89.923073777590318</v>
      </c>
      <c r="X299">
        <v>0.60521427395338689</v>
      </c>
      <c r="Y299">
        <v>0.63685810331626824</v>
      </c>
      <c r="Z299">
        <v>0.72785616612445247</v>
      </c>
      <c r="AA299">
        <v>0.62809505735123317</v>
      </c>
      <c r="AB299">
        <v>0.78930944348606569</v>
      </c>
      <c r="AC299">
        <v>0.77255951751692198</v>
      </c>
      <c r="AD299">
        <v>0.95131049995420935</v>
      </c>
      <c r="AE299">
        <v>0.50435898439004079</v>
      </c>
      <c r="AH299">
        <v>0.21710810735327701</v>
      </c>
      <c r="AI299">
        <v>0.11296962144864553</v>
      </c>
      <c r="AJ299">
        <v>0.13501782076735824</v>
      </c>
      <c r="AK299">
        <v>0.29686449992023844</v>
      </c>
      <c r="AL299">
        <v>0.15308217537948265</v>
      </c>
      <c r="AM299">
        <v>7.9325520548634731E-2</v>
      </c>
      <c r="AN299">
        <v>5.6942571914151641E-2</v>
      </c>
      <c r="AO299">
        <v>2.6071995400893999E-2</v>
      </c>
      <c r="AR299">
        <v>8.9492119965750572E-4</v>
      </c>
      <c r="AS299">
        <v>4.7995833114481412E-3</v>
      </c>
      <c r="AT299">
        <v>0.10210810004831106</v>
      </c>
      <c r="AU299">
        <v>2.1226089789363467E-3</v>
      </c>
      <c r="AV299">
        <v>2.1279544342440726E-3</v>
      </c>
      <c r="AW299">
        <v>3.4847222720550963E-3</v>
      </c>
      <c r="AX299">
        <v>3.021748987404828E-4</v>
      </c>
      <c r="AY299">
        <v>4.9328536113957266E-4</v>
      </c>
      <c r="BB299">
        <v>5.0798175047270355E-2</v>
      </c>
      <c r="BC299">
        <v>6.8074174597920978E-2</v>
      </c>
      <c r="BE299">
        <v>34334.839332112213</v>
      </c>
      <c r="BF299">
        <v>21.002066236740266</v>
      </c>
      <c r="BG299">
        <v>36203.799961478551</v>
      </c>
      <c r="BH299">
        <v>21.028624667880464</v>
      </c>
    </row>
    <row r="300" spans="3:60" x14ac:dyDescent="0.2">
      <c r="C300" s="138">
        <v>25087.269432699002</v>
      </c>
      <c r="D300" s="138">
        <v>20.647529162557589</v>
      </c>
      <c r="E300" s="138">
        <v>27188.84814479819</v>
      </c>
      <c r="F300" s="138">
        <v>20.590881406954978</v>
      </c>
      <c r="G300" s="138">
        <v>-2101.5787120991881</v>
      </c>
      <c r="H300" s="138">
        <v>5.6647755602611483E-2</v>
      </c>
      <c r="N300" s="138"/>
      <c r="O300" s="138"/>
      <c r="P300" s="138"/>
      <c r="R300">
        <v>377.05566598223743</v>
      </c>
      <c r="S300">
        <v>59.112220353000474</v>
      </c>
      <c r="T300">
        <v>238.45242578640963</v>
      </c>
      <c r="U300">
        <v>86.990264648403411</v>
      </c>
      <c r="X300">
        <v>0.87317027975360728</v>
      </c>
      <c r="Y300">
        <v>0.81667262868751855</v>
      </c>
      <c r="Z300">
        <v>0.71710295934365509</v>
      </c>
      <c r="AA300">
        <v>0.80260659483059538</v>
      </c>
      <c r="AB300">
        <v>0.59601533981567101</v>
      </c>
      <c r="AC300">
        <v>0.98267904870144829</v>
      </c>
      <c r="AD300">
        <v>0.8719239931647158</v>
      </c>
      <c r="AE300">
        <v>0.92529041615244101</v>
      </c>
      <c r="AH300">
        <v>1.2942937690921141E-2</v>
      </c>
      <c r="AI300">
        <v>0.15371622762857406</v>
      </c>
      <c r="AJ300">
        <v>0.11730327395343643</v>
      </c>
      <c r="AK300">
        <v>0.14996280200004863</v>
      </c>
      <c r="AL300">
        <v>6.5251141412141167E-2</v>
      </c>
      <c r="AM300">
        <v>1.0955737069095584E-2</v>
      </c>
      <c r="AN300">
        <v>0.24870033870837793</v>
      </c>
      <c r="AO300">
        <v>0.12162170176563336</v>
      </c>
      <c r="AR300">
        <v>7.5962382043102961E-4</v>
      </c>
      <c r="AS300">
        <v>4.2745970182722663E-3</v>
      </c>
      <c r="AT300">
        <v>9.9422299847199566E-2</v>
      </c>
      <c r="AU300">
        <v>2.0190796280086243E-3</v>
      </c>
      <c r="AV300">
        <v>1.9791676097681643E-3</v>
      </c>
      <c r="AW300">
        <v>3.2237795458146174E-3</v>
      </c>
      <c r="AX300">
        <v>3.4818734661424465E-4</v>
      </c>
      <c r="AY300">
        <v>4.133030952784028E-4</v>
      </c>
      <c r="BB300">
        <v>5.2039090399599752E-2</v>
      </c>
      <c r="BC300">
        <v>6.7138446876760405E-2</v>
      </c>
      <c r="BE300">
        <v>25087.269432699002</v>
      </c>
      <c r="BF300">
        <v>20.647529162557589</v>
      </c>
      <c r="BG300">
        <v>27188.84814479819</v>
      </c>
      <c r="BH300">
        <v>20.590881406954978</v>
      </c>
    </row>
    <row r="301" spans="3:60" x14ac:dyDescent="0.2">
      <c r="C301" s="138">
        <v>33700.14652817</v>
      </c>
      <c r="D301" s="138">
        <v>21.074515235255038</v>
      </c>
      <c r="E301" s="138">
        <v>35954.093649379814</v>
      </c>
      <c r="F301" s="138">
        <v>21.067290022305809</v>
      </c>
      <c r="G301" s="138">
        <v>-2253.9471212098142</v>
      </c>
      <c r="H301" s="138">
        <v>7.2252129492298423E-3</v>
      </c>
      <c r="N301" s="138"/>
      <c r="O301" s="138"/>
      <c r="P301" s="138"/>
      <c r="R301">
        <v>380.04924159921143</v>
      </c>
      <c r="S301">
        <v>55.803243215933236</v>
      </c>
      <c r="T301">
        <v>217.86488603386971</v>
      </c>
      <c r="U301">
        <v>102.04969179664847</v>
      </c>
      <c r="X301">
        <v>0.85487604182635124</v>
      </c>
      <c r="Y301">
        <v>0.83358241944420053</v>
      </c>
      <c r="Z301">
        <v>0.60424155429443871</v>
      </c>
      <c r="AA301">
        <v>0.73687930946109437</v>
      </c>
      <c r="AB301">
        <v>0.7129215784435855</v>
      </c>
      <c r="AC301">
        <v>0.58494600610237002</v>
      </c>
      <c r="AD301">
        <v>0.56169278793789545</v>
      </c>
      <c r="AE301">
        <v>0.2187472575131007</v>
      </c>
      <c r="AH301">
        <v>0.14218767423253198</v>
      </c>
      <c r="AI301">
        <v>0.10175784375624042</v>
      </c>
      <c r="AJ301">
        <v>3.4887496910446125E-2</v>
      </c>
      <c r="AK301">
        <v>7.0622335638236944E-2</v>
      </c>
      <c r="AL301">
        <v>0.11122845114518021</v>
      </c>
      <c r="AM301">
        <v>1.8702557133235542E-2</v>
      </c>
      <c r="AN301">
        <v>0.10546240128759854</v>
      </c>
      <c r="AO301">
        <v>2.8057152387969575E-2</v>
      </c>
      <c r="AR301">
        <v>8.5919783177910893E-4</v>
      </c>
      <c r="AS301">
        <v>4.2033074581422905E-3</v>
      </c>
      <c r="AT301">
        <v>0.10016236974133108</v>
      </c>
      <c r="AU301">
        <v>2.2809740263110001E-3</v>
      </c>
      <c r="AV301">
        <v>2.0740237770791037E-3</v>
      </c>
      <c r="AW301">
        <v>3.2431628918274981E-3</v>
      </c>
      <c r="AX301">
        <v>4.0198961504978037E-4</v>
      </c>
      <c r="AY301">
        <v>5.2801922410272706E-4</v>
      </c>
      <c r="BB301">
        <v>4.1951888457232751E-2</v>
      </c>
      <c r="BC301">
        <v>3.030557383710953E-2</v>
      </c>
      <c r="BE301">
        <v>33700.14652817</v>
      </c>
      <c r="BF301">
        <v>21.074515235255038</v>
      </c>
      <c r="BG301">
        <v>35954.093649379814</v>
      </c>
      <c r="BH301">
        <v>21.067290022305809</v>
      </c>
    </row>
    <row r="302" spans="3:60" x14ac:dyDescent="0.2">
      <c r="C302" s="138">
        <v>34681.375318012462</v>
      </c>
      <c r="D302" s="138">
        <v>21.357078956694817</v>
      </c>
      <c r="E302" s="138">
        <v>37266.861024049489</v>
      </c>
      <c r="F302" s="138">
        <v>21.33083855546117</v>
      </c>
      <c r="G302" s="138">
        <v>-2585.4857060370268</v>
      </c>
      <c r="H302" s="138">
        <v>2.6240401233646793E-2</v>
      </c>
      <c r="N302" s="138"/>
      <c r="O302" s="138"/>
      <c r="P302" s="138"/>
      <c r="R302">
        <v>78.041744362433263</v>
      </c>
      <c r="S302">
        <v>64.99611039993745</v>
      </c>
      <c r="T302">
        <v>250.59931893190324</v>
      </c>
      <c r="U302">
        <v>79.003614823304815</v>
      </c>
      <c r="X302">
        <v>0.46111117104800831</v>
      </c>
      <c r="Y302">
        <v>0.82661575178683078</v>
      </c>
      <c r="Z302">
        <v>0.682789452354302</v>
      </c>
      <c r="AA302">
        <v>0.8896659237307466</v>
      </c>
      <c r="AB302">
        <v>0.77022495158548832</v>
      </c>
      <c r="AC302">
        <v>0.92398245930855416</v>
      </c>
      <c r="AD302">
        <v>0.49449960586221797</v>
      </c>
      <c r="AE302">
        <v>0.81274938857456458</v>
      </c>
      <c r="AH302">
        <v>0.15139183626610775</v>
      </c>
      <c r="AI302">
        <v>0.22859275500627774</v>
      </c>
      <c r="AJ302">
        <v>1.9399445970739837E-2</v>
      </c>
      <c r="AK302">
        <v>1.6871799251135799E-2</v>
      </c>
      <c r="AL302">
        <v>0.275316828719539</v>
      </c>
      <c r="AM302">
        <v>3.7049099630487414E-2</v>
      </c>
      <c r="AN302">
        <v>2.5468272553200499E-2</v>
      </c>
      <c r="AO302">
        <v>5.3256327929879999E-2</v>
      </c>
      <c r="AR302">
        <v>9.2830878983907184E-4</v>
      </c>
      <c r="AS302">
        <v>4.643465043849937E-3</v>
      </c>
      <c r="AT302">
        <v>9.9309582006050987E-2</v>
      </c>
      <c r="AU302">
        <v>2.0359730826018385E-3</v>
      </c>
      <c r="AV302">
        <v>2.1213226857695888E-3</v>
      </c>
      <c r="AW302">
        <v>3.2640678108568641E-3</v>
      </c>
      <c r="AX302">
        <v>3.7876092092739203E-4</v>
      </c>
      <c r="AY302">
        <v>4.2943019770709843E-4</v>
      </c>
      <c r="BB302">
        <v>4.5570076032116498E-2</v>
      </c>
      <c r="BC302">
        <v>4.9592865635591399E-2</v>
      </c>
      <c r="BE302">
        <v>34681.375318012462</v>
      </c>
      <c r="BF302">
        <v>21.357078956694817</v>
      </c>
      <c r="BG302">
        <v>37266.861024049489</v>
      </c>
      <c r="BH302">
        <v>21.33083855546117</v>
      </c>
    </row>
    <row r="303" spans="3:60" x14ac:dyDescent="0.2">
      <c r="C303" s="138">
        <v>24792.418378840335</v>
      </c>
      <c r="D303" s="138">
        <v>20.701867762894395</v>
      </c>
      <c r="E303" s="138">
        <v>26455.210019410944</v>
      </c>
      <c r="F303" s="138">
        <v>20.667873324145575</v>
      </c>
      <c r="G303" s="138">
        <v>-1662.7916405706092</v>
      </c>
      <c r="H303" s="138">
        <v>3.3994438748820244E-2</v>
      </c>
      <c r="N303" s="138"/>
      <c r="O303" s="138"/>
      <c r="P303" s="138"/>
      <c r="R303">
        <v>324.76808579187343</v>
      </c>
      <c r="S303">
        <v>63.02872372029465</v>
      </c>
      <c r="T303">
        <v>277.58483497913699</v>
      </c>
      <c r="U303">
        <v>110.54360101098302</v>
      </c>
      <c r="X303">
        <v>0.74739661457265882</v>
      </c>
      <c r="Y303">
        <v>0.64972688748595508</v>
      </c>
      <c r="Z303">
        <v>0.79201949420950657</v>
      </c>
      <c r="AA303">
        <v>0.78808467951436756</v>
      </c>
      <c r="AB303">
        <v>0.73062939367316471</v>
      </c>
      <c r="AC303">
        <v>0.84083088462553723</v>
      </c>
      <c r="AD303">
        <v>0.75074925484359223</v>
      </c>
      <c r="AE303">
        <v>0.66872658188798884</v>
      </c>
      <c r="AH303">
        <v>0.1275642654999426</v>
      </c>
      <c r="AI303">
        <v>9.52657255867847E-2</v>
      </c>
      <c r="AJ303">
        <v>0.17200100695409892</v>
      </c>
      <c r="AK303">
        <v>9.4709984939627012E-2</v>
      </c>
      <c r="AL303">
        <v>5.1144291003779929E-2</v>
      </c>
      <c r="AM303">
        <v>7.0053284770433155E-2</v>
      </c>
      <c r="AN303">
        <v>6.5737924849906149E-2</v>
      </c>
      <c r="AO303">
        <v>0.16226964484554374</v>
      </c>
      <c r="AR303">
        <v>8.6719335593818327E-4</v>
      </c>
      <c r="AS303">
        <v>4.6493142210117799E-3</v>
      </c>
      <c r="AT303">
        <v>0.10011138046838164</v>
      </c>
      <c r="AU303">
        <v>1.9307075612422185E-3</v>
      </c>
      <c r="AV303">
        <v>2.0571550368541081E-3</v>
      </c>
      <c r="AW303">
        <v>3.5560204546464247E-3</v>
      </c>
      <c r="AX303">
        <v>3.9279506311860028E-4</v>
      </c>
      <c r="AY303">
        <v>4.6104843575645038E-4</v>
      </c>
      <c r="BB303">
        <v>4.3337131469563812E-2</v>
      </c>
      <c r="BC303">
        <v>1.4105936005895442E-2</v>
      </c>
      <c r="BE303">
        <v>24792.418378840335</v>
      </c>
      <c r="BF303">
        <v>20.701867762894395</v>
      </c>
      <c r="BG303">
        <v>26455.210019410944</v>
      </c>
      <c r="BH303">
        <v>20.667873324145575</v>
      </c>
    </row>
    <row r="304" spans="3:60" x14ac:dyDescent="0.2">
      <c r="C304" s="138">
        <v>32896.830350650082</v>
      </c>
      <c r="D304" s="138">
        <v>21.45178792866022</v>
      </c>
      <c r="E304" s="138">
        <v>34893.590858906369</v>
      </c>
      <c r="F304" s="138">
        <v>21.446654882909403</v>
      </c>
      <c r="G304" s="138">
        <v>-1996.7605082562877</v>
      </c>
      <c r="H304" s="138">
        <v>5.1330457508171889E-3</v>
      </c>
      <c r="N304" s="138"/>
      <c r="O304" s="138"/>
      <c r="P304" s="138"/>
      <c r="R304">
        <v>238.84990490210791</v>
      </c>
      <c r="S304">
        <v>71.68585859860849</v>
      </c>
      <c r="T304">
        <v>203.68488721444021</v>
      </c>
      <c r="U304">
        <v>93.904568133987866</v>
      </c>
      <c r="X304">
        <v>0.89013540565184623</v>
      </c>
      <c r="Y304">
        <v>0.60296863685873436</v>
      </c>
      <c r="Z304">
        <v>0.75694607221309351</v>
      </c>
      <c r="AA304">
        <v>0.84484154101848441</v>
      </c>
      <c r="AB304">
        <v>0.45220061972995029</v>
      </c>
      <c r="AC304">
        <v>0.78995230510999093</v>
      </c>
      <c r="AD304">
        <v>0.81995150287124585</v>
      </c>
      <c r="AE304">
        <v>0.71563669567692811</v>
      </c>
      <c r="AH304">
        <v>7.6008985916449556E-2</v>
      </c>
      <c r="AI304">
        <v>0.12063867454518495</v>
      </c>
      <c r="AJ304">
        <v>0.10910197681914557</v>
      </c>
      <c r="AK304">
        <v>6.6818917721017224E-2</v>
      </c>
      <c r="AL304">
        <v>0.14722488160276559</v>
      </c>
      <c r="AM304">
        <v>0.34034321715095661</v>
      </c>
      <c r="AN304">
        <v>0.20508663651805015</v>
      </c>
      <c r="AO304">
        <v>0.26922779750679404</v>
      </c>
      <c r="AR304">
        <v>8.7735479951937291E-4</v>
      </c>
      <c r="AS304">
        <v>4.4410057308416741E-3</v>
      </c>
      <c r="AT304">
        <v>9.9635318679058615E-2</v>
      </c>
      <c r="AU304">
        <v>1.7805901652686383E-3</v>
      </c>
      <c r="AV304">
        <v>1.9706637852934358E-3</v>
      </c>
      <c r="AW304">
        <v>3.3089237865761866E-3</v>
      </c>
      <c r="AX304">
        <v>4.2289646512883028E-4</v>
      </c>
      <c r="AY304">
        <v>4.8464948009929731E-4</v>
      </c>
      <c r="BB304">
        <v>4.1673299934823285E-2</v>
      </c>
      <c r="BC304">
        <v>4.8657952181414443E-2</v>
      </c>
      <c r="BE304">
        <v>32896.830350650082</v>
      </c>
      <c r="BF304">
        <v>21.45178792866022</v>
      </c>
      <c r="BG304">
        <v>34893.590858906369</v>
      </c>
      <c r="BH304">
        <v>21.446654882909403</v>
      </c>
    </row>
    <row r="305" spans="3:60" x14ac:dyDescent="0.2">
      <c r="C305" s="138">
        <v>32653.778665154667</v>
      </c>
      <c r="D305" s="138">
        <v>20.965823243585415</v>
      </c>
      <c r="E305" s="138">
        <v>34504.702407088422</v>
      </c>
      <c r="F305" s="138">
        <v>20.987077475000852</v>
      </c>
      <c r="G305" s="138">
        <v>-1850.9237419337551</v>
      </c>
      <c r="H305" s="138">
        <v>-2.1254231415436919E-2</v>
      </c>
      <c r="N305" s="138"/>
      <c r="O305" s="138"/>
      <c r="P305" s="138"/>
      <c r="R305">
        <v>381.63843991245233</v>
      </c>
      <c r="S305">
        <v>48.868706842881579</v>
      </c>
      <c r="T305">
        <v>219.81522047487621</v>
      </c>
      <c r="U305">
        <v>92.872871085849354</v>
      </c>
      <c r="X305">
        <v>0.87057599375984918</v>
      </c>
      <c r="Y305">
        <v>0.76809230036674636</v>
      </c>
      <c r="Z305">
        <v>0.5893789173373517</v>
      </c>
      <c r="AA305">
        <v>0.68329172044971465</v>
      </c>
      <c r="AB305">
        <v>0.36348612482714665</v>
      </c>
      <c r="AC305">
        <v>0.71934533969725745</v>
      </c>
      <c r="AD305">
        <v>0.91585849191815893</v>
      </c>
      <c r="AE305">
        <v>0.65911580443142637</v>
      </c>
      <c r="AH305">
        <v>0.1399189840395777</v>
      </c>
      <c r="AI305">
        <v>0.21145413515760192</v>
      </c>
      <c r="AJ305">
        <v>0.19475375031279107</v>
      </c>
      <c r="AK305">
        <v>0.11916535123337735</v>
      </c>
      <c r="AL305">
        <v>8.8133798818022191E-2</v>
      </c>
      <c r="AM305">
        <v>8.144382221894364E-2</v>
      </c>
      <c r="AN305">
        <v>2.6551007789764602E-2</v>
      </c>
      <c r="AO305">
        <v>7.5503159638222295E-2</v>
      </c>
      <c r="AR305">
        <v>1.0212817327844848E-3</v>
      </c>
      <c r="AS305">
        <v>4.6898376821665755E-3</v>
      </c>
      <c r="AT305">
        <v>0.10055012845627098</v>
      </c>
      <c r="AU305">
        <v>2.0235202485292536E-3</v>
      </c>
      <c r="AV305">
        <v>2.2398148060325251E-3</v>
      </c>
      <c r="AW305">
        <v>3.3624818861054716E-3</v>
      </c>
      <c r="AX305">
        <v>4.4465466282850308E-4</v>
      </c>
      <c r="AY305">
        <v>5.3061741313298327E-4</v>
      </c>
      <c r="BB305">
        <v>4.4934490264075082E-2</v>
      </c>
      <c r="BC305">
        <v>7.4723099087593892E-2</v>
      </c>
      <c r="BE305">
        <v>32653.778665154667</v>
      </c>
      <c r="BF305">
        <v>20.965823243585415</v>
      </c>
      <c r="BG305">
        <v>34504.702407088422</v>
      </c>
      <c r="BH305">
        <v>20.987077475000852</v>
      </c>
    </row>
    <row r="306" spans="3:60" x14ac:dyDescent="0.2">
      <c r="C306" s="138">
        <v>34048.84526724965</v>
      </c>
      <c r="D306" s="138">
        <v>21.149871692371246</v>
      </c>
      <c r="E306" s="138">
        <v>36142.659864216141</v>
      </c>
      <c r="F306" s="138">
        <v>21.153265827648557</v>
      </c>
      <c r="G306" s="138">
        <v>-2093.8145969664911</v>
      </c>
      <c r="H306" s="138">
        <v>-3.3941352773112499E-3</v>
      </c>
      <c r="N306" s="138"/>
      <c r="O306" s="138"/>
      <c r="P306" s="138"/>
      <c r="R306">
        <v>240.59033031911676</v>
      </c>
      <c r="S306">
        <v>52.712423766624944</v>
      </c>
      <c r="T306">
        <v>232.28834822706244</v>
      </c>
      <c r="U306">
        <v>103.10755554286835</v>
      </c>
      <c r="X306">
        <v>0.90059255655233872</v>
      </c>
      <c r="Y306">
        <v>0.59430141507772416</v>
      </c>
      <c r="Z306">
        <v>0.54831119970096509</v>
      </c>
      <c r="AA306">
        <v>0.50383332899094935</v>
      </c>
      <c r="AB306">
        <v>0.79812757793925693</v>
      </c>
      <c r="AC306">
        <v>0.70237702418831571</v>
      </c>
      <c r="AD306">
        <v>0.64135245730369661</v>
      </c>
      <c r="AE306">
        <v>0.77854603080727425</v>
      </c>
      <c r="AH306">
        <v>0.16063404561504679</v>
      </c>
      <c r="AI306">
        <v>0.11741474582523825</v>
      </c>
      <c r="AJ306">
        <v>7.7239904317098595E-2</v>
      </c>
      <c r="AK306">
        <v>9.1498791407838231E-2</v>
      </c>
      <c r="AL306">
        <v>0.13487336051984478</v>
      </c>
      <c r="AM306">
        <v>0.13036797460650362</v>
      </c>
      <c r="AN306">
        <v>0.17800424596610753</v>
      </c>
      <c r="AO306">
        <v>0.19982121256913499</v>
      </c>
      <c r="AR306">
        <v>9.5924812938119608E-4</v>
      </c>
      <c r="AS306">
        <v>4.2318698703716845E-3</v>
      </c>
      <c r="AT306">
        <v>9.9242051241119594E-2</v>
      </c>
      <c r="AU306">
        <v>2.0698147888954521E-3</v>
      </c>
      <c r="AV306">
        <v>1.9424910403479342E-3</v>
      </c>
      <c r="AW306">
        <v>3.2344286100866467E-3</v>
      </c>
      <c r="AX306">
        <v>4.2503700904905628E-4</v>
      </c>
      <c r="AY306">
        <v>4.3337542061889893E-4</v>
      </c>
      <c r="BB306">
        <v>5.3490718359168743E-2</v>
      </c>
      <c r="BC306">
        <v>9.9186102284393951E-2</v>
      </c>
      <c r="BE306">
        <v>34048.84526724965</v>
      </c>
      <c r="BF306">
        <v>21.149871692371246</v>
      </c>
      <c r="BG306">
        <v>36142.659864216141</v>
      </c>
      <c r="BH306">
        <v>21.153265827648557</v>
      </c>
    </row>
    <row r="307" spans="3:60" x14ac:dyDescent="0.2">
      <c r="C307" s="138">
        <v>34657.356979910946</v>
      </c>
      <c r="D307" s="138">
        <v>19.171691437720849</v>
      </c>
      <c r="E307" s="138">
        <v>36618.118100904008</v>
      </c>
      <c r="F307" s="138">
        <v>19.121391107259559</v>
      </c>
      <c r="G307" s="138">
        <v>-1960.7611209930619</v>
      </c>
      <c r="H307" s="138">
        <v>5.0300330461290343E-2</v>
      </c>
      <c r="N307" s="138"/>
      <c r="O307" s="138"/>
      <c r="P307" s="138"/>
      <c r="R307">
        <v>77.246061150374516</v>
      </c>
      <c r="S307">
        <v>56.03222469779228</v>
      </c>
      <c r="T307">
        <v>234.17995352303106</v>
      </c>
      <c r="U307">
        <v>91.701996963923492</v>
      </c>
      <c r="X307">
        <v>0.73237151745145046</v>
      </c>
      <c r="Y307">
        <v>0.768948417787093</v>
      </c>
      <c r="Z307">
        <v>0.57624823404374392</v>
      </c>
      <c r="AA307">
        <v>0.65847469443586248</v>
      </c>
      <c r="AB307">
        <v>0.87529125085103021</v>
      </c>
      <c r="AC307">
        <v>0.64844665597862094</v>
      </c>
      <c r="AD307">
        <v>0.88599334491508075</v>
      </c>
      <c r="AE307">
        <v>0.79838332194844897</v>
      </c>
      <c r="AH307">
        <v>0.11495266486513045</v>
      </c>
      <c r="AI307">
        <v>0.1249468452626028</v>
      </c>
      <c r="AJ307">
        <v>0.10394284436874257</v>
      </c>
      <c r="AK307">
        <v>0.13108758592919778</v>
      </c>
      <c r="AL307">
        <v>4.0574891199888219E-2</v>
      </c>
      <c r="AM307">
        <v>0.10122863880188471</v>
      </c>
      <c r="AN307">
        <v>8.1288063322631721E-2</v>
      </c>
      <c r="AO307">
        <v>0.11110655987929419</v>
      </c>
      <c r="AR307">
        <v>7.6933055978971885E-4</v>
      </c>
      <c r="AS307">
        <v>4.6190423407591608E-3</v>
      </c>
      <c r="AT307">
        <v>0.10075004825712686</v>
      </c>
      <c r="AU307">
        <v>2.0307126478752435E-3</v>
      </c>
      <c r="AV307">
        <v>1.932278503624328E-3</v>
      </c>
      <c r="AW307">
        <v>3.5330659343079107E-3</v>
      </c>
      <c r="AX307">
        <v>4.3372458076040843E-4</v>
      </c>
      <c r="AY307">
        <v>4.1470036557295857E-4</v>
      </c>
      <c r="BB307">
        <v>6.5556476557700472E-2</v>
      </c>
      <c r="BC307">
        <v>3.9013377430943928E-2</v>
      </c>
      <c r="BE307">
        <v>34657.356979910946</v>
      </c>
      <c r="BF307">
        <v>19.171691437720849</v>
      </c>
      <c r="BG307">
        <v>36618.118100904008</v>
      </c>
      <c r="BH307">
        <v>19.121391107259559</v>
      </c>
    </row>
    <row r="308" spans="3:60" x14ac:dyDescent="0.2">
      <c r="C308" s="138">
        <v>35547.677291993998</v>
      </c>
      <c r="D308" s="138">
        <v>21.187516361925265</v>
      </c>
      <c r="E308" s="138">
        <v>37897.753033391316</v>
      </c>
      <c r="F308" s="138">
        <v>21.164775542882577</v>
      </c>
      <c r="G308" s="138">
        <v>-2350.0757413973188</v>
      </c>
      <c r="H308" s="138">
        <v>2.2740819042688543E-2</v>
      </c>
      <c r="N308" s="138"/>
      <c r="O308" s="138"/>
      <c r="P308" s="138"/>
      <c r="R308">
        <v>283.03993954922208</v>
      </c>
      <c r="S308">
        <v>71.246683321875452</v>
      </c>
      <c r="T308">
        <v>306.54183091730414</v>
      </c>
      <c r="U308">
        <v>110.30783085577841</v>
      </c>
      <c r="X308">
        <v>0.8624505028574182</v>
      </c>
      <c r="Y308">
        <v>0.77654761121864468</v>
      </c>
      <c r="Z308">
        <v>0.83012678807634488</v>
      </c>
      <c r="AA308">
        <v>0.6659468850448873</v>
      </c>
      <c r="AB308">
        <v>0.77586752962737604</v>
      </c>
      <c r="AC308">
        <v>0.80506426261904163</v>
      </c>
      <c r="AD308">
        <v>0.61393279454692895</v>
      </c>
      <c r="AE308">
        <v>0.82030152349428131</v>
      </c>
      <c r="AH308">
        <v>9.9699481567325887E-2</v>
      </c>
      <c r="AI308">
        <v>0.13225145742695088</v>
      </c>
      <c r="AJ308">
        <v>2.8372418932419263E-2</v>
      </c>
      <c r="AK308">
        <v>0.1153626436206262</v>
      </c>
      <c r="AL308">
        <v>0.21814286115903603</v>
      </c>
      <c r="AM308">
        <v>6.4680595766673399E-2</v>
      </c>
      <c r="AN308">
        <v>0.28696168119731291</v>
      </c>
      <c r="AO308">
        <v>0.15599060332888948</v>
      </c>
      <c r="AR308">
        <v>9.370553168278617E-4</v>
      </c>
      <c r="AS308">
        <v>4.2937360708298735E-3</v>
      </c>
      <c r="AT308">
        <v>0.10017374778485855</v>
      </c>
      <c r="AU308">
        <v>2.1707052990321829E-3</v>
      </c>
      <c r="AV308">
        <v>1.9881374646801594E-3</v>
      </c>
      <c r="AW308">
        <v>3.5039981698128386E-3</v>
      </c>
      <c r="AX308">
        <v>2.9361752733194328E-4</v>
      </c>
      <c r="AY308">
        <v>3.9024382486784392E-4</v>
      </c>
      <c r="BB308">
        <v>4.8782852684102575E-2</v>
      </c>
      <c r="BC308">
        <v>7.4831297898678484E-2</v>
      </c>
      <c r="BE308">
        <v>35547.677291993998</v>
      </c>
      <c r="BF308">
        <v>21.187516361925265</v>
      </c>
      <c r="BG308">
        <v>37897.753033391316</v>
      </c>
      <c r="BH308">
        <v>21.164775542882577</v>
      </c>
    </row>
    <row r="309" spans="3:60" x14ac:dyDescent="0.2">
      <c r="C309" s="138">
        <v>33075.074541642454</v>
      </c>
      <c r="D309" s="138">
        <v>21.06979036004461</v>
      </c>
      <c r="E309" s="138">
        <v>35664.473513112876</v>
      </c>
      <c r="F309" s="138">
        <v>21.038702273054476</v>
      </c>
      <c r="G309" s="138">
        <v>-2589.3989714704221</v>
      </c>
      <c r="H309" s="138">
        <v>3.1088086990134656E-2</v>
      </c>
      <c r="N309" s="138"/>
      <c r="O309" s="138"/>
      <c r="P309" s="138"/>
      <c r="R309">
        <v>245.33679555602677</v>
      </c>
      <c r="S309">
        <v>75.959426148219507</v>
      </c>
      <c r="T309">
        <v>256.71058779752775</v>
      </c>
      <c r="U309">
        <v>97.755820860231182</v>
      </c>
      <c r="X309">
        <v>0.72510475632369509</v>
      </c>
      <c r="Y309">
        <v>0.80540326368329973</v>
      </c>
      <c r="Z309">
        <v>0.75145468700748108</v>
      </c>
      <c r="AA309">
        <v>0.95519661368838071</v>
      </c>
      <c r="AB309">
        <v>0.653945032963131</v>
      </c>
      <c r="AC309">
        <v>0.89883386028921408</v>
      </c>
      <c r="AD309">
        <v>0.7453804726778801</v>
      </c>
      <c r="AE309">
        <v>0.69217169692744251</v>
      </c>
      <c r="AH309">
        <v>0.33172617624083944</v>
      </c>
      <c r="AI309">
        <v>9.3628005634447176E-2</v>
      </c>
      <c r="AJ309">
        <v>0.20952239542497053</v>
      </c>
      <c r="AK309">
        <v>8.2576757741464002E-2</v>
      </c>
      <c r="AL309">
        <v>9.9061707869050442E-2</v>
      </c>
      <c r="AM309">
        <v>0.12311478510370288</v>
      </c>
      <c r="AN309">
        <v>0.21866184089245866</v>
      </c>
      <c r="AO309">
        <v>0.30450964302072592</v>
      </c>
      <c r="AR309">
        <v>8.0551236111890147E-4</v>
      </c>
      <c r="AS309">
        <v>4.7994949463936454E-3</v>
      </c>
      <c r="AT309">
        <v>9.9108178385775722E-2</v>
      </c>
      <c r="AU309">
        <v>2.1253983547142585E-3</v>
      </c>
      <c r="AV309">
        <v>2.0442117200454302E-3</v>
      </c>
      <c r="AW309">
        <v>3.620590330527973E-3</v>
      </c>
      <c r="AX309">
        <v>4.5563187198649491E-4</v>
      </c>
      <c r="AY309">
        <v>4.4780679274469826E-4</v>
      </c>
      <c r="BB309">
        <v>5.1460575521983798E-2</v>
      </c>
      <c r="BC309">
        <v>5.1079162438512737E-2</v>
      </c>
      <c r="BE309">
        <v>33075.074541642454</v>
      </c>
      <c r="BF309">
        <v>21.06979036004461</v>
      </c>
      <c r="BG309">
        <v>35664.473513112876</v>
      </c>
      <c r="BH309">
        <v>21.038702273054476</v>
      </c>
    </row>
    <row r="310" spans="3:60" x14ac:dyDescent="0.2">
      <c r="C310" s="138">
        <v>31074.223570581478</v>
      </c>
      <c r="D310" s="138">
        <v>20.728490049710871</v>
      </c>
      <c r="E310" s="138">
        <v>33194.685914042879</v>
      </c>
      <c r="F310" s="138">
        <v>20.689631096311523</v>
      </c>
      <c r="G310" s="138">
        <v>-2120.4623434614005</v>
      </c>
      <c r="H310" s="138">
        <v>3.8858953399348195E-2</v>
      </c>
      <c r="N310" s="138"/>
      <c r="O310" s="138"/>
      <c r="P310" s="138"/>
      <c r="R310">
        <v>99.305605818802661</v>
      </c>
      <c r="S310">
        <v>56.784380945342356</v>
      </c>
      <c r="T310">
        <v>201.27774338788933</v>
      </c>
      <c r="U310">
        <v>112.501216837405</v>
      </c>
      <c r="X310">
        <v>0.70623327403175551</v>
      </c>
      <c r="Y310">
        <v>0.90723491406914258</v>
      </c>
      <c r="Z310">
        <v>0.8944003846036036</v>
      </c>
      <c r="AA310">
        <v>0.62644835944955657</v>
      </c>
      <c r="AB310">
        <v>0.59529303921246035</v>
      </c>
      <c r="AC310">
        <v>0.57225604699786214</v>
      </c>
      <c r="AD310">
        <v>0.48405411715771179</v>
      </c>
      <c r="AE310">
        <v>0.83061403835023917</v>
      </c>
      <c r="AH310">
        <v>0.33464959406993156</v>
      </c>
      <c r="AI310">
        <v>0.18013732294183704</v>
      </c>
      <c r="AJ310">
        <v>0.29949093067005705</v>
      </c>
      <c r="AK310">
        <v>0.11502538040498289</v>
      </c>
      <c r="AL310">
        <v>4.6365926655820067E-2</v>
      </c>
      <c r="AM310">
        <v>8.128174190681392E-2</v>
      </c>
      <c r="AN310">
        <v>0.18142838565985075</v>
      </c>
      <c r="AO310">
        <v>0.22308083998151851</v>
      </c>
      <c r="AR310">
        <v>8.4643283922695815E-4</v>
      </c>
      <c r="AS310">
        <v>4.2409338849036258E-3</v>
      </c>
      <c r="AT310">
        <v>0.10081224076322437</v>
      </c>
      <c r="AU310">
        <v>1.7992460171764987E-3</v>
      </c>
      <c r="AV310">
        <v>1.9721455447945634E-3</v>
      </c>
      <c r="AW310">
        <v>3.4427970849862932E-3</v>
      </c>
      <c r="AX310">
        <v>2.7421152420453423E-4</v>
      </c>
      <c r="AY310">
        <v>3.4254518856379883E-4</v>
      </c>
      <c r="BB310">
        <v>4.112468304242748E-2</v>
      </c>
      <c r="BC310">
        <v>8.9585160018134546E-2</v>
      </c>
      <c r="BE310">
        <v>31074.223570581478</v>
      </c>
      <c r="BF310">
        <v>20.728490049710871</v>
      </c>
      <c r="BG310">
        <v>33194.685914042879</v>
      </c>
      <c r="BH310">
        <v>20.689631096311523</v>
      </c>
    </row>
    <row r="311" spans="3:60" x14ac:dyDescent="0.2">
      <c r="C311" s="138">
        <v>31547.595379861406</v>
      </c>
      <c r="D311" s="138">
        <v>20.908383336206953</v>
      </c>
      <c r="E311" s="138">
        <v>34174.347710185059</v>
      </c>
      <c r="F311" s="138">
        <v>20.850780224499314</v>
      </c>
      <c r="G311" s="138">
        <v>-2626.7523303236521</v>
      </c>
      <c r="H311" s="138">
        <v>5.7603111707638988E-2</v>
      </c>
      <c r="N311" s="138"/>
      <c r="O311" s="138"/>
      <c r="P311" s="138"/>
      <c r="R311">
        <v>210.53924140560719</v>
      </c>
      <c r="S311">
        <v>63.79394623267946</v>
      </c>
      <c r="T311">
        <v>270.76753526986226</v>
      </c>
      <c r="U311">
        <v>100.70946463880878</v>
      </c>
      <c r="X311">
        <v>0.73014606200685006</v>
      </c>
      <c r="Y311">
        <v>0.60866902050060734</v>
      </c>
      <c r="Z311">
        <v>0.92630234382152166</v>
      </c>
      <c r="AA311">
        <v>0.6988249294181732</v>
      </c>
      <c r="AB311">
        <v>0.76593729761959828</v>
      </c>
      <c r="AC311">
        <v>0.6048918976964196</v>
      </c>
      <c r="AD311">
        <v>0.79773921920326663</v>
      </c>
      <c r="AE311">
        <v>0.86285400359587372</v>
      </c>
      <c r="AH311">
        <v>1.7733942127483582E-2</v>
      </c>
      <c r="AI311">
        <v>0.14016083531765489</v>
      </c>
      <c r="AJ311">
        <v>0.13863945348218076</v>
      </c>
      <c r="AK311">
        <v>0.22226709736332184</v>
      </c>
      <c r="AL311">
        <v>4.5776346016408009E-2</v>
      </c>
      <c r="AM311">
        <v>0.12187210609285581</v>
      </c>
      <c r="AN311">
        <v>0.16381244969264297</v>
      </c>
      <c r="AO311">
        <v>0.20756594974043419</v>
      </c>
      <c r="AR311">
        <v>1.0743738220441168E-3</v>
      </c>
      <c r="AS311">
        <v>4.5096569204100545E-3</v>
      </c>
      <c r="AT311">
        <v>0.10159808887123811</v>
      </c>
      <c r="AU311">
        <v>2.1037099140914783E-3</v>
      </c>
      <c r="AV311">
        <v>2.0511436868420052E-3</v>
      </c>
      <c r="AW311">
        <v>2.9491430871930028E-3</v>
      </c>
      <c r="AX311">
        <v>3.517662827856251E-4</v>
      </c>
      <c r="AY311">
        <v>4.3749947473081162E-4</v>
      </c>
      <c r="BB311">
        <v>4.5105675711741476E-2</v>
      </c>
      <c r="BC311">
        <v>3.6001107119329169E-2</v>
      </c>
      <c r="BE311">
        <v>31547.595379861406</v>
      </c>
      <c r="BF311">
        <v>20.908383336206953</v>
      </c>
      <c r="BG311">
        <v>34174.347710185059</v>
      </c>
      <c r="BH311">
        <v>20.850780224499314</v>
      </c>
    </row>
    <row r="312" spans="3:60" x14ac:dyDescent="0.2">
      <c r="C312" s="138">
        <v>31724.234206110523</v>
      </c>
      <c r="D312" s="138">
        <v>20.828162697132495</v>
      </c>
      <c r="E312" s="138">
        <v>33592.606794617423</v>
      </c>
      <c r="F312" s="138">
        <v>20.802646423524187</v>
      </c>
      <c r="G312" s="138">
        <v>-1868.3725885068998</v>
      </c>
      <c r="H312" s="138">
        <v>2.5516273608307216E-2</v>
      </c>
      <c r="N312" s="138"/>
      <c r="O312" s="138"/>
      <c r="P312" s="138"/>
      <c r="R312">
        <v>257.78288569656678</v>
      </c>
      <c r="S312">
        <v>66.712069611434757</v>
      </c>
      <c r="T312">
        <v>278.98224067101222</v>
      </c>
      <c r="U312">
        <v>78.386449732155768</v>
      </c>
      <c r="X312">
        <v>0.70200550452809474</v>
      </c>
      <c r="Y312">
        <v>0.77102848321626449</v>
      </c>
      <c r="Z312">
        <v>0.77224975886847436</v>
      </c>
      <c r="AA312">
        <v>0.85489452128924714</v>
      </c>
      <c r="AB312">
        <v>0.78012307721747498</v>
      </c>
      <c r="AC312">
        <v>0.76384573813710355</v>
      </c>
      <c r="AD312">
        <v>0.83899509022063834</v>
      </c>
      <c r="AE312">
        <v>0.90982696792288253</v>
      </c>
      <c r="AH312">
        <v>3.6204201232795108E-2</v>
      </c>
      <c r="AI312">
        <v>0.27418502750749929</v>
      </c>
      <c r="AJ312">
        <v>0.15740168277601374</v>
      </c>
      <c r="AK312">
        <v>0.39885408316587245</v>
      </c>
      <c r="AL312">
        <v>0.24340307659125271</v>
      </c>
      <c r="AM312">
        <v>0.23643538763375072</v>
      </c>
      <c r="AN312">
        <v>0.35776477033765108</v>
      </c>
      <c r="AO312">
        <v>0.17197677611347395</v>
      </c>
      <c r="AR312">
        <v>1.0836276929794275E-3</v>
      </c>
      <c r="AS312">
        <v>4.8237294935187247E-3</v>
      </c>
      <c r="AT312">
        <v>0.10080428663036833</v>
      </c>
      <c r="AU312">
        <v>1.9419132137001114E-3</v>
      </c>
      <c r="AV312">
        <v>1.9726544387268226E-3</v>
      </c>
      <c r="AW312">
        <v>3.3803847046191661E-3</v>
      </c>
      <c r="AX312">
        <v>4.2237413713142047E-4</v>
      </c>
      <c r="AY312">
        <v>4.254102125813053E-4</v>
      </c>
      <c r="BB312">
        <v>5.1777657141654276E-2</v>
      </c>
      <c r="BC312">
        <v>0.10300457755809145</v>
      </c>
      <c r="BE312">
        <v>31724.234206110523</v>
      </c>
      <c r="BF312">
        <v>20.828162697132495</v>
      </c>
      <c r="BG312">
        <v>33592.606794617423</v>
      </c>
      <c r="BH312">
        <v>20.802646423524187</v>
      </c>
    </row>
    <row r="313" spans="3:60" x14ac:dyDescent="0.2">
      <c r="C313" s="138">
        <v>30284.246987479582</v>
      </c>
      <c r="D313" s="138">
        <v>20.667914377068236</v>
      </c>
      <c r="E313" s="138">
        <v>32077.16360327007</v>
      </c>
      <c r="F313" s="138">
        <v>20.637174072520615</v>
      </c>
      <c r="G313" s="138">
        <v>-1792.9166157904874</v>
      </c>
      <c r="H313" s="138">
        <v>3.0740304547620667E-2</v>
      </c>
      <c r="N313" s="138"/>
      <c r="O313" s="138"/>
      <c r="P313" s="138"/>
      <c r="R313">
        <v>234.60935825546545</v>
      </c>
      <c r="S313">
        <v>69.622880803638537</v>
      </c>
      <c r="T313">
        <v>262.38091668804356</v>
      </c>
      <c r="U313">
        <v>101.37188248785539</v>
      </c>
      <c r="X313">
        <v>0.81541598945549931</v>
      </c>
      <c r="Y313">
        <v>0.79635392145665618</v>
      </c>
      <c r="Z313">
        <v>0.84524800556671131</v>
      </c>
      <c r="AA313">
        <v>0.60096503166297555</v>
      </c>
      <c r="AB313">
        <v>0.61736214152068436</v>
      </c>
      <c r="AC313">
        <v>0.77865857751922085</v>
      </c>
      <c r="AD313">
        <v>0.94397918325291497</v>
      </c>
      <c r="AE313">
        <v>0.65733832064164543</v>
      </c>
      <c r="AH313">
        <v>6.9482477981593016E-2</v>
      </c>
      <c r="AI313">
        <v>9.4096379263661323E-2</v>
      </c>
      <c r="AJ313">
        <v>0.16113552084387739</v>
      </c>
      <c r="AK313">
        <v>0.18384588301120841</v>
      </c>
      <c r="AL313">
        <v>8.3934356447097347E-2</v>
      </c>
      <c r="AM313">
        <v>0.22406330224276427</v>
      </c>
      <c r="AN313">
        <v>5.7836145275713013E-2</v>
      </c>
      <c r="AO313">
        <v>5.0649268780273649E-2</v>
      </c>
      <c r="AR313">
        <v>8.9127248696796446E-4</v>
      </c>
      <c r="AS313">
        <v>4.4488748133890751E-3</v>
      </c>
      <c r="AT313">
        <v>9.9703354400952113E-2</v>
      </c>
      <c r="AU313">
        <v>1.981898065829732E-3</v>
      </c>
      <c r="AV313">
        <v>2.1140255421725485E-3</v>
      </c>
      <c r="AW313">
        <v>3.4275374183130314E-3</v>
      </c>
      <c r="AX313">
        <v>3.6154299996877891E-4</v>
      </c>
      <c r="AY313">
        <v>4.4817605520985904E-4</v>
      </c>
      <c r="BB313">
        <v>3.9577081377523728E-2</v>
      </c>
      <c r="BC313">
        <v>1.9255706719853657E-2</v>
      </c>
      <c r="BE313">
        <v>30284.246987479582</v>
      </c>
      <c r="BF313">
        <v>20.667914377068236</v>
      </c>
      <c r="BG313">
        <v>32077.16360327007</v>
      </c>
      <c r="BH313">
        <v>20.637174072520615</v>
      </c>
    </row>
    <row r="314" spans="3:60" x14ac:dyDescent="0.2">
      <c r="C314" s="138">
        <v>30168.462229745073</v>
      </c>
      <c r="D314" s="138">
        <v>21.008178634491419</v>
      </c>
      <c r="E314" s="138">
        <v>31713.302357375389</v>
      </c>
      <c r="F314" s="138">
        <v>21.000620461168499</v>
      </c>
      <c r="G314" s="138">
        <v>-1544.8401276303157</v>
      </c>
      <c r="H314" s="138">
        <v>7.5581733229199699E-3</v>
      </c>
      <c r="N314" s="138"/>
      <c r="O314" s="138"/>
      <c r="P314" s="138"/>
      <c r="R314">
        <v>409.92895627386349</v>
      </c>
      <c r="S314">
        <v>65.453467117591671</v>
      </c>
      <c r="T314">
        <v>256.47476723656075</v>
      </c>
      <c r="U314">
        <v>102.73673521760902</v>
      </c>
      <c r="X314">
        <v>0.84843152626041918</v>
      </c>
      <c r="Y314">
        <v>0.67533117076359039</v>
      </c>
      <c r="Z314">
        <v>0.82766602819220114</v>
      </c>
      <c r="AA314">
        <v>0.54342638075138405</v>
      </c>
      <c r="AB314">
        <v>0.73586477372902248</v>
      </c>
      <c r="AC314">
        <v>0.56526501352524416</v>
      </c>
      <c r="AD314">
        <v>0.75108040006221166</v>
      </c>
      <c r="AE314">
        <v>0.67595206435660438</v>
      </c>
      <c r="AH314">
        <v>0.19065408865778499</v>
      </c>
      <c r="AI314">
        <v>6.4444260710078138E-2</v>
      </c>
      <c r="AJ314">
        <v>6.6654514645201113E-2</v>
      </c>
      <c r="AK314">
        <v>1.0958970431387272E-2</v>
      </c>
      <c r="AL314">
        <v>0.13105954624483951</v>
      </c>
      <c r="AM314">
        <v>0.21268462752991746</v>
      </c>
      <c r="AN314">
        <v>9.5059533171542254E-2</v>
      </c>
      <c r="AO314">
        <v>0.12235838057326864</v>
      </c>
      <c r="AR314">
        <v>1.0087239013191196E-3</v>
      </c>
      <c r="AS314">
        <v>4.9502345216779764E-3</v>
      </c>
      <c r="AT314">
        <v>0.10037759634943721</v>
      </c>
      <c r="AU314">
        <v>1.8835665722695303E-3</v>
      </c>
      <c r="AV314">
        <v>2.1889333685204404E-3</v>
      </c>
      <c r="AW314">
        <v>3.4753076363153168E-3</v>
      </c>
      <c r="AX314">
        <v>3.9354340219743497E-4</v>
      </c>
      <c r="AY314">
        <v>5.0222858863224751E-4</v>
      </c>
      <c r="BB314">
        <v>4.6827389623221603E-2</v>
      </c>
      <c r="BC314">
        <v>6.6581062721040363E-2</v>
      </c>
      <c r="BE314">
        <v>30168.462229745073</v>
      </c>
      <c r="BF314">
        <v>21.008178634491419</v>
      </c>
      <c r="BG314">
        <v>31713.302357375389</v>
      </c>
      <c r="BH314">
        <v>21.000620461168499</v>
      </c>
    </row>
    <row r="315" spans="3:60" x14ac:dyDescent="0.2">
      <c r="C315" s="138">
        <v>31280.361400400718</v>
      </c>
      <c r="D315" s="138">
        <v>21.465229814730957</v>
      </c>
      <c r="E315" s="138">
        <v>33584.841875620012</v>
      </c>
      <c r="F315" s="138">
        <v>21.443871427677639</v>
      </c>
      <c r="G315" s="138">
        <v>-2304.480475219294</v>
      </c>
      <c r="H315" s="138">
        <v>2.1358387053318495E-2</v>
      </c>
      <c r="N315" s="138"/>
      <c r="O315" s="138"/>
      <c r="P315" s="138"/>
      <c r="R315">
        <v>241.79406105372684</v>
      </c>
      <c r="S315">
        <v>70.958731102662199</v>
      </c>
      <c r="T315">
        <v>239.74846529658936</v>
      </c>
      <c r="U315">
        <v>108.89972317356957</v>
      </c>
      <c r="X315">
        <v>0.89779169142472037</v>
      </c>
      <c r="Y315">
        <v>0.87926297104757878</v>
      </c>
      <c r="Z315">
        <v>0.62322666480155009</v>
      </c>
      <c r="AA315">
        <v>0.74546319978531328</v>
      </c>
      <c r="AB315">
        <v>0.63896817853329191</v>
      </c>
      <c r="AC315">
        <v>0.63556765002012117</v>
      </c>
      <c r="AD315">
        <v>0.90525194136214582</v>
      </c>
      <c r="AE315">
        <v>0.91080748479218754</v>
      </c>
      <c r="AH315">
        <v>0.13293816209021725</v>
      </c>
      <c r="AI315">
        <v>0.10030283807052731</v>
      </c>
      <c r="AJ315">
        <v>2.0509732100206124E-2</v>
      </c>
      <c r="AK315">
        <v>0.105911859914809</v>
      </c>
      <c r="AL315">
        <v>0.11839396694034254</v>
      </c>
      <c r="AM315">
        <v>4.3153213578413174E-2</v>
      </c>
      <c r="AN315">
        <v>0.27675807339503955</v>
      </c>
      <c r="AO315">
        <v>0.10768276112848008</v>
      </c>
      <c r="AR315">
        <v>8.8780782268349512E-4</v>
      </c>
      <c r="AS315">
        <v>4.4456496835754162E-3</v>
      </c>
      <c r="AT315">
        <v>0.10021776275195204</v>
      </c>
      <c r="AU315">
        <v>2.0314332662356716E-3</v>
      </c>
      <c r="AV315">
        <v>2.1975669631187911E-3</v>
      </c>
      <c r="AW315">
        <v>3.2682320408030517E-3</v>
      </c>
      <c r="AX315">
        <v>3.3646933206732269E-4</v>
      </c>
      <c r="AY315">
        <v>4.0686386478045513E-4</v>
      </c>
      <c r="BB315">
        <v>5.7858070030999853E-2</v>
      </c>
      <c r="BC315">
        <v>8.2637524695603815E-2</v>
      </c>
      <c r="BE315">
        <v>31280.361400400718</v>
      </c>
      <c r="BF315">
        <v>21.465229814730957</v>
      </c>
      <c r="BG315">
        <v>33584.841875620012</v>
      </c>
      <c r="BH315">
        <v>21.443871427677639</v>
      </c>
    </row>
    <row r="316" spans="3:60" x14ac:dyDescent="0.2">
      <c r="C316" s="138">
        <v>35082.922345178376</v>
      </c>
      <c r="D316" s="138">
        <v>21.13926750704276</v>
      </c>
      <c r="E316" s="138">
        <v>37937.867726232791</v>
      </c>
      <c r="F316" s="138">
        <v>21.140037923338845</v>
      </c>
      <c r="G316" s="138">
        <v>-2854.9453810544146</v>
      </c>
      <c r="H316" s="138">
        <v>-7.7041629608487483E-4</v>
      </c>
      <c r="N316" s="138"/>
      <c r="O316" s="138"/>
      <c r="P316" s="138"/>
      <c r="R316">
        <v>248.65060066088387</v>
      </c>
      <c r="S316">
        <v>59.26822980098364</v>
      </c>
      <c r="T316">
        <v>220.38240145712979</v>
      </c>
      <c r="U316">
        <v>100.27273528826626</v>
      </c>
      <c r="X316">
        <v>0.76523400008868758</v>
      </c>
      <c r="Y316">
        <v>0.8121637432129909</v>
      </c>
      <c r="Z316">
        <v>0.95560520709118946</v>
      </c>
      <c r="AA316">
        <v>0.89114357748696116</v>
      </c>
      <c r="AB316">
        <v>0.63596478567126702</v>
      </c>
      <c r="AC316">
        <v>0.85989484623806067</v>
      </c>
      <c r="AD316">
        <v>0.88656687482630581</v>
      </c>
      <c r="AE316">
        <v>0.55460360677635379</v>
      </c>
      <c r="AH316">
        <v>0.11815202452918494</v>
      </c>
      <c r="AI316">
        <v>0.18861027571251221</v>
      </c>
      <c r="AJ316">
        <v>0.35850022686056127</v>
      </c>
      <c r="AK316">
        <v>0.12411144755064463</v>
      </c>
      <c r="AL316">
        <v>0.26644245925986576</v>
      </c>
      <c r="AM316">
        <v>5.9006673883508221E-2</v>
      </c>
      <c r="AN316">
        <v>3.3236481283875019E-2</v>
      </c>
      <c r="AO316">
        <v>0.14300729714142091</v>
      </c>
      <c r="AR316">
        <v>9.3495647516184111E-4</v>
      </c>
      <c r="AS316">
        <v>4.5628818627424517E-3</v>
      </c>
      <c r="AT316">
        <v>9.9590820981381237E-2</v>
      </c>
      <c r="AU316">
        <v>2.0321023305558406E-3</v>
      </c>
      <c r="AV316">
        <v>1.8967722939842019E-3</v>
      </c>
      <c r="AW316">
        <v>3.5869231906534571E-3</v>
      </c>
      <c r="AX316">
        <v>2.5268374937412581E-4</v>
      </c>
      <c r="AY316">
        <v>4.8210146790717001E-4</v>
      </c>
      <c r="BB316">
        <v>4.9328833583729949E-2</v>
      </c>
      <c r="BC316">
        <v>8.8955341417224276E-2</v>
      </c>
      <c r="BE316">
        <v>35082.922345178376</v>
      </c>
      <c r="BF316">
        <v>21.13926750704276</v>
      </c>
      <c r="BG316">
        <v>37937.867726232791</v>
      </c>
      <c r="BH316">
        <v>21.140037923338845</v>
      </c>
    </row>
    <row r="317" spans="3:60" x14ac:dyDescent="0.2">
      <c r="C317" s="138">
        <v>33211.726215079907</v>
      </c>
      <c r="D317" s="138">
        <v>20.613464666482624</v>
      </c>
      <c r="E317" s="138">
        <v>35169.399841140992</v>
      </c>
      <c r="F317" s="138">
        <v>20.571055224366841</v>
      </c>
      <c r="G317" s="138">
        <v>-1957.6736260610851</v>
      </c>
      <c r="H317" s="138">
        <v>4.2409442115783236E-2</v>
      </c>
      <c r="N317" s="138"/>
      <c r="O317" s="138"/>
      <c r="P317" s="138"/>
      <c r="R317">
        <v>306.69779635000089</v>
      </c>
      <c r="S317">
        <v>56.573970259793718</v>
      </c>
      <c r="T317">
        <v>257.42211339525323</v>
      </c>
      <c r="U317">
        <v>108.74365163105077</v>
      </c>
      <c r="X317">
        <v>0.78202124254265082</v>
      </c>
      <c r="Y317">
        <v>0.75129229122373331</v>
      </c>
      <c r="Z317">
        <v>0.67997145899009115</v>
      </c>
      <c r="AA317">
        <v>0.66635426961505684</v>
      </c>
      <c r="AB317">
        <v>0.77606117920952777</v>
      </c>
      <c r="AC317">
        <v>0.5567571563768704</v>
      </c>
      <c r="AD317">
        <v>0.92142148809410529</v>
      </c>
      <c r="AE317">
        <v>0.78317178456388969</v>
      </c>
      <c r="AH317">
        <v>3.0215757948537147E-2</v>
      </c>
      <c r="AI317">
        <v>7.7564173803321035E-2</v>
      </c>
      <c r="AJ317">
        <v>5.1664374492468301E-3</v>
      </c>
      <c r="AK317">
        <v>0.10943181858951934</v>
      </c>
      <c r="AL317">
        <v>0.11598740866873514</v>
      </c>
      <c r="AM317">
        <v>0.25767095011084562</v>
      </c>
      <c r="AN317">
        <v>0.14890559692395333</v>
      </c>
      <c r="AO317">
        <v>2.8821464689744669E-2</v>
      </c>
      <c r="AR317">
        <v>8.5079358404648508E-4</v>
      </c>
      <c r="AS317">
        <v>4.389356263482377E-3</v>
      </c>
      <c r="AT317">
        <v>9.9870951369540051E-2</v>
      </c>
      <c r="AU317">
        <v>2.1352744090975539E-3</v>
      </c>
      <c r="AV317">
        <v>2.1074238121685518E-3</v>
      </c>
      <c r="AW317">
        <v>3.2965748430656286E-3</v>
      </c>
      <c r="AX317">
        <v>3.7668940053727976E-4</v>
      </c>
      <c r="AY317">
        <v>3.529691680539146E-4</v>
      </c>
      <c r="BB317">
        <v>4.7417151079686352E-2</v>
      </c>
      <c r="BC317">
        <v>7.2285925798970641E-2</v>
      </c>
      <c r="BE317">
        <v>33211.726215079907</v>
      </c>
      <c r="BF317">
        <v>20.613464666482624</v>
      </c>
      <c r="BG317">
        <v>35169.399841140992</v>
      </c>
      <c r="BH317">
        <v>20.571055224366841</v>
      </c>
    </row>
    <row r="318" spans="3:60" x14ac:dyDescent="0.2">
      <c r="C318" s="138">
        <v>36756.787829184221</v>
      </c>
      <c r="D318" s="138">
        <v>21.014658717900016</v>
      </c>
      <c r="E318" s="138">
        <v>39164.064105757672</v>
      </c>
      <c r="F318" s="138">
        <v>21.020173013255146</v>
      </c>
      <c r="G318" s="138">
        <v>-2407.2762765734515</v>
      </c>
      <c r="H318" s="138">
        <v>-5.5142953551303719E-3</v>
      </c>
      <c r="N318" s="138"/>
      <c r="O318" s="138"/>
      <c r="P318" s="138"/>
      <c r="R318">
        <v>319.52419988557932</v>
      </c>
      <c r="S318">
        <v>64.044672776810373</v>
      </c>
      <c r="T318">
        <v>232.44048372663661</v>
      </c>
      <c r="U318">
        <v>94.937997868183587</v>
      </c>
      <c r="X318">
        <v>0.82974419970935842</v>
      </c>
      <c r="Y318">
        <v>0.4603687849585088</v>
      </c>
      <c r="Z318">
        <v>0.81399570239104313</v>
      </c>
      <c r="AA318">
        <v>0.75275192366866917</v>
      </c>
      <c r="AB318">
        <v>0.86684787491950355</v>
      </c>
      <c r="AC318">
        <v>0.83296898255978635</v>
      </c>
      <c r="AD318">
        <v>0.95745132735625038</v>
      </c>
      <c r="AE318">
        <v>0.55359646662110051</v>
      </c>
      <c r="AH318">
        <v>3.9467726146562687E-2</v>
      </c>
      <c r="AI318">
        <v>0.14564680048462475</v>
      </c>
      <c r="AJ318">
        <v>0.2333623256456574</v>
      </c>
      <c r="AK318">
        <v>0.20598839221112919</v>
      </c>
      <c r="AL318">
        <v>0.28484793416368837</v>
      </c>
      <c r="AM318">
        <v>9.2095608192671707E-2</v>
      </c>
      <c r="AN318">
        <v>4.0933084973146627E-2</v>
      </c>
      <c r="AO318">
        <v>2.0115258274255754E-2</v>
      </c>
      <c r="AR318">
        <v>8.8325325947022793E-4</v>
      </c>
      <c r="AS318">
        <v>4.2749106338036431E-3</v>
      </c>
      <c r="AT318">
        <v>9.9691946567232015E-2</v>
      </c>
      <c r="AU318">
        <v>2.0423085603116231E-3</v>
      </c>
      <c r="AV318">
        <v>2.0931849337025854E-3</v>
      </c>
      <c r="AW318">
        <v>3.8257502811661626E-3</v>
      </c>
      <c r="AX318">
        <v>4.3384748123531658E-4</v>
      </c>
      <c r="AY318">
        <v>4.9520068440844778E-4</v>
      </c>
      <c r="BB318">
        <v>4.5637087759609632E-2</v>
      </c>
      <c r="BC318">
        <v>5.1219275086281546E-2</v>
      </c>
      <c r="BE318">
        <v>36756.787829184221</v>
      </c>
      <c r="BF318">
        <v>21.014658717900016</v>
      </c>
      <c r="BG318">
        <v>39164.064105757672</v>
      </c>
      <c r="BH318">
        <v>21.020173013255146</v>
      </c>
    </row>
    <row r="319" spans="3:60" x14ac:dyDescent="0.2">
      <c r="C319" s="138">
        <v>26504.556634629367</v>
      </c>
      <c r="D319" s="138">
        <v>20.453687664054307</v>
      </c>
      <c r="E319" s="138">
        <v>28337.598663429271</v>
      </c>
      <c r="F319" s="138">
        <v>20.395102392334284</v>
      </c>
      <c r="G319" s="138">
        <v>-1833.0420287999041</v>
      </c>
      <c r="H319" s="138">
        <v>5.8585271720023258E-2</v>
      </c>
      <c r="N319" s="138"/>
      <c r="O319" s="138"/>
      <c r="P319" s="138"/>
      <c r="R319">
        <v>182.15803123030565</v>
      </c>
      <c r="S319">
        <v>66.655030527522143</v>
      </c>
      <c r="T319">
        <v>264.15819891287828</v>
      </c>
      <c r="U319">
        <v>116.47822182832455</v>
      </c>
      <c r="X319">
        <v>0.79427174180981275</v>
      </c>
      <c r="Y319">
        <v>0.90899895386619878</v>
      </c>
      <c r="Z319">
        <v>0.88005638328984115</v>
      </c>
      <c r="AA319">
        <v>0.482610372457218</v>
      </c>
      <c r="AB319">
        <v>0.93177281385698674</v>
      </c>
      <c r="AC319">
        <v>0.75943172824505512</v>
      </c>
      <c r="AD319">
        <v>0.55803127812027919</v>
      </c>
      <c r="AE319">
        <v>0.78886230666066126</v>
      </c>
      <c r="AH319">
        <v>0.13646541713115412</v>
      </c>
      <c r="AI319">
        <v>0.15049122658690228</v>
      </c>
      <c r="AJ319">
        <v>0.11588894444781783</v>
      </c>
      <c r="AK319">
        <v>0.12789926608948465</v>
      </c>
      <c r="AL319">
        <v>0.14531445446568081</v>
      </c>
      <c r="AM319">
        <v>0.20792286563352746</v>
      </c>
      <c r="AN319">
        <v>9.8848780705603989E-2</v>
      </c>
      <c r="AO319">
        <v>0.23362860302054178</v>
      </c>
      <c r="AR319">
        <v>7.7546476692064625E-4</v>
      </c>
      <c r="AS319">
        <v>4.4958817884603207E-3</v>
      </c>
      <c r="AT319">
        <v>0.10009680836433865</v>
      </c>
      <c r="AU319">
        <v>2.0079846355772757E-3</v>
      </c>
      <c r="AV319">
        <v>1.8779945299215567E-3</v>
      </c>
      <c r="AW319">
        <v>3.5029405060647001E-3</v>
      </c>
      <c r="AX319">
        <v>3.7862621960347605E-4</v>
      </c>
      <c r="AY319">
        <v>4.5606947902399053E-4</v>
      </c>
      <c r="BB319">
        <v>4.5827322651393367E-2</v>
      </c>
      <c r="BC319">
        <v>3.5007071350827548E-2</v>
      </c>
      <c r="BE319">
        <v>26504.556634629367</v>
      </c>
      <c r="BF319">
        <v>20.453687664054307</v>
      </c>
      <c r="BG319">
        <v>28337.598663429271</v>
      </c>
      <c r="BH319">
        <v>20.395102392334284</v>
      </c>
    </row>
    <row r="320" spans="3:60" x14ac:dyDescent="0.2">
      <c r="C320" s="138">
        <v>31528.284049265287</v>
      </c>
      <c r="D320" s="138">
        <v>21.087577740974048</v>
      </c>
      <c r="E320" s="138">
        <v>34070.079393185966</v>
      </c>
      <c r="F320" s="138">
        <v>21.081441623650345</v>
      </c>
      <c r="G320" s="138">
        <v>-2541.7953439206794</v>
      </c>
      <c r="H320" s="138">
        <v>6.1361173237024502E-3</v>
      </c>
      <c r="N320" s="138"/>
      <c r="O320" s="138"/>
      <c r="P320" s="138"/>
      <c r="R320">
        <v>133.04489008257048</v>
      </c>
      <c r="S320">
        <v>66.613731596010865</v>
      </c>
      <c r="T320">
        <v>234.27378427422019</v>
      </c>
      <c r="U320">
        <v>97.206388137118296</v>
      </c>
      <c r="X320">
        <v>0.88739774248119541</v>
      </c>
      <c r="Y320">
        <v>0.595701378682294</v>
      </c>
      <c r="Z320">
        <v>0.67175779177859274</v>
      </c>
      <c r="AA320">
        <v>0.96782417051571223</v>
      </c>
      <c r="AB320">
        <v>0.48777983441812933</v>
      </c>
      <c r="AC320">
        <v>0.83255935168237094</v>
      </c>
      <c r="AD320">
        <v>0.85707313953132125</v>
      </c>
      <c r="AE320">
        <v>0.81362091507156253</v>
      </c>
      <c r="AH320">
        <v>0.23003841146328752</v>
      </c>
      <c r="AI320">
        <v>1.8450360558536438E-2</v>
      </c>
      <c r="AJ320">
        <v>0.12175344454182313</v>
      </c>
      <c r="AK320">
        <v>0.14365212380940151</v>
      </c>
      <c r="AL320">
        <v>6.3253941458728424E-2</v>
      </c>
      <c r="AM320">
        <v>7.3263837360350248E-2</v>
      </c>
      <c r="AN320">
        <v>2.9574250021936255E-2</v>
      </c>
      <c r="AO320">
        <v>0.163986705892603</v>
      </c>
      <c r="AR320">
        <v>8.4905129120483832E-4</v>
      </c>
      <c r="AS320">
        <v>4.3922343422994172E-3</v>
      </c>
      <c r="AT320">
        <v>0.10143798020926686</v>
      </c>
      <c r="AU320">
        <v>2.0344372972164182E-3</v>
      </c>
      <c r="AV320">
        <v>2.000783125498673E-3</v>
      </c>
      <c r="AW320">
        <v>3.555696349912707E-3</v>
      </c>
      <c r="AX320">
        <v>5.2724456661967789E-4</v>
      </c>
      <c r="AY320">
        <v>4.1248268865837028E-4</v>
      </c>
      <c r="BB320">
        <v>4.299536422279434E-2</v>
      </c>
      <c r="BC320">
        <v>4.2770230503739744E-2</v>
      </c>
      <c r="BE320">
        <v>31528.284049265287</v>
      </c>
      <c r="BF320">
        <v>21.087577740974048</v>
      </c>
      <c r="BG320">
        <v>34070.079393185966</v>
      </c>
      <c r="BH320">
        <v>21.081441623650345</v>
      </c>
    </row>
    <row r="321" spans="3:60" x14ac:dyDescent="0.2">
      <c r="C321" s="138">
        <v>32656.264276901646</v>
      </c>
      <c r="D321" s="138">
        <v>21.337589356790499</v>
      </c>
      <c r="E321" s="138">
        <v>34759.053197838562</v>
      </c>
      <c r="F321" s="138">
        <v>21.347853524464984</v>
      </c>
      <c r="G321" s="138">
        <v>-2102.7889209369168</v>
      </c>
      <c r="H321" s="138">
        <v>-1.0264167674485236E-2</v>
      </c>
      <c r="N321" s="138"/>
      <c r="O321" s="138"/>
      <c r="P321" s="138"/>
      <c r="R321">
        <v>399.48782646233224</v>
      </c>
      <c r="S321">
        <v>59.862872822896769</v>
      </c>
      <c r="T321">
        <v>250.72513053142069</v>
      </c>
      <c r="U321">
        <v>92.74763735819549</v>
      </c>
      <c r="X321">
        <v>0.73345574181581108</v>
      </c>
      <c r="Y321">
        <v>0.80758278903515524</v>
      </c>
      <c r="Z321">
        <v>0.62410044714220925</v>
      </c>
      <c r="AA321">
        <v>0.81355474807213524</v>
      </c>
      <c r="AB321">
        <v>0.75413629271782334</v>
      </c>
      <c r="AC321">
        <v>0.83598931068812943</v>
      </c>
      <c r="AD321">
        <v>0.87372302587832928</v>
      </c>
      <c r="AE321">
        <v>0.83577060072525444</v>
      </c>
      <c r="AH321">
        <v>9.925140469059035E-2</v>
      </c>
      <c r="AI321">
        <v>0.13870287588816799</v>
      </c>
      <c r="AJ321">
        <v>0.14860329417009632</v>
      </c>
      <c r="AK321">
        <v>0.18887557166610014</v>
      </c>
      <c r="AL321">
        <v>0.10934353532893437</v>
      </c>
      <c r="AM321">
        <v>7.9137271483246563E-2</v>
      </c>
      <c r="AN321">
        <v>6.9763319566728321E-2</v>
      </c>
      <c r="AO321">
        <v>3.7318673834607408E-2</v>
      </c>
      <c r="AR321">
        <v>9.1096999779194388E-4</v>
      </c>
      <c r="AS321">
        <v>4.2194296832925374E-3</v>
      </c>
      <c r="AT321">
        <v>0.10033945177770753</v>
      </c>
      <c r="AU321">
        <v>2.2394505689385946E-3</v>
      </c>
      <c r="AV321">
        <v>2.0837159737502331E-3</v>
      </c>
      <c r="AW321">
        <v>3.5110900696114777E-3</v>
      </c>
      <c r="AX321">
        <v>3.4119045269543713E-4</v>
      </c>
      <c r="AY321">
        <v>3.7861980255781243E-4</v>
      </c>
      <c r="BB321">
        <v>5.1291636610808267E-2</v>
      </c>
      <c r="BC321">
        <v>4.6048770817321186E-2</v>
      </c>
      <c r="BE321">
        <v>32656.264276901646</v>
      </c>
      <c r="BF321">
        <v>21.337589356790499</v>
      </c>
      <c r="BG321">
        <v>34759.053197838562</v>
      </c>
      <c r="BH321">
        <v>21.347853524464984</v>
      </c>
    </row>
    <row r="322" spans="3:60" x14ac:dyDescent="0.2">
      <c r="C322" s="138">
        <v>29076.876424305243</v>
      </c>
      <c r="D322" s="138">
        <v>20.945212258783716</v>
      </c>
      <c r="E322" s="138">
        <v>30949.963827880219</v>
      </c>
      <c r="F322" s="138">
        <v>20.952147902812762</v>
      </c>
      <c r="G322" s="138">
        <v>-1873.0874035749766</v>
      </c>
      <c r="H322" s="138">
        <v>-6.9356440290455623E-3</v>
      </c>
      <c r="N322" s="138"/>
      <c r="O322" s="138"/>
      <c r="P322" s="138"/>
      <c r="R322">
        <v>168.30477881358075</v>
      </c>
      <c r="S322">
        <v>57.990471579491867</v>
      </c>
      <c r="T322">
        <v>232.95435247010616</v>
      </c>
      <c r="U322">
        <v>97.534297932312271</v>
      </c>
      <c r="X322">
        <v>0.70238552585294989</v>
      </c>
      <c r="Y322">
        <v>0.72789002566710004</v>
      </c>
      <c r="Z322">
        <v>0.65575548582750065</v>
      </c>
      <c r="AA322">
        <v>0.83253203374333196</v>
      </c>
      <c r="AB322">
        <v>0.62797143185282933</v>
      </c>
      <c r="AC322">
        <v>0.56558535876552551</v>
      </c>
      <c r="AD322">
        <v>0.65021759675756929</v>
      </c>
      <c r="AE322">
        <v>0.70404775654981067</v>
      </c>
      <c r="AH322">
        <v>0.29259069763944456</v>
      </c>
      <c r="AI322">
        <v>0.11756686746893008</v>
      </c>
      <c r="AJ322">
        <v>0.3209825690842536</v>
      </c>
      <c r="AK322">
        <v>0.229235852103302</v>
      </c>
      <c r="AL322">
        <v>8.2900595969034874E-2</v>
      </c>
      <c r="AM322">
        <v>8.2828465896527481E-2</v>
      </c>
      <c r="AN322">
        <v>0.1830699878391927</v>
      </c>
      <c r="AO322">
        <v>7.9298058888412681E-2</v>
      </c>
      <c r="AR322">
        <v>7.2256164270695171E-4</v>
      </c>
      <c r="AS322">
        <v>4.7169670018717413E-3</v>
      </c>
      <c r="AT322">
        <v>9.9165579763183895E-2</v>
      </c>
      <c r="AU322">
        <v>1.9499672754013484E-3</v>
      </c>
      <c r="AV322">
        <v>1.9949445972819928E-3</v>
      </c>
      <c r="AW322">
        <v>3.2722405207305694E-3</v>
      </c>
      <c r="AX322">
        <v>4.2955043749248745E-4</v>
      </c>
      <c r="AY322">
        <v>4.1413620220454809E-4</v>
      </c>
      <c r="BB322">
        <v>4.2669334610748434E-2</v>
      </c>
      <c r="BC322">
        <v>2.6090091274071327E-2</v>
      </c>
      <c r="BE322">
        <v>29076.876424305243</v>
      </c>
      <c r="BF322">
        <v>20.945212258783716</v>
      </c>
      <c r="BG322">
        <v>30949.963827880219</v>
      </c>
      <c r="BH322">
        <v>20.952147902812762</v>
      </c>
    </row>
    <row r="323" spans="3:60" x14ac:dyDescent="0.2">
      <c r="C323" s="138">
        <v>26948.382017203312</v>
      </c>
      <c r="D323" s="138">
        <v>21.415731410963538</v>
      </c>
      <c r="E323" s="138">
        <v>29377.792288211214</v>
      </c>
      <c r="F323" s="138">
        <v>21.385220215695952</v>
      </c>
      <c r="G323" s="138">
        <v>-2429.4102710079023</v>
      </c>
      <c r="H323" s="138">
        <v>3.0511195267585833E-2</v>
      </c>
      <c r="N323" s="138"/>
      <c r="O323" s="138"/>
      <c r="P323" s="138"/>
      <c r="R323">
        <v>147.07473816284713</v>
      </c>
      <c r="S323">
        <v>70.981170569802288</v>
      </c>
      <c r="T323">
        <v>216.74885317917074</v>
      </c>
      <c r="U323">
        <v>98.067465665865669</v>
      </c>
      <c r="X323">
        <v>0.74006157173016507</v>
      </c>
      <c r="Y323">
        <v>0.7633146357118894</v>
      </c>
      <c r="Z323">
        <v>0.83469895930280802</v>
      </c>
      <c r="AA323">
        <v>0.79593913743891798</v>
      </c>
      <c r="AB323">
        <v>0.66888828810816914</v>
      </c>
      <c r="AC323">
        <v>0.68797931073273866</v>
      </c>
      <c r="AD323">
        <v>0.8195409842725363</v>
      </c>
      <c r="AE323">
        <v>0.62535300585857456</v>
      </c>
      <c r="AH323">
        <v>8.5003799135702107E-2</v>
      </c>
      <c r="AI323">
        <v>5.4208426579780866E-2</v>
      </c>
      <c r="AJ323">
        <v>0.30783360865238751</v>
      </c>
      <c r="AK323">
        <v>0.11777619471737033</v>
      </c>
      <c r="AL323">
        <v>0.18295522072924109</v>
      </c>
      <c r="AM323">
        <v>0.15494953058330785</v>
      </c>
      <c r="AN323">
        <v>4.0448327201507484E-2</v>
      </c>
      <c r="AO323">
        <v>3.5598816759057406E-2</v>
      </c>
      <c r="AR323">
        <v>8.7833368270994893E-4</v>
      </c>
      <c r="AS323">
        <v>4.4090354383289508E-3</v>
      </c>
      <c r="AT323">
        <v>0.10019248121352131</v>
      </c>
      <c r="AU323">
        <v>2.0494912791908515E-3</v>
      </c>
      <c r="AV323">
        <v>2.1676850111246315E-3</v>
      </c>
      <c r="AW323">
        <v>3.3464074476511761E-3</v>
      </c>
      <c r="AX323">
        <v>3.8590692388162565E-4</v>
      </c>
      <c r="AY323">
        <v>4.7306862998530708E-4</v>
      </c>
      <c r="BB323">
        <v>5.7270957794147037E-2</v>
      </c>
      <c r="BC323">
        <v>3.2979248011368874E-2</v>
      </c>
      <c r="BE323">
        <v>26948.382017203312</v>
      </c>
      <c r="BF323">
        <v>21.415731410963538</v>
      </c>
      <c r="BG323">
        <v>29377.792288211214</v>
      </c>
      <c r="BH323">
        <v>21.385220215695952</v>
      </c>
    </row>
    <row r="324" spans="3:60" x14ac:dyDescent="0.2">
      <c r="C324" s="138">
        <v>25931.514561297965</v>
      </c>
      <c r="D324" s="138">
        <v>20.824008512710535</v>
      </c>
      <c r="E324" s="138">
        <v>27680.647455412549</v>
      </c>
      <c r="F324" s="138">
        <v>20.781828989086918</v>
      </c>
      <c r="G324" s="138">
        <v>-1749.1328941145839</v>
      </c>
      <c r="H324" s="138">
        <v>4.2179523623616433E-2</v>
      </c>
      <c r="N324" s="138"/>
      <c r="O324" s="138"/>
      <c r="P324" s="138"/>
      <c r="R324">
        <v>269.18791351756823</v>
      </c>
      <c r="S324">
        <v>68.698025479974689</v>
      </c>
      <c r="T324">
        <v>275.90280251174056</v>
      </c>
      <c r="U324">
        <v>99.955906340156048</v>
      </c>
      <c r="X324">
        <v>0.68179753023714962</v>
      </c>
      <c r="Y324">
        <v>0.54520181551650837</v>
      </c>
      <c r="Z324">
        <v>0.77416667271528627</v>
      </c>
      <c r="AA324">
        <v>0.74813357967053362</v>
      </c>
      <c r="AB324">
        <v>0.78976276773722531</v>
      </c>
      <c r="AC324">
        <v>0.78465846370819792</v>
      </c>
      <c r="AD324">
        <v>0.859054721180598</v>
      </c>
      <c r="AE324">
        <v>0.86318075731590471</v>
      </c>
      <c r="AH324">
        <v>5.035706738006851E-2</v>
      </c>
      <c r="AI324">
        <v>0.12115388207771294</v>
      </c>
      <c r="AJ324">
        <v>0.2059889581246469</v>
      </c>
      <c r="AK324">
        <v>2.4552084111519434E-2</v>
      </c>
      <c r="AL324">
        <v>0.39882460720893398</v>
      </c>
      <c r="AM324">
        <v>0.25194990404683593</v>
      </c>
      <c r="AN324">
        <v>9.5850867831273279E-2</v>
      </c>
      <c r="AO324">
        <v>1.6955548923032637E-2</v>
      </c>
      <c r="AR324">
        <v>8.2400454054809493E-4</v>
      </c>
      <c r="AS324">
        <v>4.3293935568368613E-3</v>
      </c>
      <c r="AT324">
        <v>0.10005764627287783</v>
      </c>
      <c r="AU324">
        <v>2.1895634583897206E-3</v>
      </c>
      <c r="AV324">
        <v>2.1792700296401346E-3</v>
      </c>
      <c r="AW324">
        <v>3.5908438293613676E-3</v>
      </c>
      <c r="AX324">
        <v>3.7683570574275157E-4</v>
      </c>
      <c r="AY324">
        <v>5.2801686636672063E-4</v>
      </c>
      <c r="BB324">
        <v>5.5039378829167873E-2</v>
      </c>
      <c r="BC324">
        <v>3.0479108375432058E-2</v>
      </c>
      <c r="BE324">
        <v>25931.514561297965</v>
      </c>
      <c r="BF324">
        <v>20.824008512710535</v>
      </c>
      <c r="BG324">
        <v>27680.647455412549</v>
      </c>
      <c r="BH324">
        <v>20.781828989086918</v>
      </c>
    </row>
    <row r="325" spans="3:60" x14ac:dyDescent="0.2">
      <c r="C325" s="138">
        <v>26490.331269277558</v>
      </c>
      <c r="D325" s="138">
        <v>19.810795794687472</v>
      </c>
      <c r="E325" s="138">
        <v>28135.113054338515</v>
      </c>
      <c r="F325" s="138">
        <v>19.780259576278223</v>
      </c>
      <c r="G325" s="138">
        <v>-1644.7817850609572</v>
      </c>
      <c r="H325" s="138">
        <v>3.0536218409249472E-2</v>
      </c>
      <c r="N325" s="138"/>
      <c r="O325" s="138"/>
      <c r="P325" s="138"/>
      <c r="R325">
        <v>199.58562768181952</v>
      </c>
      <c r="S325">
        <v>58.810942593197566</v>
      </c>
      <c r="T325">
        <v>239.95593327183991</v>
      </c>
      <c r="U325">
        <v>95.360223005151383</v>
      </c>
      <c r="X325">
        <v>0.81979868963186042</v>
      </c>
      <c r="Y325">
        <v>0.76793594165085044</v>
      </c>
      <c r="Z325">
        <v>0.76175872363413544</v>
      </c>
      <c r="AA325">
        <v>0.71500083170167517</v>
      </c>
      <c r="AB325">
        <v>0.78612647689631487</v>
      </c>
      <c r="AC325">
        <v>0.77245237288448143</v>
      </c>
      <c r="AD325">
        <v>0.84187453904048593</v>
      </c>
      <c r="AE325">
        <v>0.83257403189053059</v>
      </c>
      <c r="AH325">
        <v>0.13425607490874425</v>
      </c>
      <c r="AI325">
        <v>0.13180430761608675</v>
      </c>
      <c r="AJ325">
        <v>9.8559757130034509E-3</v>
      </c>
      <c r="AK325">
        <v>0.12056904844599081</v>
      </c>
      <c r="AL325">
        <v>7.3640696269964945E-2</v>
      </c>
      <c r="AM325">
        <v>3.0716634666394294E-2</v>
      </c>
      <c r="AN325">
        <v>5.7634600256069035E-2</v>
      </c>
      <c r="AO325">
        <v>0.15932580256544915</v>
      </c>
      <c r="AR325">
        <v>8.1084880276801696E-4</v>
      </c>
      <c r="AS325">
        <v>4.5238172689964218E-3</v>
      </c>
      <c r="AT325">
        <v>0.10163030609835622</v>
      </c>
      <c r="AU325">
        <v>2.1786452413582458E-3</v>
      </c>
      <c r="AV325">
        <v>1.5687602484762476E-3</v>
      </c>
      <c r="AW325">
        <v>3.6466279758040621E-3</v>
      </c>
      <c r="AX325">
        <v>4.6306577813659544E-4</v>
      </c>
      <c r="AY325">
        <v>3.6512653378652351E-4</v>
      </c>
      <c r="BB325">
        <v>4.8468618776580548E-2</v>
      </c>
      <c r="BC325">
        <v>1.9027696747128401E-2</v>
      </c>
      <c r="BE325">
        <v>26490.331269277558</v>
      </c>
      <c r="BF325">
        <v>19.810795794687472</v>
      </c>
      <c r="BG325">
        <v>28135.113054338515</v>
      </c>
      <c r="BH325">
        <v>19.780259576278223</v>
      </c>
    </row>
    <row r="326" spans="3:60" x14ac:dyDescent="0.2">
      <c r="C326" s="138">
        <v>28740.507621886059</v>
      </c>
      <c r="D326" s="138">
        <v>20.676232842668401</v>
      </c>
      <c r="E326" s="138">
        <v>30627.20211153217</v>
      </c>
      <c r="F326" s="138">
        <v>20.651010208822402</v>
      </c>
      <c r="G326" s="138">
        <v>-1886.69448964611</v>
      </c>
      <c r="H326" s="138">
        <v>2.5222633845999098E-2</v>
      </c>
      <c r="N326" s="138"/>
      <c r="O326" s="138"/>
      <c r="P326" s="138"/>
      <c r="R326">
        <v>371.70638251165224</v>
      </c>
      <c r="S326">
        <v>66.614510009880263</v>
      </c>
      <c r="T326">
        <v>292.89682263142925</v>
      </c>
      <c r="U326">
        <v>107.03978821783431</v>
      </c>
      <c r="X326">
        <v>0.84971088661337724</v>
      </c>
      <c r="Y326">
        <v>0.60807065424381013</v>
      </c>
      <c r="Z326">
        <v>0.76294071478255066</v>
      </c>
      <c r="AA326">
        <v>0.91462485810312566</v>
      </c>
      <c r="AB326">
        <v>0.64871254348736651</v>
      </c>
      <c r="AC326">
        <v>0.70952495705703711</v>
      </c>
      <c r="AD326">
        <v>0.93117667305943763</v>
      </c>
      <c r="AE326">
        <v>0.74443859936427881</v>
      </c>
      <c r="AH326">
        <v>0.21010196400204528</v>
      </c>
      <c r="AI326">
        <v>6.7520707632784838E-2</v>
      </c>
      <c r="AJ326">
        <v>9.445172735748808E-2</v>
      </c>
      <c r="AK326">
        <v>1.6411290408355095E-2</v>
      </c>
      <c r="AL326">
        <v>3.1780873998034864E-2</v>
      </c>
      <c r="AM326">
        <v>0.13648598548382862</v>
      </c>
      <c r="AN326">
        <v>0.27623574053861855</v>
      </c>
      <c r="AO326">
        <v>5.7209603274826049E-2</v>
      </c>
      <c r="AR326">
        <v>9.7750581367195277E-4</v>
      </c>
      <c r="AS326">
        <v>3.8958708350727575E-3</v>
      </c>
      <c r="AT326">
        <v>0.10101265550012983</v>
      </c>
      <c r="AU326">
        <v>1.9444942831978477E-3</v>
      </c>
      <c r="AV326">
        <v>2.0261019569151051E-3</v>
      </c>
      <c r="AW326">
        <v>3.6371126139128629E-3</v>
      </c>
      <c r="AX326">
        <v>2.9058714259112194E-4</v>
      </c>
      <c r="AY326">
        <v>4.2806674210086264E-4</v>
      </c>
      <c r="BB326">
        <v>4.6580431403252562E-2</v>
      </c>
      <c r="BC326">
        <v>4.6796726632848396E-2</v>
      </c>
      <c r="BE326">
        <v>28740.507621886059</v>
      </c>
      <c r="BF326">
        <v>20.676232842668401</v>
      </c>
      <c r="BG326">
        <v>30627.20211153217</v>
      </c>
      <c r="BH326">
        <v>20.651010208822402</v>
      </c>
    </row>
    <row r="327" spans="3:60" x14ac:dyDescent="0.2">
      <c r="C327" s="138">
        <v>33699.388147677993</v>
      </c>
      <c r="D327" s="138">
        <v>21.291330610258836</v>
      </c>
      <c r="E327" s="138">
        <v>36032.862243971147</v>
      </c>
      <c r="F327" s="138">
        <v>21.283142444160827</v>
      </c>
      <c r="G327" s="138">
        <v>-2333.4740962931537</v>
      </c>
      <c r="H327" s="138">
        <v>8.1881660980087645E-3</v>
      </c>
      <c r="N327" s="138"/>
      <c r="O327" s="138"/>
      <c r="P327" s="138"/>
      <c r="R327">
        <v>164.10448428445733</v>
      </c>
      <c r="S327">
        <v>59.661329752922967</v>
      </c>
      <c r="T327">
        <v>261.7630223712145</v>
      </c>
      <c r="U327">
        <v>101.54962759990742</v>
      </c>
      <c r="X327">
        <v>0.7759689672921829</v>
      </c>
      <c r="Y327">
        <v>0.82034969968993199</v>
      </c>
      <c r="Z327">
        <v>0.52911582218358844</v>
      </c>
      <c r="AA327">
        <v>0.65162135006742261</v>
      </c>
      <c r="AB327">
        <v>0.6866667176027671</v>
      </c>
      <c r="AC327">
        <v>0.74032423513066081</v>
      </c>
      <c r="AD327">
        <v>0.79097517834102249</v>
      </c>
      <c r="AE327">
        <v>0.66137866021266478</v>
      </c>
      <c r="AH327">
        <v>0.14836335185171567</v>
      </c>
      <c r="AI327">
        <v>9.4021009078877671E-2</v>
      </c>
      <c r="AJ327">
        <v>0.23521749483599641</v>
      </c>
      <c r="AK327">
        <v>0.1615890210842662</v>
      </c>
      <c r="AL327">
        <v>6.152355828997158E-2</v>
      </c>
      <c r="AM327">
        <v>8.3599284775078386E-2</v>
      </c>
      <c r="AN327">
        <v>0.1599044905842727</v>
      </c>
      <c r="AO327">
        <v>9.2347721320295673E-2</v>
      </c>
      <c r="AR327">
        <v>8.6745508625747419E-4</v>
      </c>
      <c r="AS327">
        <v>4.5088501719604546E-3</v>
      </c>
      <c r="AT327">
        <v>9.9147989201831058E-2</v>
      </c>
      <c r="AU327">
        <v>2.1784900672370267E-3</v>
      </c>
      <c r="AV327">
        <v>1.8312675800968101E-3</v>
      </c>
      <c r="AW327">
        <v>3.2422946003420774E-3</v>
      </c>
      <c r="AX327">
        <v>3.6772417877728653E-4</v>
      </c>
      <c r="AY327">
        <v>4.7706386982571125E-4</v>
      </c>
      <c r="BB327">
        <v>5.4872082418198964E-2</v>
      </c>
      <c r="BC327">
        <v>2.6939447284230325E-2</v>
      </c>
      <c r="BE327">
        <v>33699.388147677993</v>
      </c>
      <c r="BF327">
        <v>21.291330610258836</v>
      </c>
      <c r="BG327">
        <v>36032.862243971147</v>
      </c>
      <c r="BH327">
        <v>21.283142444160827</v>
      </c>
    </row>
    <row r="328" spans="3:60" x14ac:dyDescent="0.2">
      <c r="C328" s="138">
        <v>32802.294656693339</v>
      </c>
      <c r="D328" s="138">
        <v>20.864651519874442</v>
      </c>
      <c r="E328" s="138">
        <v>35237.484239750935</v>
      </c>
      <c r="F328" s="138">
        <v>20.827959966493591</v>
      </c>
      <c r="G328" s="138">
        <v>-2435.1895830575959</v>
      </c>
      <c r="H328" s="138">
        <v>3.6691553380851616E-2</v>
      </c>
      <c r="N328" s="138"/>
      <c r="O328" s="138"/>
      <c r="P328" s="138"/>
      <c r="R328">
        <v>252.00458051747799</v>
      </c>
      <c r="S328">
        <v>60.393229832166746</v>
      </c>
      <c r="T328">
        <v>231.82144183183561</v>
      </c>
      <c r="U328">
        <v>93.083384171977386</v>
      </c>
      <c r="X328">
        <v>0.50668150383379684</v>
      </c>
      <c r="Y328">
        <v>0.88705568202104024</v>
      </c>
      <c r="Z328">
        <v>0.79864712492138989</v>
      </c>
      <c r="AA328">
        <v>0.72730155754475279</v>
      </c>
      <c r="AB328">
        <v>0.71955032636265293</v>
      </c>
      <c r="AC328">
        <v>0.85366582572810401</v>
      </c>
      <c r="AD328">
        <v>0.80382151827153292</v>
      </c>
      <c r="AE328">
        <v>0.89511128175265831</v>
      </c>
      <c r="AH328">
        <v>3.2518587717624836E-2</v>
      </c>
      <c r="AI328">
        <v>0.12708056208314833</v>
      </c>
      <c r="AJ328">
        <v>8.578815741680057E-2</v>
      </c>
      <c r="AK328">
        <v>6.0344930484541814E-2</v>
      </c>
      <c r="AL328">
        <v>4.6822994419395747E-2</v>
      </c>
      <c r="AM328">
        <v>0.10817045655477808</v>
      </c>
      <c r="AN328">
        <v>5.5796497088010488E-2</v>
      </c>
      <c r="AO328">
        <v>6.3084481819315585E-2</v>
      </c>
      <c r="AR328">
        <v>7.6915471750500536E-4</v>
      </c>
      <c r="AS328">
        <v>4.7889378383041414E-3</v>
      </c>
      <c r="AT328">
        <v>0.10100080997556393</v>
      </c>
      <c r="AU328">
        <v>1.799410387114362E-3</v>
      </c>
      <c r="AV328">
        <v>1.8642042795220057E-3</v>
      </c>
      <c r="AW328">
        <v>3.6932878712423456E-3</v>
      </c>
      <c r="AX328">
        <v>3.4192395040674516E-4</v>
      </c>
      <c r="AY328">
        <v>5.6550129571408814E-4</v>
      </c>
      <c r="BB328">
        <v>4.7937183644831162E-2</v>
      </c>
      <c r="BC328">
        <v>4.8279079659511726E-2</v>
      </c>
      <c r="BE328">
        <v>32802.294656693339</v>
      </c>
      <c r="BF328">
        <v>20.864651519874442</v>
      </c>
      <c r="BG328">
        <v>35237.484239750935</v>
      </c>
      <c r="BH328">
        <v>20.827959966493591</v>
      </c>
    </row>
    <row r="329" spans="3:60" x14ac:dyDescent="0.2">
      <c r="C329" s="138">
        <v>30545.667322061094</v>
      </c>
      <c r="D329" s="138">
        <v>21.496666984412713</v>
      </c>
      <c r="E329" s="138">
        <v>32956.589170744381</v>
      </c>
      <c r="F329" s="138">
        <v>21.503058856299258</v>
      </c>
      <c r="G329" s="138">
        <v>-2410.921848683287</v>
      </c>
      <c r="H329" s="138">
        <v>-6.3918718865458857E-3</v>
      </c>
      <c r="N329" s="138"/>
      <c r="O329" s="138"/>
      <c r="P329" s="138"/>
      <c r="R329">
        <v>408.96347145264053</v>
      </c>
      <c r="S329">
        <v>59.970238277104961</v>
      </c>
      <c r="T329">
        <v>235.04897269830298</v>
      </c>
      <c r="U329">
        <v>111.33130048765777</v>
      </c>
      <c r="X329">
        <v>0.55665668171114935</v>
      </c>
      <c r="Y329">
        <v>0.83359862261808215</v>
      </c>
      <c r="Z329">
        <v>0.60710049806385347</v>
      </c>
      <c r="AA329">
        <v>0.83495311865581057</v>
      </c>
      <c r="AB329">
        <v>0.9427756922175885</v>
      </c>
      <c r="AC329">
        <v>0.92053306793667988</v>
      </c>
      <c r="AD329">
        <v>0.78144771953401082</v>
      </c>
      <c r="AE329">
        <v>0.8055676404933293</v>
      </c>
      <c r="AH329">
        <v>3.7386107252671441E-2</v>
      </c>
      <c r="AI329">
        <v>9.113028101806453E-2</v>
      </c>
      <c r="AJ329">
        <v>9.1338606299090186E-2</v>
      </c>
      <c r="AK329">
        <v>0.18078661848976874</v>
      </c>
      <c r="AL329">
        <v>0.22999447092038239</v>
      </c>
      <c r="AM329">
        <v>1.1052143832686934E-2</v>
      </c>
      <c r="AN329">
        <v>0.34177372944374329</v>
      </c>
      <c r="AO329">
        <v>0.21281688939038301</v>
      </c>
      <c r="AR329">
        <v>9.1340682089013914E-4</v>
      </c>
      <c r="AS329">
        <v>4.5548535681440017E-3</v>
      </c>
      <c r="AT329">
        <v>0.10162350839508694</v>
      </c>
      <c r="AU329">
        <v>1.7995099597400473E-3</v>
      </c>
      <c r="AV329">
        <v>1.9738691798777751E-3</v>
      </c>
      <c r="AW329">
        <v>3.4597244495601087E-3</v>
      </c>
      <c r="AX329">
        <v>4.9762260385999291E-4</v>
      </c>
      <c r="AY329">
        <v>4.4444326361782547E-4</v>
      </c>
      <c r="BB329">
        <v>5.628025605669873E-2</v>
      </c>
      <c r="BC329">
        <v>1.2986930142243305E-2</v>
      </c>
      <c r="BE329">
        <v>30545.667322061094</v>
      </c>
      <c r="BF329">
        <v>21.496666984412713</v>
      </c>
      <c r="BG329">
        <v>32956.589170744381</v>
      </c>
      <c r="BH329">
        <v>21.503058856299258</v>
      </c>
    </row>
    <row r="330" spans="3:60" x14ac:dyDescent="0.2">
      <c r="C330" s="138">
        <v>32941.529666181188</v>
      </c>
      <c r="D330" s="138">
        <v>21.329482312334424</v>
      </c>
      <c r="E330" s="138">
        <v>35217.360569138822</v>
      </c>
      <c r="F330" s="138">
        <v>21.37311787936164</v>
      </c>
      <c r="G330" s="138">
        <v>-2275.830902957634</v>
      </c>
      <c r="H330" s="138">
        <v>-4.3635567027216382E-2</v>
      </c>
      <c r="N330" s="138"/>
      <c r="O330" s="138"/>
      <c r="P330" s="138"/>
      <c r="R330">
        <v>267.98675746738519</v>
      </c>
      <c r="S330">
        <v>66.656937153960953</v>
      </c>
      <c r="T330">
        <v>198.9118845916953</v>
      </c>
      <c r="U330">
        <v>90.51865640404165</v>
      </c>
      <c r="X330">
        <v>0.69860253232857239</v>
      </c>
      <c r="Y330">
        <v>0.8971901923619523</v>
      </c>
      <c r="Z330">
        <v>0.92239184926797702</v>
      </c>
      <c r="AA330">
        <v>0.80362973288115869</v>
      </c>
      <c r="AB330">
        <v>0.80285533184531044</v>
      </c>
      <c r="AC330">
        <v>0.85660538886912985</v>
      </c>
      <c r="AD330">
        <v>0.74095226206462517</v>
      </c>
      <c r="AE330">
        <v>0.72400038141387457</v>
      </c>
      <c r="AH330">
        <v>0.11332218764278101</v>
      </c>
      <c r="AI330">
        <v>6.6687759830319937E-2</v>
      </c>
      <c r="AJ330">
        <v>4.1899076164734428E-2</v>
      </c>
      <c r="AK330">
        <v>0.10010516665513436</v>
      </c>
      <c r="AL330">
        <v>0.15447692237161059</v>
      </c>
      <c r="AM330">
        <v>9.4189265556152479E-2</v>
      </c>
      <c r="AN330">
        <v>7.0304649114957707E-2</v>
      </c>
      <c r="AO330">
        <v>0.10239235454295881</v>
      </c>
      <c r="AR330">
        <v>1.0242071888321158E-3</v>
      </c>
      <c r="AS330">
        <v>4.408798220909586E-3</v>
      </c>
      <c r="AT330">
        <v>0.10100619347754869</v>
      </c>
      <c r="AU330">
        <v>1.7990638235729508E-3</v>
      </c>
      <c r="AV330">
        <v>2.0970844882930439E-3</v>
      </c>
      <c r="AW330">
        <v>3.4029279169349789E-3</v>
      </c>
      <c r="AX330">
        <v>4.0667027066920713E-4</v>
      </c>
      <c r="AY330">
        <v>6.4166001995014099E-4</v>
      </c>
      <c r="BB330">
        <v>5.516447920380585E-2</v>
      </c>
      <c r="BC330">
        <v>6.2745756547326392E-2</v>
      </c>
      <c r="BE330">
        <v>32941.529666181188</v>
      </c>
      <c r="BF330">
        <v>21.329482312334424</v>
      </c>
      <c r="BG330">
        <v>35217.360569138822</v>
      </c>
      <c r="BH330">
        <v>21.37311787936164</v>
      </c>
    </row>
    <row r="331" spans="3:60" x14ac:dyDescent="0.2">
      <c r="C331" s="138">
        <v>31998.369415687368</v>
      </c>
      <c r="D331" s="138">
        <v>21.45813092496649</v>
      </c>
      <c r="E331" s="138">
        <v>33888.111308042062</v>
      </c>
      <c r="F331" s="138">
        <v>21.440184663034106</v>
      </c>
      <c r="G331" s="138">
        <v>-1889.7418923546938</v>
      </c>
      <c r="H331" s="138">
        <v>1.7946261932383578E-2</v>
      </c>
      <c r="N331" s="138"/>
      <c r="O331" s="138"/>
      <c r="P331" s="138"/>
      <c r="R331">
        <v>241.48457164530654</v>
      </c>
      <c r="S331">
        <v>66.150637036660285</v>
      </c>
      <c r="T331">
        <v>260.11428036913696</v>
      </c>
      <c r="U331">
        <v>88.222815890984776</v>
      </c>
      <c r="X331">
        <v>0.55490455024532737</v>
      </c>
      <c r="Y331">
        <v>0.72873665901334328</v>
      </c>
      <c r="Z331">
        <v>0.70040899479240226</v>
      </c>
      <c r="AA331">
        <v>0.86137266142305147</v>
      </c>
      <c r="AB331">
        <v>0.86651904168367933</v>
      </c>
      <c r="AC331">
        <v>0.90398211452614841</v>
      </c>
      <c r="AD331">
        <v>0.86330790439251603</v>
      </c>
      <c r="AE331">
        <v>0.67877047453721717</v>
      </c>
      <c r="AH331">
        <v>0.12192549134151698</v>
      </c>
      <c r="AI331">
        <v>0.1592191480669497</v>
      </c>
      <c r="AJ331">
        <v>0.12205668179406648</v>
      </c>
      <c r="AK331">
        <v>0.13791602031147809</v>
      </c>
      <c r="AL331">
        <v>9.0768805314139223E-2</v>
      </c>
      <c r="AM331">
        <v>1.568238688008794E-2</v>
      </c>
      <c r="AN331">
        <v>6.3150224525857723E-2</v>
      </c>
      <c r="AO331">
        <v>0.29128683518525267</v>
      </c>
      <c r="AR331">
        <v>7.8838796342672922E-4</v>
      </c>
      <c r="AS331">
        <v>4.6960047899657908E-3</v>
      </c>
      <c r="AT331">
        <v>0.10000183757406722</v>
      </c>
      <c r="AU331">
        <v>2.0829313855220688E-3</v>
      </c>
      <c r="AV331">
        <v>2.0307397738900113E-3</v>
      </c>
      <c r="AW331">
        <v>3.5320308245783139E-3</v>
      </c>
      <c r="AX331">
        <v>5.4466023474364356E-4</v>
      </c>
      <c r="AY331">
        <v>4.9787661644296044E-4</v>
      </c>
      <c r="BB331">
        <v>5.2960797452354269E-2</v>
      </c>
      <c r="BC331">
        <v>2.1212810220284074E-2</v>
      </c>
      <c r="BE331">
        <v>31998.369415687368</v>
      </c>
      <c r="BF331">
        <v>21.45813092496649</v>
      </c>
      <c r="BG331">
        <v>33888.111308042062</v>
      </c>
      <c r="BH331">
        <v>21.440184663034106</v>
      </c>
    </row>
    <row r="332" spans="3:60" x14ac:dyDescent="0.2">
      <c r="C332" s="138">
        <v>33781.224382640699</v>
      </c>
      <c r="D332" s="138">
        <v>20.769339684704388</v>
      </c>
      <c r="E332" s="138">
        <v>36402.741467067863</v>
      </c>
      <c r="F332" s="138">
        <v>20.747696306281732</v>
      </c>
      <c r="G332" s="138">
        <v>-2621.5170844271634</v>
      </c>
      <c r="H332" s="138">
        <v>2.1643378422655957E-2</v>
      </c>
      <c r="N332" s="138"/>
      <c r="O332" s="138"/>
      <c r="P332" s="138"/>
      <c r="R332">
        <v>151.93758292392391</v>
      </c>
      <c r="S332">
        <v>60.87752469046135</v>
      </c>
      <c r="T332">
        <v>215.54513693063902</v>
      </c>
      <c r="U332">
        <v>98.9214504685539</v>
      </c>
      <c r="X332">
        <v>0.8555530411507043</v>
      </c>
      <c r="Y332">
        <v>0.75317710932747406</v>
      </c>
      <c r="Z332">
        <v>0.75494844299912778</v>
      </c>
      <c r="AA332">
        <v>0.50994984786367836</v>
      </c>
      <c r="AB332">
        <v>0.86139617841744665</v>
      </c>
      <c r="AC332">
        <v>0.91235598975618437</v>
      </c>
      <c r="AD332">
        <v>0.77576270798753655</v>
      </c>
      <c r="AE332">
        <v>0.78590411939404803</v>
      </c>
      <c r="AH332">
        <v>0.10930112823135885</v>
      </c>
      <c r="AI332">
        <v>3.0892483146127248E-2</v>
      </c>
      <c r="AJ332">
        <v>8.6579733244012136E-2</v>
      </c>
      <c r="AK332">
        <v>7.0292702454841427E-2</v>
      </c>
      <c r="AL332">
        <v>0.16565114546375814</v>
      </c>
      <c r="AM332">
        <v>4.9706161995539677E-2</v>
      </c>
      <c r="AN332">
        <v>0.18402967335049136</v>
      </c>
      <c r="AO332">
        <v>0.16723440614080398</v>
      </c>
      <c r="AR332">
        <v>9.0005332620035627E-4</v>
      </c>
      <c r="AS332">
        <v>4.5317104955957532E-3</v>
      </c>
      <c r="AT332">
        <v>9.9584939520339685E-2</v>
      </c>
      <c r="AU332">
        <v>1.8514315494341101E-3</v>
      </c>
      <c r="AV332">
        <v>2.0707012027698646E-3</v>
      </c>
      <c r="AW332">
        <v>2.9055445336410939E-3</v>
      </c>
      <c r="AX332">
        <v>5.1786282172860965E-4</v>
      </c>
      <c r="AY332">
        <v>5.1038642081624452E-4</v>
      </c>
      <c r="BB332">
        <v>6.2336461816746347E-2</v>
      </c>
      <c r="BC332">
        <v>3.296207855819145E-2</v>
      </c>
      <c r="BE332">
        <v>33781.224382640699</v>
      </c>
      <c r="BF332">
        <v>20.769339684704388</v>
      </c>
      <c r="BG332">
        <v>36402.741467067863</v>
      </c>
      <c r="BH332">
        <v>20.747696306281732</v>
      </c>
    </row>
    <row r="333" spans="3:60" x14ac:dyDescent="0.2">
      <c r="C333" s="138">
        <v>29505.442879708706</v>
      </c>
      <c r="D333" s="138">
        <v>21.436711137001442</v>
      </c>
      <c r="E333" s="138">
        <v>31365.436254372235</v>
      </c>
      <c r="F333" s="138">
        <v>21.408531423608206</v>
      </c>
      <c r="G333" s="138">
        <v>-1859.9933746635288</v>
      </c>
      <c r="H333" s="138">
        <v>2.8179713393235772E-2</v>
      </c>
      <c r="N333" s="138"/>
      <c r="O333" s="138"/>
      <c r="P333" s="138"/>
      <c r="R333">
        <v>140.61508300375931</v>
      </c>
      <c r="S333">
        <v>65.23622394484407</v>
      </c>
      <c r="T333">
        <v>210.10853933979217</v>
      </c>
      <c r="U333">
        <v>90.050368943035934</v>
      </c>
      <c r="X333">
        <v>0.75046820517444224</v>
      </c>
      <c r="Y333">
        <v>0.89224102722650922</v>
      </c>
      <c r="Z333">
        <v>0.89213134668309169</v>
      </c>
      <c r="AA333">
        <v>0.87383203670975795</v>
      </c>
      <c r="AB333">
        <v>0.63484684794712243</v>
      </c>
      <c r="AC333">
        <v>0.85147208791072471</v>
      </c>
      <c r="AD333">
        <v>0.6625324398351129</v>
      </c>
      <c r="AE333">
        <v>0.77632100724629782</v>
      </c>
      <c r="AH333">
        <v>8.5595289262666352E-2</v>
      </c>
      <c r="AI333">
        <v>0.10976414259133904</v>
      </c>
      <c r="AJ333">
        <v>5.6852960585032086E-3</v>
      </c>
      <c r="AK333">
        <v>0.12540613692663949</v>
      </c>
      <c r="AL333">
        <v>0.18116967904735881</v>
      </c>
      <c r="AM333">
        <v>0.30362532525435904</v>
      </c>
      <c r="AN333">
        <v>2.6140531620843732E-2</v>
      </c>
      <c r="AO333">
        <v>2.98946120326673E-2</v>
      </c>
      <c r="AR333">
        <v>7.8716727965873472E-4</v>
      </c>
      <c r="AS333">
        <v>4.4220872560271993E-3</v>
      </c>
      <c r="AT333">
        <v>0.10007257179194262</v>
      </c>
      <c r="AU333">
        <v>2.147591479474964E-3</v>
      </c>
      <c r="AV333">
        <v>2.1239975943406764E-3</v>
      </c>
      <c r="AW333">
        <v>3.3006440565766602E-3</v>
      </c>
      <c r="AX333">
        <v>3.9651046091765624E-4</v>
      </c>
      <c r="AY333">
        <v>4.361265937725337E-4</v>
      </c>
      <c r="BB333">
        <v>6.3551292779943314E-2</v>
      </c>
      <c r="BC333">
        <v>2.4569911137973785E-2</v>
      </c>
      <c r="BE333">
        <v>29505.442879708706</v>
      </c>
      <c r="BF333">
        <v>21.436711137001442</v>
      </c>
      <c r="BG333">
        <v>31365.436254372235</v>
      </c>
      <c r="BH333">
        <v>21.408531423608206</v>
      </c>
    </row>
    <row r="334" spans="3:60" x14ac:dyDescent="0.2">
      <c r="C334" s="138">
        <v>38906.14334941691</v>
      </c>
      <c r="D334" s="138">
        <v>20.985324316912287</v>
      </c>
      <c r="E334" s="138">
        <v>40998.920755633728</v>
      </c>
      <c r="F334" s="138">
        <v>20.958904684497941</v>
      </c>
      <c r="G334" s="138">
        <v>-2092.7774062168173</v>
      </c>
      <c r="H334" s="138">
        <v>2.6419632414345529E-2</v>
      </c>
      <c r="N334" s="138"/>
      <c r="O334" s="138"/>
      <c r="P334" s="138"/>
      <c r="R334">
        <v>298.47044727453334</v>
      </c>
      <c r="S334">
        <v>55.188782061312551</v>
      </c>
      <c r="T334">
        <v>249.4953947569667</v>
      </c>
      <c r="U334">
        <v>88.536559426940997</v>
      </c>
      <c r="X334">
        <v>0.86524656922557108</v>
      </c>
      <c r="Y334">
        <v>0.88300218136812636</v>
      </c>
      <c r="Z334">
        <v>0.77488054771997417</v>
      </c>
      <c r="AA334">
        <v>0.68893523624460262</v>
      </c>
      <c r="AB334">
        <v>0.71343688059558208</v>
      </c>
      <c r="AC334">
        <v>0.797426991562173</v>
      </c>
      <c r="AD334">
        <v>0.39375638963453741</v>
      </c>
      <c r="AE334">
        <v>0.95065843849148768</v>
      </c>
      <c r="AH334">
        <v>0.20451392438026916</v>
      </c>
      <c r="AI334">
        <v>0.24423516631532427</v>
      </c>
      <c r="AJ334">
        <v>0.13531687649447643</v>
      </c>
      <c r="AK334">
        <v>0.1526901762409113</v>
      </c>
      <c r="AL334">
        <v>8.3753083245849291E-2</v>
      </c>
      <c r="AM334">
        <v>0.11724552839458879</v>
      </c>
      <c r="AN334">
        <v>0.1693345733510403</v>
      </c>
      <c r="AO334">
        <v>0.20550644517419558</v>
      </c>
      <c r="AR334">
        <v>9.0050131514152199E-4</v>
      </c>
      <c r="AS334">
        <v>4.6079968051312425E-3</v>
      </c>
      <c r="AT334">
        <v>9.8322828043585969E-2</v>
      </c>
      <c r="AU334">
        <v>1.9469302799600117E-3</v>
      </c>
      <c r="AV334">
        <v>1.9110601024166557E-3</v>
      </c>
      <c r="AW334">
        <v>3.6043594838288673E-3</v>
      </c>
      <c r="AX334">
        <v>5.2495578792055575E-4</v>
      </c>
      <c r="AY334">
        <v>5.0344433395843602E-4</v>
      </c>
      <c r="BB334">
        <v>4.8382340869651291E-2</v>
      </c>
      <c r="BC334">
        <v>2.2532705839180458E-2</v>
      </c>
      <c r="BE334">
        <v>38906.14334941691</v>
      </c>
      <c r="BF334">
        <v>20.985324316912287</v>
      </c>
      <c r="BG334">
        <v>40998.920755633728</v>
      </c>
      <c r="BH334">
        <v>20.958904684497941</v>
      </c>
    </row>
    <row r="335" spans="3:60" x14ac:dyDescent="0.2">
      <c r="C335" s="138">
        <v>30755.208255877384</v>
      </c>
      <c r="D335" s="138">
        <v>21.461846080008399</v>
      </c>
      <c r="E335" s="138">
        <v>32514.389274587356</v>
      </c>
      <c r="F335" s="138">
        <v>21.468403614655735</v>
      </c>
      <c r="G335" s="138">
        <v>-1759.1810187099727</v>
      </c>
      <c r="H335" s="138">
        <v>-6.557534647335217E-3</v>
      </c>
      <c r="N335" s="138"/>
      <c r="O335" s="138"/>
      <c r="P335" s="138"/>
      <c r="R335">
        <v>479.02121053964009</v>
      </c>
      <c r="S335">
        <v>76.813354009367856</v>
      </c>
      <c r="T335">
        <v>284.0334542926347</v>
      </c>
      <c r="U335">
        <v>78.754600314510725</v>
      </c>
      <c r="X335">
        <v>0.79013031230103326</v>
      </c>
      <c r="Y335">
        <v>0.78811243522032803</v>
      </c>
      <c r="Z335">
        <v>0.75044475457126425</v>
      </c>
      <c r="AA335">
        <v>0.71154885080729346</v>
      </c>
      <c r="AB335">
        <v>0.79037215659847737</v>
      </c>
      <c r="AC335">
        <v>0.5745618274576022</v>
      </c>
      <c r="AD335">
        <v>0.94382302722675304</v>
      </c>
      <c r="AE335">
        <v>0.88909928332681631</v>
      </c>
      <c r="AH335">
        <v>0.1918101239127239</v>
      </c>
      <c r="AI335">
        <v>7.258939598283487E-2</v>
      </c>
      <c r="AJ335">
        <v>9.4074833640313216E-2</v>
      </c>
      <c r="AK335">
        <v>0.12848644923597463</v>
      </c>
      <c r="AL335">
        <v>0.26202384097378051</v>
      </c>
      <c r="AM335">
        <v>4.4546261815972876E-2</v>
      </c>
      <c r="AN335">
        <v>0.11148304413104537</v>
      </c>
      <c r="AO335">
        <v>7.8243275556693526E-2</v>
      </c>
      <c r="AR335">
        <v>1.0040490085030385E-3</v>
      </c>
      <c r="AS335">
        <v>4.6390721565188198E-3</v>
      </c>
      <c r="AT335">
        <v>9.925975898873371E-2</v>
      </c>
      <c r="AU335">
        <v>2.2056552052025502E-3</v>
      </c>
      <c r="AV335">
        <v>2.1542612363820712E-3</v>
      </c>
      <c r="AW335">
        <v>3.2261960640812778E-3</v>
      </c>
      <c r="AX335">
        <v>3.6201846777455447E-4</v>
      </c>
      <c r="AY335">
        <v>4.477594915692773E-4</v>
      </c>
      <c r="BB335">
        <v>5.9182378623781062E-2</v>
      </c>
      <c r="BC335">
        <v>2.275775246027447E-2</v>
      </c>
      <c r="BE335">
        <v>30755.208255877384</v>
      </c>
      <c r="BF335">
        <v>21.461846080008399</v>
      </c>
      <c r="BG335">
        <v>32514.389274587356</v>
      </c>
      <c r="BH335">
        <v>21.468403614655735</v>
      </c>
    </row>
    <row r="336" spans="3:60" x14ac:dyDescent="0.2">
      <c r="C336" s="138">
        <v>29378.731589158109</v>
      </c>
      <c r="D336" s="138">
        <v>21.27229006043471</v>
      </c>
      <c r="E336" s="138">
        <v>31449.798030518217</v>
      </c>
      <c r="F336" s="138">
        <v>21.259561905786541</v>
      </c>
      <c r="G336" s="138">
        <v>-2071.066441360108</v>
      </c>
      <c r="H336" s="138">
        <v>1.272815464816901E-2</v>
      </c>
      <c r="N336" s="138"/>
      <c r="O336" s="138"/>
      <c r="P336" s="138"/>
      <c r="R336">
        <v>253.45940003039195</v>
      </c>
      <c r="S336">
        <v>58.588928285992154</v>
      </c>
      <c r="T336">
        <v>276.8810916863323</v>
      </c>
      <c r="U336">
        <v>101.6684503023603</v>
      </c>
      <c r="X336">
        <v>0.75941943197275841</v>
      </c>
      <c r="Y336">
        <v>0.72420842111475248</v>
      </c>
      <c r="Z336">
        <v>0.54865330778889032</v>
      </c>
      <c r="AA336">
        <v>0.6596484589976529</v>
      </c>
      <c r="AB336">
        <v>0.59340855390291003</v>
      </c>
      <c r="AC336">
        <v>0.76659486126672027</v>
      </c>
      <c r="AD336">
        <v>0.61845225284026473</v>
      </c>
      <c r="AE336">
        <v>0.85414138734545575</v>
      </c>
      <c r="AH336">
        <v>3.4442664530805578E-2</v>
      </c>
      <c r="AI336">
        <v>7.7817242053180191E-2</v>
      </c>
      <c r="AJ336">
        <v>0.18169541400320022</v>
      </c>
      <c r="AK336">
        <v>3.6427609059071275E-2</v>
      </c>
      <c r="AL336">
        <v>0.17758050722733199</v>
      </c>
      <c r="AM336">
        <v>9.181129378996622E-2</v>
      </c>
      <c r="AN336">
        <v>2.2890682724322486E-2</v>
      </c>
      <c r="AO336">
        <v>4.029238166848359E-2</v>
      </c>
      <c r="AR336">
        <v>8.164453266834205E-4</v>
      </c>
      <c r="AS336">
        <v>4.5378314905931694E-3</v>
      </c>
      <c r="AT336">
        <v>9.8682780899245065E-2</v>
      </c>
      <c r="AU336">
        <v>2.3124007084154297E-3</v>
      </c>
      <c r="AV336">
        <v>2.0080605628963744E-3</v>
      </c>
      <c r="AW336">
        <v>3.5490531584949636E-3</v>
      </c>
      <c r="AX336">
        <v>3.3527634957955949E-4</v>
      </c>
      <c r="AY336">
        <v>4.5249590454321531E-4</v>
      </c>
      <c r="BB336">
        <v>5.8370692456149342E-2</v>
      </c>
      <c r="BC336">
        <v>7.6328694794669638E-2</v>
      </c>
      <c r="BE336">
        <v>29378.731589158109</v>
      </c>
      <c r="BF336">
        <v>21.27229006043471</v>
      </c>
      <c r="BG336">
        <v>31449.798030518217</v>
      </c>
      <c r="BH336">
        <v>21.259561905786541</v>
      </c>
    </row>
    <row r="337" spans="3:60" x14ac:dyDescent="0.2">
      <c r="C337" s="138">
        <v>32826.654452788935</v>
      </c>
      <c r="D337" s="138">
        <v>20.738575208807003</v>
      </c>
      <c r="E337" s="138">
        <v>34861.817890987186</v>
      </c>
      <c r="F337" s="138">
        <v>20.692933566129</v>
      </c>
      <c r="G337" s="138">
        <v>-2035.1634381982512</v>
      </c>
      <c r="H337" s="138">
        <v>4.564164267800308E-2</v>
      </c>
      <c r="N337" s="138"/>
      <c r="O337" s="138"/>
      <c r="P337" s="138"/>
      <c r="R337">
        <v>199.13612751163444</v>
      </c>
      <c r="S337">
        <v>64.281930249261123</v>
      </c>
      <c r="T337">
        <v>300.1323763145856</v>
      </c>
      <c r="U337">
        <v>106.96765598197958</v>
      </c>
      <c r="X337">
        <v>0.76026458380143125</v>
      </c>
      <c r="Y337">
        <v>0.82114659536105883</v>
      </c>
      <c r="Z337">
        <v>0.80903115963795136</v>
      </c>
      <c r="AA337">
        <v>0.75050541640994284</v>
      </c>
      <c r="AB337">
        <v>0.57918108193131579</v>
      </c>
      <c r="AC337">
        <v>0.85594660581670223</v>
      </c>
      <c r="AD337">
        <v>0.62085779347975412</v>
      </c>
      <c r="AE337">
        <v>0.61508647941655881</v>
      </c>
      <c r="AH337">
        <v>0.101645703973128</v>
      </c>
      <c r="AI337">
        <v>9.5617776953457634E-2</v>
      </c>
      <c r="AJ337">
        <v>5.7347947556363632E-2</v>
      </c>
      <c r="AK337">
        <v>2.5031043861255209E-2</v>
      </c>
      <c r="AL337">
        <v>0.20769634551444494</v>
      </c>
      <c r="AM337">
        <v>0.13272533934002662</v>
      </c>
      <c r="AN337">
        <v>0.10981197139962884</v>
      </c>
      <c r="AO337">
        <v>5.6908754710896847E-2</v>
      </c>
      <c r="AR337">
        <v>8.9090890712717474E-4</v>
      </c>
      <c r="AS337">
        <v>4.6345886994897389E-3</v>
      </c>
      <c r="AT337">
        <v>0.10116703706986785</v>
      </c>
      <c r="AU337">
        <v>1.8581932828002996E-3</v>
      </c>
      <c r="AV337">
        <v>2.0599343722529362E-3</v>
      </c>
      <c r="AW337">
        <v>3.5330491125303842E-3</v>
      </c>
      <c r="AX337">
        <v>2.7803161300242078E-4</v>
      </c>
      <c r="AY337">
        <v>4.6919371609832616E-4</v>
      </c>
      <c r="BB337">
        <v>4.9156558851132945E-2</v>
      </c>
      <c r="BC337">
        <v>2.761827994023092E-2</v>
      </c>
      <c r="BE337">
        <v>32826.654452788935</v>
      </c>
      <c r="BF337">
        <v>20.738575208807003</v>
      </c>
      <c r="BG337">
        <v>34861.817890987186</v>
      </c>
      <c r="BH337">
        <v>20.692933566129</v>
      </c>
    </row>
    <row r="338" spans="3:60" x14ac:dyDescent="0.2">
      <c r="C338" s="138">
        <v>25526.218176537954</v>
      </c>
      <c r="D338" s="138">
        <v>20.322421806788917</v>
      </c>
      <c r="E338" s="138">
        <v>27363.084792227102</v>
      </c>
      <c r="F338" s="138">
        <v>20.275636278953058</v>
      </c>
      <c r="G338" s="138">
        <v>-1836.8666156891486</v>
      </c>
      <c r="H338" s="138">
        <v>4.6785527835858431E-2</v>
      </c>
      <c r="N338" s="138"/>
      <c r="O338" s="138"/>
      <c r="P338" s="138"/>
      <c r="R338">
        <v>137.97516936207964</v>
      </c>
      <c r="S338">
        <v>60.111631221921328</v>
      </c>
      <c r="T338">
        <v>287.47027773661989</v>
      </c>
      <c r="U338">
        <v>103.99656199362039</v>
      </c>
      <c r="X338">
        <v>0.87342926984558045</v>
      </c>
      <c r="Y338">
        <v>0.92575471294927736</v>
      </c>
      <c r="Z338">
        <v>0.92710701788264238</v>
      </c>
      <c r="AA338">
        <v>0.95747064553679073</v>
      </c>
      <c r="AB338">
        <v>0.70310328827731761</v>
      </c>
      <c r="AC338">
        <v>0.63580706725064129</v>
      </c>
      <c r="AD338">
        <v>0.5939965160782239</v>
      </c>
      <c r="AE338">
        <v>0.64707129650404105</v>
      </c>
      <c r="AH338">
        <v>0.30867803458432308</v>
      </c>
      <c r="AI338">
        <v>8.3978709227865433E-3</v>
      </c>
      <c r="AJ338">
        <v>9.5277016751891042E-2</v>
      </c>
      <c r="AK338">
        <v>0.21286226251827101</v>
      </c>
      <c r="AL338">
        <v>6.26822733466883E-2</v>
      </c>
      <c r="AM338">
        <v>0.21088106220926972</v>
      </c>
      <c r="AN338">
        <v>8.1170533882936602E-2</v>
      </c>
      <c r="AO338">
        <v>0.11023013355545952</v>
      </c>
      <c r="AR338">
        <v>8.4321809120842435E-4</v>
      </c>
      <c r="AS338">
        <v>4.2574169352291901E-3</v>
      </c>
      <c r="AT338">
        <v>9.9290291676841169E-2</v>
      </c>
      <c r="AU338">
        <v>2.0509227562623966E-3</v>
      </c>
      <c r="AV338">
        <v>1.9650479543834405E-3</v>
      </c>
      <c r="AW338">
        <v>3.2689255962849964E-3</v>
      </c>
      <c r="AX338">
        <v>3.5263560833657617E-4</v>
      </c>
      <c r="AY338">
        <v>4.9710940303382412E-4</v>
      </c>
      <c r="BB338">
        <v>5.23768789661051E-2</v>
      </c>
      <c r="BC338">
        <v>7.5759766446535259E-2</v>
      </c>
      <c r="BE338">
        <v>25526.218176537954</v>
      </c>
      <c r="BF338">
        <v>20.322421806788917</v>
      </c>
      <c r="BG338">
        <v>27363.084792227102</v>
      </c>
      <c r="BH338">
        <v>20.275636278953058</v>
      </c>
    </row>
    <row r="339" spans="3:60" x14ac:dyDescent="0.2">
      <c r="C339" s="138">
        <v>32877.203041440473</v>
      </c>
      <c r="D339" s="138">
        <v>21.42918418423778</v>
      </c>
      <c r="E339" s="138">
        <v>35332.752914167293</v>
      </c>
      <c r="F339" s="138">
        <v>21.445095357510308</v>
      </c>
      <c r="G339" s="138">
        <v>-2455.5498727268205</v>
      </c>
      <c r="H339" s="138">
        <v>-1.591117327252789E-2</v>
      </c>
      <c r="N339" s="138"/>
      <c r="O339" s="138"/>
      <c r="P339" s="138"/>
      <c r="R339">
        <v>141.72142976173851</v>
      </c>
      <c r="S339">
        <v>51.931384047794609</v>
      </c>
      <c r="T339">
        <v>273.44449100832782</v>
      </c>
      <c r="U339">
        <v>97.192718324787108</v>
      </c>
      <c r="X339">
        <v>0.87561321875992659</v>
      </c>
      <c r="Y339">
        <v>0.47220781317872712</v>
      </c>
      <c r="Z339">
        <v>0.90654794324704813</v>
      </c>
      <c r="AA339">
        <v>0.59687622791924866</v>
      </c>
      <c r="AB339">
        <v>0.45943685044755833</v>
      </c>
      <c r="AC339">
        <v>0.52083609883431559</v>
      </c>
      <c r="AD339">
        <v>0.88220077962214405</v>
      </c>
      <c r="AE339">
        <v>0.87603427362536501</v>
      </c>
      <c r="AH339">
        <v>0.25863315836344525</v>
      </c>
      <c r="AI339">
        <v>0.22539369775316831</v>
      </c>
      <c r="AJ339">
        <v>0.15879732471921049</v>
      </c>
      <c r="AK339">
        <v>6.7914590247378226E-2</v>
      </c>
      <c r="AL339">
        <v>0.24399485111941321</v>
      </c>
      <c r="AM339">
        <v>8.3497800291753244E-2</v>
      </c>
      <c r="AN339">
        <v>4.6824248820229619E-2</v>
      </c>
      <c r="AO339">
        <v>0.13739173848167285</v>
      </c>
      <c r="AR339">
        <v>8.4877059598914746E-4</v>
      </c>
      <c r="AS339">
        <v>4.3831616598841968E-3</v>
      </c>
      <c r="AT339">
        <v>0.10091375908542488</v>
      </c>
      <c r="AU339">
        <v>2.0842025133203101E-3</v>
      </c>
      <c r="AV339">
        <v>2.0457569787545316E-3</v>
      </c>
      <c r="AW339">
        <v>3.5236422900262188E-3</v>
      </c>
      <c r="AX339">
        <v>5.1380223240082845E-4</v>
      </c>
      <c r="AY339">
        <v>3.8029404683154406E-4</v>
      </c>
      <c r="BB339">
        <v>5.2948579196104406E-2</v>
      </c>
      <c r="BC339">
        <v>4.2900456221749206E-2</v>
      </c>
      <c r="BE339">
        <v>32877.203041440473</v>
      </c>
      <c r="BF339">
        <v>21.42918418423778</v>
      </c>
      <c r="BG339">
        <v>35332.752914167293</v>
      </c>
      <c r="BH339">
        <v>21.445095357510308</v>
      </c>
    </row>
    <row r="340" spans="3:60" x14ac:dyDescent="0.2">
      <c r="C340" s="138">
        <v>31857.522965445012</v>
      </c>
      <c r="D340" s="138">
        <v>21.470615962849113</v>
      </c>
      <c r="E340" s="138">
        <v>33988.197933286705</v>
      </c>
      <c r="F340" s="138">
        <v>21.479798331171359</v>
      </c>
      <c r="G340" s="138">
        <v>-2130.6749678416927</v>
      </c>
      <c r="H340" s="138">
        <v>-9.1823683222465036E-3</v>
      </c>
      <c r="N340" s="138"/>
      <c r="O340" s="138"/>
      <c r="P340" s="138"/>
      <c r="R340">
        <v>375.4477773953501</v>
      </c>
      <c r="S340">
        <v>68.916140605648366</v>
      </c>
      <c r="T340">
        <v>233.53459819156541</v>
      </c>
      <c r="U340">
        <v>123.67569313688604</v>
      </c>
      <c r="X340">
        <v>0.47781580420694891</v>
      </c>
      <c r="Y340">
        <v>0.68290288341155436</v>
      </c>
      <c r="Z340">
        <v>0.65394131182625603</v>
      </c>
      <c r="AA340">
        <v>0.91945300108925299</v>
      </c>
      <c r="AB340">
        <v>0.81454875751916178</v>
      </c>
      <c r="AC340">
        <v>0.59739179903419326</v>
      </c>
      <c r="AD340">
        <v>0.71390461396820648</v>
      </c>
      <c r="AE340">
        <v>0.67300581471610899</v>
      </c>
      <c r="AH340">
        <v>9.437979019911491E-2</v>
      </c>
      <c r="AI340">
        <v>4.2349893484644241E-2</v>
      </c>
      <c r="AJ340">
        <v>1.908611126454085E-2</v>
      </c>
      <c r="AK340">
        <v>0.25942580651675251</v>
      </c>
      <c r="AL340">
        <v>0.41671750908828731</v>
      </c>
      <c r="AM340">
        <v>9.6505809197087178E-2</v>
      </c>
      <c r="AN340">
        <v>0.12430296328170509</v>
      </c>
      <c r="AO340">
        <v>0.1202360486381393</v>
      </c>
      <c r="AR340">
        <v>9.1175124384479389E-4</v>
      </c>
      <c r="AS340">
        <v>4.5332409312860422E-3</v>
      </c>
      <c r="AT340">
        <v>9.9384021141984746E-2</v>
      </c>
      <c r="AU340">
        <v>2.1662000083554345E-3</v>
      </c>
      <c r="AV340">
        <v>2.1656242859043884E-3</v>
      </c>
      <c r="AW340">
        <v>3.5483388950541261E-3</v>
      </c>
      <c r="AX340">
        <v>3.9135410332620621E-4</v>
      </c>
      <c r="AY340">
        <v>4.9928901086249144E-4</v>
      </c>
      <c r="BB340">
        <v>5.0144981021021717E-2</v>
      </c>
      <c r="BC340">
        <v>4.5823246667216572E-2</v>
      </c>
      <c r="BE340">
        <v>31857.522965445012</v>
      </c>
      <c r="BF340">
        <v>21.470615962849113</v>
      </c>
      <c r="BG340">
        <v>33988.197933286705</v>
      </c>
      <c r="BH340">
        <v>21.479798331171359</v>
      </c>
    </row>
    <row r="341" spans="3:60" x14ac:dyDescent="0.2">
      <c r="C341" s="138">
        <v>27992.746031134779</v>
      </c>
      <c r="D341" s="138">
        <v>20.665704971739949</v>
      </c>
      <c r="E341" s="138">
        <v>29586.786308766845</v>
      </c>
      <c r="F341" s="138">
        <v>20.646838940312907</v>
      </c>
      <c r="G341" s="138">
        <v>-1594.0402776320661</v>
      </c>
      <c r="H341" s="138">
        <v>1.8866031427041463E-2</v>
      </c>
      <c r="N341" s="138"/>
      <c r="O341" s="138"/>
      <c r="P341" s="138"/>
      <c r="R341">
        <v>426.77205311481191</v>
      </c>
      <c r="S341">
        <v>60.644218314722949</v>
      </c>
      <c r="T341">
        <v>275.59539935737314</v>
      </c>
      <c r="U341">
        <v>102.49769737960057</v>
      </c>
      <c r="X341">
        <v>0.76945262149998228</v>
      </c>
      <c r="Y341">
        <v>0.83680980742765765</v>
      </c>
      <c r="Z341">
        <v>0.86407265659439614</v>
      </c>
      <c r="AA341">
        <v>0.70472582282650165</v>
      </c>
      <c r="AB341">
        <v>0.80573828104523793</v>
      </c>
      <c r="AC341">
        <v>0.72491852191313977</v>
      </c>
      <c r="AD341">
        <v>0.89430221315225866</v>
      </c>
      <c r="AE341">
        <v>0.7636946387321244</v>
      </c>
      <c r="AH341">
        <v>3.1468762221165236E-2</v>
      </c>
      <c r="AI341">
        <v>0.17170495806031449</v>
      </c>
      <c r="AJ341">
        <v>4.2505939644193802E-2</v>
      </c>
      <c r="AK341">
        <v>0.11112796686121362</v>
      </c>
      <c r="AL341">
        <v>0.1628555875613632</v>
      </c>
      <c r="AM341">
        <v>0.12680952203249152</v>
      </c>
      <c r="AN341">
        <v>4.1316979374314888E-2</v>
      </c>
      <c r="AO341">
        <v>0.33148505455638633</v>
      </c>
      <c r="AR341">
        <v>9.2477836670534774E-4</v>
      </c>
      <c r="AS341">
        <v>4.3266848725881137E-3</v>
      </c>
      <c r="AT341">
        <v>9.952095777629423E-2</v>
      </c>
      <c r="AU341">
        <v>1.7147234874560597E-3</v>
      </c>
      <c r="AV341">
        <v>1.9499298233184364E-3</v>
      </c>
      <c r="AW341">
        <v>3.3077271471716879E-3</v>
      </c>
      <c r="AX341">
        <v>3.8921221211598873E-4</v>
      </c>
      <c r="AY341">
        <v>3.1368338027304367E-4</v>
      </c>
      <c r="BB341">
        <v>4.7838352941578656E-2</v>
      </c>
      <c r="BC341">
        <v>7.101242697387633E-2</v>
      </c>
      <c r="BE341">
        <v>27992.746031134779</v>
      </c>
      <c r="BF341">
        <v>20.665704971739949</v>
      </c>
      <c r="BG341">
        <v>29586.786308766845</v>
      </c>
      <c r="BH341">
        <v>20.646838940312907</v>
      </c>
    </row>
    <row r="342" spans="3:60" x14ac:dyDescent="0.2">
      <c r="C342" s="138">
        <v>27589.211344803032</v>
      </c>
      <c r="D342" s="138">
        <v>21.257114266243097</v>
      </c>
      <c r="E342" s="138">
        <v>29721.106018155624</v>
      </c>
      <c r="F342" s="138">
        <v>21.254686658679347</v>
      </c>
      <c r="G342" s="138">
        <v>-2131.8946733525918</v>
      </c>
      <c r="H342" s="138">
        <v>2.4276075637494898E-3</v>
      </c>
      <c r="N342" s="138"/>
      <c r="O342" s="138"/>
      <c r="P342" s="138"/>
      <c r="R342">
        <v>145.76596514340756</v>
      </c>
      <c r="S342">
        <v>75.911422099376836</v>
      </c>
      <c r="T342">
        <v>274.28920411448439</v>
      </c>
      <c r="U342">
        <v>79.935071736518026</v>
      </c>
      <c r="X342">
        <v>0.74582413116776347</v>
      </c>
      <c r="Y342">
        <v>0.8010325579380978</v>
      </c>
      <c r="Z342">
        <v>0.94132305224477175</v>
      </c>
      <c r="AA342">
        <v>0.91469180657504956</v>
      </c>
      <c r="AB342">
        <v>0.52021831514478334</v>
      </c>
      <c r="AC342">
        <v>0.65678117923023105</v>
      </c>
      <c r="AD342">
        <v>0.51056410517197648</v>
      </c>
      <c r="AE342">
        <v>0.88046338382509903</v>
      </c>
      <c r="AH342">
        <v>0.15123096561454918</v>
      </c>
      <c r="AI342">
        <v>7.50195074620289E-2</v>
      </c>
      <c r="AJ342">
        <v>0.15886648992714192</v>
      </c>
      <c r="AK342">
        <v>0.1262691362416517</v>
      </c>
      <c r="AL342">
        <v>7.9772065777454992E-2</v>
      </c>
      <c r="AM342">
        <v>5.0620960361656531E-2</v>
      </c>
      <c r="AN342">
        <v>0.16782349716935829</v>
      </c>
      <c r="AO342">
        <v>0.19442296842292395</v>
      </c>
      <c r="AR342">
        <v>1.0800737895325652E-3</v>
      </c>
      <c r="AS342">
        <v>4.3603992900530094E-3</v>
      </c>
      <c r="AT342">
        <v>9.8912890767690123E-2</v>
      </c>
      <c r="AU342">
        <v>2.0826767712022187E-3</v>
      </c>
      <c r="AV342">
        <v>1.7645324334908371E-3</v>
      </c>
      <c r="AW342">
        <v>3.4087489237540902E-3</v>
      </c>
      <c r="AX342">
        <v>4.4701482155107275E-4</v>
      </c>
      <c r="AY342">
        <v>4.6237342961619188E-4</v>
      </c>
      <c r="BB342">
        <v>4.6427478994587323E-2</v>
      </c>
      <c r="BC342">
        <v>2.1981271686280213E-2</v>
      </c>
      <c r="BE342">
        <v>27589.211344803032</v>
      </c>
      <c r="BF342">
        <v>21.257114266243097</v>
      </c>
      <c r="BG342">
        <v>29721.106018155624</v>
      </c>
      <c r="BH342">
        <v>21.254686658679347</v>
      </c>
    </row>
    <row r="343" spans="3:60" x14ac:dyDescent="0.2">
      <c r="C343" s="138">
        <v>35475.168118830494</v>
      </c>
      <c r="D343" s="138">
        <v>21.066084763610505</v>
      </c>
      <c r="E343" s="138">
        <v>38224.72584524261</v>
      </c>
      <c r="F343" s="138">
        <v>21.03307408730404</v>
      </c>
      <c r="G343" s="138">
        <v>-2749.5577264121166</v>
      </c>
      <c r="H343" s="138">
        <v>3.3010676306464148E-2</v>
      </c>
      <c r="N343" s="138"/>
      <c r="O343" s="138"/>
      <c r="P343" s="138"/>
      <c r="R343">
        <v>237.92685692674192</v>
      </c>
      <c r="S343">
        <v>80.094582410833951</v>
      </c>
      <c r="T343">
        <v>276.51087008642662</v>
      </c>
      <c r="U343">
        <v>82.967212075327453</v>
      </c>
      <c r="X343">
        <v>0.81329441854806805</v>
      </c>
      <c r="Y343">
        <v>0.95871222028783176</v>
      </c>
      <c r="Z343">
        <v>0.78579386621573732</v>
      </c>
      <c r="AA343">
        <v>0.85874472916424516</v>
      </c>
      <c r="AB343">
        <v>0.72780084616831264</v>
      </c>
      <c r="AC343">
        <v>0.93349939839892937</v>
      </c>
      <c r="AD343">
        <v>0.80238879774417282</v>
      </c>
      <c r="AE343">
        <v>0.8107920154697158</v>
      </c>
      <c r="AH343">
        <v>0.15293858300127228</v>
      </c>
      <c r="AI343">
        <v>0.2858518501022449</v>
      </c>
      <c r="AJ343">
        <v>5.9948828844832325E-2</v>
      </c>
      <c r="AK343">
        <v>0.33144451067098313</v>
      </c>
      <c r="AL343">
        <v>6.2417044947777001E-2</v>
      </c>
      <c r="AM343">
        <v>0.20945128635181431</v>
      </c>
      <c r="AN343">
        <v>0.29234183014774706</v>
      </c>
      <c r="AO343">
        <v>0.27452621122978837</v>
      </c>
      <c r="AR343">
        <v>1.0211570425316951E-3</v>
      </c>
      <c r="AS343">
        <v>4.8058840699219951E-3</v>
      </c>
      <c r="AT343">
        <v>9.7989269795981396E-2</v>
      </c>
      <c r="AU343">
        <v>2.0070713543227647E-3</v>
      </c>
      <c r="AV343">
        <v>1.880997440445883E-3</v>
      </c>
      <c r="AW343">
        <v>3.4715176167990913E-3</v>
      </c>
      <c r="AX343">
        <v>3.5813255105116677E-4</v>
      </c>
      <c r="AY343">
        <v>5.1064988291393831E-4</v>
      </c>
      <c r="BB343">
        <v>4.8202821941997646E-2</v>
      </c>
      <c r="BC343">
        <v>5.4169675169059794E-2</v>
      </c>
      <c r="BE343">
        <v>35475.168118830494</v>
      </c>
      <c r="BF343">
        <v>21.066084763610505</v>
      </c>
      <c r="BG343">
        <v>38224.72584524261</v>
      </c>
      <c r="BH343">
        <v>21.03307408730404</v>
      </c>
    </row>
    <row r="344" spans="3:60" x14ac:dyDescent="0.2">
      <c r="C344" s="138">
        <v>28220.573452232598</v>
      </c>
      <c r="D344" s="138">
        <v>21.674330609311486</v>
      </c>
      <c r="E344" s="138">
        <v>29969.40771876321</v>
      </c>
      <c r="F344" s="138">
        <v>21.670851741912504</v>
      </c>
      <c r="G344" s="138">
        <v>-1748.8342665306118</v>
      </c>
      <c r="H344" s="138">
        <v>3.4788673989822883E-3</v>
      </c>
      <c r="N344" s="138"/>
      <c r="O344" s="138"/>
      <c r="P344" s="138"/>
      <c r="R344">
        <v>225.37524636178847</v>
      </c>
      <c r="S344">
        <v>69.657921039598506</v>
      </c>
      <c r="T344">
        <v>248.20392091566373</v>
      </c>
      <c r="U344">
        <v>88.939365680092749</v>
      </c>
      <c r="X344">
        <v>0.87239403770660928</v>
      </c>
      <c r="Y344">
        <v>0.77126999976556609</v>
      </c>
      <c r="Z344">
        <v>0.77424289243161493</v>
      </c>
      <c r="AA344">
        <v>0.62684371633781955</v>
      </c>
      <c r="AB344">
        <v>0.51138441779221011</v>
      </c>
      <c r="AC344">
        <v>0.5971485989789509</v>
      </c>
      <c r="AD344">
        <v>0.8039882836240948</v>
      </c>
      <c r="AE344">
        <v>0.47490897631014933</v>
      </c>
      <c r="AH344">
        <v>6.9946616318224297E-2</v>
      </c>
      <c r="AI344">
        <v>5.8384359601521107E-2</v>
      </c>
      <c r="AJ344">
        <v>7.7045410054199404E-2</v>
      </c>
      <c r="AK344">
        <v>0.22713692484376125</v>
      </c>
      <c r="AL344">
        <v>0.10876281037960056</v>
      </c>
      <c r="AM344">
        <v>0.12742503780703174</v>
      </c>
      <c r="AN344">
        <v>0.13991339468521358</v>
      </c>
      <c r="AO344">
        <v>0.15611532042500642</v>
      </c>
      <c r="AR344">
        <v>7.2080711967217165E-4</v>
      </c>
      <c r="AS344">
        <v>4.1965706694107111E-3</v>
      </c>
      <c r="AT344">
        <v>9.8668653510462209E-2</v>
      </c>
      <c r="AU344">
        <v>1.92887042192142E-3</v>
      </c>
      <c r="AV344">
        <v>1.9826929551556363E-3</v>
      </c>
      <c r="AW344">
        <v>3.1316266887688373E-3</v>
      </c>
      <c r="AX344">
        <v>3.2871697430264573E-4</v>
      </c>
      <c r="AY344">
        <v>3.4642507900942382E-4</v>
      </c>
      <c r="BB344">
        <v>5.3537732601055765E-2</v>
      </c>
      <c r="BC344">
        <v>4.8336604669975913E-2</v>
      </c>
      <c r="BE344">
        <v>28220.573452232598</v>
      </c>
      <c r="BF344">
        <v>21.674330609311486</v>
      </c>
      <c r="BG344">
        <v>29969.40771876321</v>
      </c>
      <c r="BH344">
        <v>21.670851741912504</v>
      </c>
    </row>
    <row r="345" spans="3:60" x14ac:dyDescent="0.2">
      <c r="C345" s="138">
        <v>34912.486510558127</v>
      </c>
      <c r="D345" s="138">
        <v>21.713349457413919</v>
      </c>
      <c r="E345" s="138">
        <v>36992.084372229081</v>
      </c>
      <c r="F345" s="138">
        <v>21.705825853572655</v>
      </c>
      <c r="G345" s="138">
        <v>-2079.5978616709544</v>
      </c>
      <c r="H345" s="138">
        <v>7.5236038412640482E-3</v>
      </c>
      <c r="N345" s="138"/>
      <c r="O345" s="138"/>
      <c r="P345" s="138"/>
      <c r="R345">
        <v>247.09895941631018</v>
      </c>
      <c r="S345">
        <v>68.905183967636958</v>
      </c>
      <c r="T345">
        <v>246.66229245533225</v>
      </c>
      <c r="U345">
        <v>104.25688655147</v>
      </c>
      <c r="X345">
        <v>0.8616821653561868</v>
      </c>
      <c r="Y345">
        <v>0.82177457202418114</v>
      </c>
      <c r="Z345">
        <v>0.63041166812447491</v>
      </c>
      <c r="AA345">
        <v>0.82697100920233213</v>
      </c>
      <c r="AB345">
        <v>0.80560625046517309</v>
      </c>
      <c r="AC345">
        <v>0.89684020589562308</v>
      </c>
      <c r="AD345">
        <v>0.44459350204859371</v>
      </c>
      <c r="AE345">
        <v>0.5424262761687938</v>
      </c>
      <c r="AH345">
        <v>0.12416394753105242</v>
      </c>
      <c r="AI345">
        <v>0.19935115809961368</v>
      </c>
      <c r="AJ345">
        <v>0.13149816802302827</v>
      </c>
      <c r="AK345">
        <v>2.2417961215313698E-2</v>
      </c>
      <c r="AL345">
        <v>4.9597349214810404E-2</v>
      </c>
      <c r="AM345">
        <v>0.28570880944938282</v>
      </c>
      <c r="AN345">
        <v>8.8964314947187484E-3</v>
      </c>
      <c r="AO345">
        <v>0.27919370788341913</v>
      </c>
      <c r="AR345">
        <v>1.0271280884072143E-3</v>
      </c>
      <c r="AS345">
        <v>4.7091397698468818E-3</v>
      </c>
      <c r="AT345">
        <v>0.10057646273853726</v>
      </c>
      <c r="AU345">
        <v>1.9762029757875474E-3</v>
      </c>
      <c r="AV345">
        <v>2.1110942893545204E-3</v>
      </c>
      <c r="AW345">
        <v>3.1993776756161401E-3</v>
      </c>
      <c r="AX345">
        <v>3.8069176384310477E-4</v>
      </c>
      <c r="AY345">
        <v>4.240177603915433E-4</v>
      </c>
      <c r="BB345">
        <v>4.5818438719120225E-2</v>
      </c>
      <c r="BC345">
        <v>4.9948802882956334E-2</v>
      </c>
      <c r="BE345">
        <v>34912.486510558127</v>
      </c>
      <c r="BF345">
        <v>21.713349457413919</v>
      </c>
      <c r="BG345">
        <v>36992.084372229081</v>
      </c>
      <c r="BH345">
        <v>21.705825853572655</v>
      </c>
    </row>
    <row r="346" spans="3:60" x14ac:dyDescent="0.2">
      <c r="C346" s="138">
        <v>26026.522453426907</v>
      </c>
      <c r="D346" s="138">
        <v>20.968270863428899</v>
      </c>
      <c r="E346" s="138">
        <v>27741.529233109279</v>
      </c>
      <c r="F346" s="138">
        <v>20.948963141051685</v>
      </c>
      <c r="G346" s="138">
        <v>-1715.0067796823714</v>
      </c>
      <c r="H346" s="138">
        <v>1.9307722377213565E-2</v>
      </c>
      <c r="N346" s="138"/>
      <c r="O346" s="138"/>
      <c r="P346" s="138"/>
      <c r="R346">
        <v>245.02486359500875</v>
      </c>
      <c r="S346">
        <v>71.427308176824695</v>
      </c>
      <c r="T346">
        <v>250.94468273971378</v>
      </c>
      <c r="U346">
        <v>103.8676954266126</v>
      </c>
      <c r="X346">
        <v>0.80030996420436384</v>
      </c>
      <c r="Y346">
        <v>0.54495067635156291</v>
      </c>
      <c r="Z346">
        <v>0.59790083896140744</v>
      </c>
      <c r="AA346">
        <v>0.71956336242152652</v>
      </c>
      <c r="AB346">
        <v>0.90717230151412376</v>
      </c>
      <c r="AC346">
        <v>0.60633766641453046</v>
      </c>
      <c r="AD346">
        <v>0.81890244185903505</v>
      </c>
      <c r="AE346">
        <v>0.6337977155531147</v>
      </c>
      <c r="AH346">
        <v>0.18361570820291673</v>
      </c>
      <c r="AI346">
        <v>0.1839954147591627</v>
      </c>
      <c r="AJ346">
        <v>0.25866793065442251</v>
      </c>
      <c r="AK346">
        <v>0.2930387430994319</v>
      </c>
      <c r="AL346">
        <v>9.577774048498533E-2</v>
      </c>
      <c r="AM346">
        <v>0.15672636957614094</v>
      </c>
      <c r="AN346">
        <v>8.7171871935892931E-2</v>
      </c>
      <c r="AO346">
        <v>0.26565458394728991</v>
      </c>
      <c r="AR346">
        <v>8.5162785930456889E-4</v>
      </c>
      <c r="AS346">
        <v>4.3139303261755481E-3</v>
      </c>
      <c r="AT346">
        <v>0.10149856505754717</v>
      </c>
      <c r="AU346">
        <v>1.8106360463002965E-3</v>
      </c>
      <c r="AV346">
        <v>1.9608520420733868E-3</v>
      </c>
      <c r="AW346">
        <v>3.5120521399084614E-3</v>
      </c>
      <c r="AX346">
        <v>3.8770565674007727E-4</v>
      </c>
      <c r="AY346">
        <v>4.7184656701515504E-4</v>
      </c>
      <c r="BB346">
        <v>4.7293110220650719E-2</v>
      </c>
      <c r="BC346">
        <v>4.8019411456355243E-2</v>
      </c>
      <c r="BE346">
        <v>26026.522453426907</v>
      </c>
      <c r="BF346">
        <v>20.968270863428899</v>
      </c>
      <c r="BG346">
        <v>27741.529233109279</v>
      </c>
      <c r="BH346">
        <v>20.948963141051685</v>
      </c>
    </row>
    <row r="347" spans="3:60" x14ac:dyDescent="0.2">
      <c r="C347" s="138">
        <v>27414.161766937163</v>
      </c>
      <c r="D347" s="138">
        <v>20.246607229250095</v>
      </c>
      <c r="E347" s="138">
        <v>29290.373190906408</v>
      </c>
      <c r="F347" s="138">
        <v>20.181302120314843</v>
      </c>
      <c r="G347" s="138">
        <v>-1876.2114239692455</v>
      </c>
      <c r="H347" s="138">
        <v>6.5305108935252321E-2</v>
      </c>
      <c r="N347" s="138"/>
      <c r="O347" s="138"/>
      <c r="P347" s="138"/>
      <c r="R347">
        <v>300.38691596002946</v>
      </c>
      <c r="S347">
        <v>63.596425654247497</v>
      </c>
      <c r="T347">
        <v>245.20799382866977</v>
      </c>
      <c r="U347">
        <v>106.22749304415572</v>
      </c>
      <c r="X347">
        <v>0.60221878217938984</v>
      </c>
      <c r="Y347">
        <v>0.65442581508492592</v>
      </c>
      <c r="Z347">
        <v>0.86291747950265907</v>
      </c>
      <c r="AA347">
        <v>0.71920937195201529</v>
      </c>
      <c r="AB347">
        <v>0.59727169425421223</v>
      </c>
      <c r="AC347">
        <v>0.46329706882358002</v>
      </c>
      <c r="AD347">
        <v>0.7402731792082099</v>
      </c>
      <c r="AE347">
        <v>0.44732090099227795</v>
      </c>
      <c r="AH347">
        <v>4.2500187538495604E-2</v>
      </c>
      <c r="AI347">
        <v>0.12366804223170391</v>
      </c>
      <c r="AJ347">
        <v>1.1461230838012648E-2</v>
      </c>
      <c r="AK347">
        <v>0.16798830356699712</v>
      </c>
      <c r="AL347">
        <v>4.74738418956695E-2</v>
      </c>
      <c r="AM347">
        <v>7.1437850424814542E-2</v>
      </c>
      <c r="AN347">
        <v>0.13055875265217975</v>
      </c>
      <c r="AO347">
        <v>6.3535951330546681E-3</v>
      </c>
      <c r="AR347">
        <v>1.0623743453324064E-3</v>
      </c>
      <c r="AS347">
        <v>4.5135255277850561E-3</v>
      </c>
      <c r="AT347">
        <v>9.7849554387852186E-2</v>
      </c>
      <c r="AU347">
        <v>1.9117302675960813E-3</v>
      </c>
      <c r="AV347">
        <v>1.7869875125026669E-3</v>
      </c>
      <c r="AW347">
        <v>3.4910389001313602E-3</v>
      </c>
      <c r="AX347">
        <v>4.9400740850857883E-4</v>
      </c>
      <c r="AY347">
        <v>5.0219533605178057E-4</v>
      </c>
      <c r="BB347">
        <v>5.3675245638905134E-2</v>
      </c>
      <c r="BC347">
        <v>4.1163323026628694E-2</v>
      </c>
      <c r="BE347">
        <v>27414.161766937163</v>
      </c>
      <c r="BF347">
        <v>20.246607229250095</v>
      </c>
      <c r="BG347">
        <v>29290.373190906408</v>
      </c>
      <c r="BH347">
        <v>20.181302120314843</v>
      </c>
    </row>
    <row r="348" spans="3:60" x14ac:dyDescent="0.2">
      <c r="C348" s="138">
        <v>28527.692223242946</v>
      </c>
      <c r="D348" s="138">
        <v>20.892165910410881</v>
      </c>
      <c r="E348" s="138">
        <v>30582.393294929083</v>
      </c>
      <c r="F348" s="138">
        <v>20.868100328614382</v>
      </c>
      <c r="G348" s="138">
        <v>-2054.7010716861369</v>
      </c>
      <c r="H348" s="138">
        <v>2.4065581796499202E-2</v>
      </c>
      <c r="N348" s="138"/>
      <c r="O348" s="138"/>
      <c r="P348" s="138"/>
      <c r="R348">
        <v>40.440489522558266</v>
      </c>
      <c r="S348">
        <v>72.616766313587306</v>
      </c>
      <c r="T348">
        <v>241.47075878727233</v>
      </c>
      <c r="U348">
        <v>106.53327542068321</v>
      </c>
      <c r="X348">
        <v>0.81919458381476518</v>
      </c>
      <c r="Y348">
        <v>0.79230207992479251</v>
      </c>
      <c r="Z348">
        <v>0.81942724159791214</v>
      </c>
      <c r="AA348">
        <v>0.79143304924274116</v>
      </c>
      <c r="AB348">
        <v>0.84052108396891212</v>
      </c>
      <c r="AC348">
        <v>0.85886290724699843</v>
      </c>
      <c r="AD348">
        <v>0.7464045536727808</v>
      </c>
      <c r="AE348">
        <v>0.88716313888034837</v>
      </c>
      <c r="AH348">
        <v>0.28519944302149602</v>
      </c>
      <c r="AI348">
        <v>0.32088558404490786</v>
      </c>
      <c r="AJ348">
        <v>0.11280951131893524</v>
      </c>
      <c r="AK348">
        <v>0.10545104134044503</v>
      </c>
      <c r="AL348">
        <v>0.10054518099549659</v>
      </c>
      <c r="AM348">
        <v>7.5331373628752751E-2</v>
      </c>
      <c r="AN348">
        <v>3.7222061197618062E-2</v>
      </c>
      <c r="AO348">
        <v>0.25872115711017807</v>
      </c>
      <c r="AR348">
        <v>9.3273444698127594E-4</v>
      </c>
      <c r="AS348">
        <v>4.7963963826614942E-3</v>
      </c>
      <c r="AT348">
        <v>0.10047623780653037</v>
      </c>
      <c r="AU348">
        <v>2.0181651705762915E-3</v>
      </c>
      <c r="AV348">
        <v>1.8369931156105015E-3</v>
      </c>
      <c r="AW348">
        <v>3.1948450745630137E-3</v>
      </c>
      <c r="AX348">
        <v>3.1550549237560892E-4</v>
      </c>
      <c r="AY348">
        <v>4.9761677379578373E-4</v>
      </c>
      <c r="BB348">
        <v>6.1732412715138629E-2</v>
      </c>
      <c r="BC348">
        <v>3.7906321750270089E-2</v>
      </c>
      <c r="BE348">
        <v>28527.692223242946</v>
      </c>
      <c r="BF348">
        <v>20.892165910410881</v>
      </c>
      <c r="BG348">
        <v>30582.393294929083</v>
      </c>
      <c r="BH348">
        <v>20.868100328614382</v>
      </c>
    </row>
    <row r="349" spans="3:60" x14ac:dyDescent="0.2">
      <c r="C349" s="138">
        <v>34489.818758092864</v>
      </c>
      <c r="D349" s="138">
        <v>20.29704080909827</v>
      </c>
      <c r="E349" s="138">
        <v>36825.617613783834</v>
      </c>
      <c r="F349" s="138">
        <v>20.244656237711801</v>
      </c>
      <c r="G349" s="138">
        <v>-2335.7988556909695</v>
      </c>
      <c r="H349" s="138">
        <v>5.2384571386468792E-2</v>
      </c>
      <c r="N349" s="138"/>
      <c r="O349" s="138"/>
      <c r="P349" s="138"/>
      <c r="R349">
        <v>249.82180262276086</v>
      </c>
      <c r="S349">
        <v>60.276708074159785</v>
      </c>
      <c r="T349">
        <v>216.49804625999224</v>
      </c>
      <c r="U349">
        <v>99.56000116743715</v>
      </c>
      <c r="X349">
        <v>0.7173875207463658</v>
      </c>
      <c r="Y349">
        <v>0.78197287601587351</v>
      </c>
      <c r="Z349">
        <v>0.82743802165330316</v>
      </c>
      <c r="AA349">
        <v>0.77046735890530615</v>
      </c>
      <c r="AB349">
        <v>0.78456711367793064</v>
      </c>
      <c r="AC349">
        <v>0.82053341390080392</v>
      </c>
      <c r="AD349">
        <v>0.71516486228349385</v>
      </c>
      <c r="AE349">
        <v>0.84584161932985058</v>
      </c>
      <c r="AH349">
        <v>0.15704810596520813</v>
      </c>
      <c r="AI349">
        <v>8.2532583952550143E-2</v>
      </c>
      <c r="AJ349">
        <v>8.8534658889337536E-2</v>
      </c>
      <c r="AK349">
        <v>0.15977588507751661</v>
      </c>
      <c r="AL349">
        <v>6.2002000135326973E-2</v>
      </c>
      <c r="AM349">
        <v>0.23974763199222304</v>
      </c>
      <c r="AN349">
        <v>9.6338353622499984E-2</v>
      </c>
      <c r="AO349">
        <v>0.15644679522890215</v>
      </c>
      <c r="AR349">
        <v>9.7020474492215403E-4</v>
      </c>
      <c r="AS349">
        <v>4.5280321141547564E-3</v>
      </c>
      <c r="AT349">
        <v>0.10246473866108285</v>
      </c>
      <c r="AU349">
        <v>2.130067699762539E-3</v>
      </c>
      <c r="AV349">
        <v>1.958486542421963E-3</v>
      </c>
      <c r="AW349">
        <v>3.2852630641848294E-3</v>
      </c>
      <c r="AX349">
        <v>4.5732775194751163E-4</v>
      </c>
      <c r="AY349">
        <v>3.5565648799461546E-4</v>
      </c>
      <c r="BB349">
        <v>4.6670151433205333E-2</v>
      </c>
      <c r="BC349">
        <v>3.6884009776710684E-2</v>
      </c>
      <c r="BE349">
        <v>34489.818758092864</v>
      </c>
      <c r="BF349">
        <v>20.29704080909827</v>
      </c>
      <c r="BG349">
        <v>36825.617613783834</v>
      </c>
      <c r="BH349">
        <v>20.244656237711801</v>
      </c>
    </row>
    <row r="350" spans="3:60" x14ac:dyDescent="0.2">
      <c r="C350" s="138">
        <v>33023.546591840015</v>
      </c>
      <c r="D350" s="138">
        <v>20.12359216063388</v>
      </c>
      <c r="E350" s="138">
        <v>35452.619433147302</v>
      </c>
      <c r="F350" s="138">
        <v>20.075811003753131</v>
      </c>
      <c r="G350" s="138">
        <v>-2429.0728413072866</v>
      </c>
      <c r="H350" s="138">
        <v>4.778115688074891E-2</v>
      </c>
      <c r="N350" s="138"/>
      <c r="O350" s="138"/>
      <c r="P350" s="138"/>
      <c r="R350">
        <v>62.691465883017429</v>
      </c>
      <c r="S350">
        <v>61.044551772820931</v>
      </c>
      <c r="T350">
        <v>258.6182235885143</v>
      </c>
      <c r="U350">
        <v>92.577889309002842</v>
      </c>
      <c r="X350">
        <v>0.81678369879101254</v>
      </c>
      <c r="Y350">
        <v>0.91041066917480562</v>
      </c>
      <c r="Z350">
        <v>0.8368465405191422</v>
      </c>
      <c r="AA350">
        <v>0.67101239736941853</v>
      </c>
      <c r="AB350">
        <v>0.71828753230468556</v>
      </c>
      <c r="AC350">
        <v>0.91949679497038206</v>
      </c>
      <c r="AD350">
        <v>0.75891645210410086</v>
      </c>
      <c r="AE350">
        <v>0.87048870033827219</v>
      </c>
      <c r="AH350">
        <v>0.12055657548829846</v>
      </c>
      <c r="AI350">
        <v>0.18959621684725791</v>
      </c>
      <c r="AJ350">
        <v>2.063738711074059E-2</v>
      </c>
      <c r="AK350">
        <v>0.19551454897153464</v>
      </c>
      <c r="AL350">
        <v>7.6524606082103319E-2</v>
      </c>
      <c r="AM350">
        <v>0.11658607183631731</v>
      </c>
      <c r="AN350">
        <v>0.1717019827074473</v>
      </c>
      <c r="AO350">
        <v>0.27855967910767665</v>
      </c>
      <c r="AR350">
        <v>1.0594904620708778E-3</v>
      </c>
      <c r="AS350">
        <v>4.6512139915632078E-3</v>
      </c>
      <c r="AT350">
        <v>0.1006426347711934</v>
      </c>
      <c r="AU350">
        <v>2.1216006325179837E-3</v>
      </c>
      <c r="AV350">
        <v>2.0919203416218668E-3</v>
      </c>
      <c r="AW350">
        <v>3.6260888555859072E-3</v>
      </c>
      <c r="AX350">
        <v>5.1727772156884289E-4</v>
      </c>
      <c r="AY350">
        <v>4.0797916557376546E-4</v>
      </c>
      <c r="BB350">
        <v>5.7324303399016507E-2</v>
      </c>
      <c r="BC350">
        <v>1.7254585553290312E-2</v>
      </c>
      <c r="BE350">
        <v>33023.546591840015</v>
      </c>
      <c r="BF350">
        <v>20.12359216063388</v>
      </c>
      <c r="BG350">
        <v>35452.619433147302</v>
      </c>
      <c r="BH350">
        <v>20.075811003753131</v>
      </c>
    </row>
    <row r="351" spans="3:60" x14ac:dyDescent="0.2">
      <c r="C351" s="138">
        <v>27092.665865916275</v>
      </c>
      <c r="D351" s="138">
        <v>20.707818351006676</v>
      </c>
      <c r="E351" s="138">
        <v>29267.926126805374</v>
      </c>
      <c r="F351" s="138">
        <v>20.668605571379246</v>
      </c>
      <c r="G351" s="138">
        <v>-2175.2602608890993</v>
      </c>
      <c r="H351" s="138">
        <v>3.9212779627430194E-2</v>
      </c>
      <c r="N351" s="138"/>
      <c r="O351" s="138"/>
      <c r="P351" s="138"/>
      <c r="R351">
        <v>297.10009108206327</v>
      </c>
      <c r="S351">
        <v>57.877916889116975</v>
      </c>
      <c r="T351">
        <v>243.26668590983758</v>
      </c>
      <c r="U351">
        <v>89.352713108251308</v>
      </c>
      <c r="X351">
        <v>0.42333806984317013</v>
      </c>
      <c r="Y351">
        <v>0.75881629083287105</v>
      </c>
      <c r="Z351">
        <v>0.84392096678103379</v>
      </c>
      <c r="AA351">
        <v>0.74157151644486663</v>
      </c>
      <c r="AB351">
        <v>0.73691623456786726</v>
      </c>
      <c r="AC351">
        <v>0.45243517099119623</v>
      </c>
      <c r="AD351">
        <v>0.84836100590661312</v>
      </c>
      <c r="AE351">
        <v>0.67426129106540511</v>
      </c>
      <c r="AH351">
        <v>7.459817161006832E-2</v>
      </c>
      <c r="AI351">
        <v>9.103669986053331E-2</v>
      </c>
      <c r="AJ351">
        <v>0.16033026167364783</v>
      </c>
      <c r="AK351">
        <v>0.17223715064831668</v>
      </c>
      <c r="AL351">
        <v>3.0246207386392943E-2</v>
      </c>
      <c r="AM351">
        <v>0.20765895649347499</v>
      </c>
      <c r="AN351">
        <v>0.13170897125324521</v>
      </c>
      <c r="AO351">
        <v>5.0224091678052307E-2</v>
      </c>
      <c r="AR351">
        <v>1.0563524919398048E-3</v>
      </c>
      <c r="AS351">
        <v>4.4445200956160467E-3</v>
      </c>
      <c r="AT351">
        <v>0.10035348651371823</v>
      </c>
      <c r="AU351">
        <v>2.1418534986766824E-3</v>
      </c>
      <c r="AV351">
        <v>2.1026747912937793E-3</v>
      </c>
      <c r="AW351">
        <v>3.1545495005933276E-3</v>
      </c>
      <c r="AX351">
        <v>3.984322723986633E-4</v>
      </c>
      <c r="AY351">
        <v>3.7558762678432782E-4</v>
      </c>
      <c r="BB351">
        <v>5.2997167719394001E-2</v>
      </c>
      <c r="BC351">
        <v>7.0389109519796489E-2</v>
      </c>
      <c r="BE351">
        <v>27092.665865916275</v>
      </c>
      <c r="BF351">
        <v>20.707818351006676</v>
      </c>
      <c r="BG351">
        <v>29267.926126805374</v>
      </c>
      <c r="BH351">
        <v>20.668605571379246</v>
      </c>
    </row>
    <row r="352" spans="3:60" x14ac:dyDescent="0.2">
      <c r="C352" s="138">
        <v>33214.042286862532</v>
      </c>
      <c r="D352" s="138">
        <v>21.206846693034322</v>
      </c>
      <c r="E352" s="138">
        <v>35526.894222534414</v>
      </c>
      <c r="F352" s="138">
        <v>21.208748908482999</v>
      </c>
      <c r="G352" s="138">
        <v>-2312.8519356718825</v>
      </c>
      <c r="H352" s="138">
        <v>-1.9022154486769693E-3</v>
      </c>
      <c r="N352" s="138"/>
      <c r="O352" s="138"/>
      <c r="P352" s="138"/>
      <c r="R352">
        <v>155.1560664484299</v>
      </c>
      <c r="S352">
        <v>55.278276294611572</v>
      </c>
      <c r="T352">
        <v>268.647558687372</v>
      </c>
      <c r="U352">
        <v>90.50828493477465</v>
      </c>
      <c r="X352">
        <v>0.691668721300289</v>
      </c>
      <c r="Y352">
        <v>0.60012647328087765</v>
      </c>
      <c r="Z352">
        <v>0.95865383047330788</v>
      </c>
      <c r="AA352">
        <v>0.59777652047793439</v>
      </c>
      <c r="AB352">
        <v>0.54806261030320047</v>
      </c>
      <c r="AC352">
        <v>0.86482464343499044</v>
      </c>
      <c r="AD352">
        <v>0.79387097158089415</v>
      </c>
      <c r="AE352">
        <v>0.42299650752298085</v>
      </c>
      <c r="AH352">
        <v>5.2905591895491599E-2</v>
      </c>
      <c r="AI352">
        <v>0.21000356545519372</v>
      </c>
      <c r="AJ352">
        <v>2.1615537887810343E-2</v>
      </c>
      <c r="AK352">
        <v>0.10050085351415838</v>
      </c>
      <c r="AL352">
        <v>6.0554005941077294E-2</v>
      </c>
      <c r="AM352">
        <v>3.9154885332375544E-2</v>
      </c>
      <c r="AN352">
        <v>0.10763526519846245</v>
      </c>
      <c r="AO352">
        <v>0.2537185681755727</v>
      </c>
      <c r="AR352">
        <v>9.9004400408997384E-4</v>
      </c>
      <c r="AS352">
        <v>4.3207803978445028E-3</v>
      </c>
      <c r="AT352">
        <v>0.10074782946080152</v>
      </c>
      <c r="AU352">
        <v>1.9485166119452859E-3</v>
      </c>
      <c r="AV352">
        <v>1.8916565409073725E-3</v>
      </c>
      <c r="AW352">
        <v>3.5664622327645779E-3</v>
      </c>
      <c r="AX352">
        <v>3.9239668275478889E-4</v>
      </c>
      <c r="AY352">
        <v>4.5468448782426396E-4</v>
      </c>
      <c r="BB352">
        <v>5.9348614318356585E-2</v>
      </c>
      <c r="BC352">
        <v>7.6075825975354672E-2</v>
      </c>
      <c r="BE352">
        <v>33214.042286862532</v>
      </c>
      <c r="BF352">
        <v>21.206846693034322</v>
      </c>
      <c r="BG352">
        <v>35526.894222534414</v>
      </c>
      <c r="BH352">
        <v>21.208748908482999</v>
      </c>
    </row>
    <row r="353" spans="3:60" x14ac:dyDescent="0.2">
      <c r="C353" s="138">
        <v>24282.641936635911</v>
      </c>
      <c r="D353" s="138">
        <v>19.684533257143663</v>
      </c>
      <c r="E353" s="138">
        <v>26022.411070426664</v>
      </c>
      <c r="F353" s="138">
        <v>19.618170254058953</v>
      </c>
      <c r="G353" s="138">
        <v>-1739.7691337907527</v>
      </c>
      <c r="H353" s="138">
        <v>6.6363003084710215E-2</v>
      </c>
      <c r="N353" s="138"/>
      <c r="O353" s="138"/>
      <c r="P353" s="138"/>
      <c r="R353">
        <v>190.52498028301574</v>
      </c>
      <c r="S353">
        <v>55.151819460876212</v>
      </c>
      <c r="T353">
        <v>263.66307996643525</v>
      </c>
      <c r="U353">
        <v>100.79392848799725</v>
      </c>
      <c r="X353">
        <v>0.48813469120907876</v>
      </c>
      <c r="Y353">
        <v>0.89861942386473936</v>
      </c>
      <c r="Z353">
        <v>0.79577686636606437</v>
      </c>
      <c r="AA353">
        <v>0.61539456687559069</v>
      </c>
      <c r="AB353">
        <v>0.71444052727184659</v>
      </c>
      <c r="AC353">
        <v>0.66507967669756463</v>
      </c>
      <c r="AD353">
        <v>0.40839540992941192</v>
      </c>
      <c r="AE353">
        <v>0.60514669305481317</v>
      </c>
      <c r="AH353">
        <v>0.25499793673187954</v>
      </c>
      <c r="AI353">
        <v>0.14375999329804667</v>
      </c>
      <c r="AJ353">
        <v>0.15759860844539197</v>
      </c>
      <c r="AK353">
        <v>0.18532119625751109</v>
      </c>
      <c r="AL353">
        <v>0.13979205102559245</v>
      </c>
      <c r="AM353">
        <v>9.593238071957666E-2</v>
      </c>
      <c r="AN353">
        <v>0.19813485322671642</v>
      </c>
      <c r="AO353">
        <v>7.9132299907803794E-2</v>
      </c>
      <c r="AR353">
        <v>1.0047911473967108E-3</v>
      </c>
      <c r="AS353">
        <v>4.5229216230611158E-3</v>
      </c>
      <c r="AT353">
        <v>0.10025594274948701</v>
      </c>
      <c r="AU353">
        <v>1.9483431901345983E-3</v>
      </c>
      <c r="AV353">
        <v>1.8615610983052785E-3</v>
      </c>
      <c r="AW353">
        <v>3.41723343793221E-3</v>
      </c>
      <c r="AX353">
        <v>2.9475229065409553E-4</v>
      </c>
      <c r="AY353">
        <v>3.0603598728073012E-4</v>
      </c>
      <c r="BB353">
        <v>4.8920888286706557E-2</v>
      </c>
      <c r="BC353">
        <v>4.5782634813955107E-2</v>
      </c>
      <c r="BE353">
        <v>24282.641936635911</v>
      </c>
      <c r="BF353">
        <v>19.684533257143663</v>
      </c>
      <c r="BG353">
        <v>26022.411070426664</v>
      </c>
      <c r="BH353">
        <v>19.618170254058953</v>
      </c>
    </row>
    <row r="354" spans="3:60" x14ac:dyDescent="0.2">
      <c r="C354" s="138">
        <v>28287.805745904599</v>
      </c>
      <c r="D354" s="138">
        <v>21.117640844637737</v>
      </c>
      <c r="E354" s="138">
        <v>30356.613378175505</v>
      </c>
      <c r="F354" s="138">
        <v>21.090138559724608</v>
      </c>
      <c r="G354" s="138">
        <v>-2068.8076322709057</v>
      </c>
      <c r="H354" s="138">
        <v>2.7502284913129671E-2</v>
      </c>
      <c r="N354" s="138"/>
      <c r="O354" s="138"/>
      <c r="P354" s="138"/>
      <c r="R354">
        <v>69.033575059618045</v>
      </c>
      <c r="S354">
        <v>63.390218825022323</v>
      </c>
      <c r="T354">
        <v>226.27596885300613</v>
      </c>
      <c r="U354">
        <v>103.07907587180127</v>
      </c>
      <c r="X354">
        <v>0.54688251187645942</v>
      </c>
      <c r="Y354">
        <v>0.68272856252047054</v>
      </c>
      <c r="Z354">
        <v>0.83967319593615763</v>
      </c>
      <c r="AA354">
        <v>0.90572946026712775</v>
      </c>
      <c r="AB354">
        <v>0.80197183699555241</v>
      </c>
      <c r="AC354">
        <v>0.7752729864163076</v>
      </c>
      <c r="AD354">
        <v>0.45382657932160619</v>
      </c>
      <c r="AE354">
        <v>0.55861762205820509</v>
      </c>
      <c r="AH354">
        <v>6.5954088380409281E-2</v>
      </c>
      <c r="AI354">
        <v>0.20445881208215066</v>
      </c>
      <c r="AJ354">
        <v>1.0587677592479916E-2</v>
      </c>
      <c r="AK354">
        <v>0.15310241403140834</v>
      </c>
      <c r="AL354">
        <v>0.17461991238603614</v>
      </c>
      <c r="AM354">
        <v>5.1935450695157259E-2</v>
      </c>
      <c r="AN354">
        <v>0.19087504356345053</v>
      </c>
      <c r="AO354">
        <v>0.25719010127528152</v>
      </c>
      <c r="AR354">
        <v>1.0314455944742118E-3</v>
      </c>
      <c r="AS354">
        <v>4.6283862687901411E-3</v>
      </c>
      <c r="AT354">
        <v>9.9858397797610243E-2</v>
      </c>
      <c r="AU354">
        <v>1.9322165470267759E-3</v>
      </c>
      <c r="AV354">
        <v>2.1278919839218258E-3</v>
      </c>
      <c r="AW354">
        <v>3.8787153631061333E-3</v>
      </c>
      <c r="AX354">
        <v>3.8357977048879304E-4</v>
      </c>
      <c r="AY354">
        <v>4.7895316786239484E-4</v>
      </c>
      <c r="BB354">
        <v>5.5392561102171833E-2</v>
      </c>
      <c r="BC354">
        <v>3.5585474096519333E-2</v>
      </c>
      <c r="BE354">
        <v>28287.805745904599</v>
      </c>
      <c r="BF354">
        <v>21.117640844637737</v>
      </c>
      <c r="BG354">
        <v>30356.613378175505</v>
      </c>
      <c r="BH354">
        <v>21.090138559724608</v>
      </c>
    </row>
    <row r="355" spans="3:60" x14ac:dyDescent="0.2">
      <c r="C355" s="138">
        <v>30460.928887177899</v>
      </c>
      <c r="D355" s="138">
        <v>21.56741881741462</v>
      </c>
      <c r="E355" s="138">
        <v>32087.749850845397</v>
      </c>
      <c r="F355" s="138">
        <v>21.569326644358448</v>
      </c>
      <c r="G355" s="138">
        <v>-1626.8209636674983</v>
      </c>
      <c r="H355" s="138">
        <v>-1.9078269438281836E-3</v>
      </c>
      <c r="N355" s="138"/>
      <c r="O355" s="138"/>
      <c r="P355" s="138"/>
      <c r="R355">
        <v>214.67744505442292</v>
      </c>
      <c r="S355">
        <v>62.601234066798668</v>
      </c>
      <c r="T355">
        <v>273.19797436784671</v>
      </c>
      <c r="U355">
        <v>100.22882299949366</v>
      </c>
      <c r="X355">
        <v>0.77827674383355205</v>
      </c>
      <c r="Y355">
        <v>0.73229499597446501</v>
      </c>
      <c r="Z355">
        <v>0.52074258993668043</v>
      </c>
      <c r="AA355">
        <v>0.72997430995961932</v>
      </c>
      <c r="AB355">
        <v>0.83921260532217756</v>
      </c>
      <c r="AC355">
        <v>0.74975061834844225</v>
      </c>
      <c r="AD355">
        <v>0.87094892218231346</v>
      </c>
      <c r="AE355">
        <v>0.70579571868713342</v>
      </c>
      <c r="AH355">
        <v>1.6997978767840038E-2</v>
      </c>
      <c r="AI355">
        <v>0.20463641530440835</v>
      </c>
      <c r="AJ355">
        <v>0.15878083347918492</v>
      </c>
      <c r="AK355">
        <v>0.10603507156829539</v>
      </c>
      <c r="AL355">
        <v>4.952403380348791E-2</v>
      </c>
      <c r="AM355">
        <v>7.1518098964689081E-2</v>
      </c>
      <c r="AN355">
        <v>0.26968948207514598</v>
      </c>
      <c r="AO355">
        <v>0.150536424899955</v>
      </c>
      <c r="AR355">
        <v>9.4539490374645485E-4</v>
      </c>
      <c r="AS355">
        <v>4.3303773963472448E-3</v>
      </c>
      <c r="AT355">
        <v>0.10152775433563643</v>
      </c>
      <c r="AU355">
        <v>1.9730323160618989E-3</v>
      </c>
      <c r="AV355">
        <v>1.5613203577249655E-3</v>
      </c>
      <c r="AW355">
        <v>3.4620372874458738E-3</v>
      </c>
      <c r="AX355">
        <v>5.2502314468194644E-4</v>
      </c>
      <c r="AY355">
        <v>3.9548049669381745E-4</v>
      </c>
      <c r="BB355">
        <v>6.1430466933498074E-2</v>
      </c>
      <c r="BC355">
        <v>3.6693187432196621E-2</v>
      </c>
      <c r="BE355">
        <v>30460.928887177899</v>
      </c>
      <c r="BF355">
        <v>21.56741881741462</v>
      </c>
      <c r="BG355">
        <v>32087.749850845397</v>
      </c>
      <c r="BH355">
        <v>21.569326644358448</v>
      </c>
    </row>
    <row r="356" spans="3:60" x14ac:dyDescent="0.2">
      <c r="C356" s="138">
        <v>27568.03387819646</v>
      </c>
      <c r="D356" s="138">
        <v>19.951344827184172</v>
      </c>
      <c r="E356" s="138">
        <v>29508.719528023521</v>
      </c>
      <c r="F356" s="138">
        <v>19.883855749300576</v>
      </c>
      <c r="G356" s="138">
        <v>-1940.6856498270608</v>
      </c>
      <c r="H356" s="138">
        <v>6.7489077883596593E-2</v>
      </c>
      <c r="N356" s="138"/>
      <c r="O356" s="138"/>
      <c r="P356" s="138"/>
      <c r="R356">
        <v>253.31405093380769</v>
      </c>
      <c r="S356">
        <v>59.554856185220437</v>
      </c>
      <c r="T356">
        <v>201.39117194868356</v>
      </c>
      <c r="U356">
        <v>115.73825357447949</v>
      </c>
      <c r="X356">
        <v>0.92986436481571377</v>
      </c>
      <c r="Y356">
        <v>0.79565738344743808</v>
      </c>
      <c r="Z356">
        <v>0.69879167919787577</v>
      </c>
      <c r="AA356">
        <v>0.83581500016387522</v>
      </c>
      <c r="AB356">
        <v>0.71658811445691128</v>
      </c>
      <c r="AC356">
        <v>0.72181608912787498</v>
      </c>
      <c r="AD356">
        <v>0.78127287893094066</v>
      </c>
      <c r="AE356">
        <v>0.84085703220876762</v>
      </c>
      <c r="AH356">
        <v>0.12943428771646093</v>
      </c>
      <c r="AI356">
        <v>9.323280011634183E-2</v>
      </c>
      <c r="AJ356">
        <v>0.22337421929029433</v>
      </c>
      <c r="AK356">
        <v>0.10162327413890249</v>
      </c>
      <c r="AL356">
        <v>3.6925844179267808E-2</v>
      </c>
      <c r="AM356">
        <v>0.24431040514861835</v>
      </c>
      <c r="AN356">
        <v>1.410272753047237E-2</v>
      </c>
      <c r="AO356">
        <v>0.11221387270018668</v>
      </c>
      <c r="AR356">
        <v>7.4984906808596907E-4</v>
      </c>
      <c r="AS356">
        <v>4.7051656422480992E-3</v>
      </c>
      <c r="AT356">
        <v>0.10026299574976294</v>
      </c>
      <c r="AU356">
        <v>2.0536902745417196E-3</v>
      </c>
      <c r="AV356">
        <v>2.0564777920764055E-3</v>
      </c>
      <c r="AW356">
        <v>3.4316008852171009E-3</v>
      </c>
      <c r="AX356">
        <v>4.9964450299511132E-4</v>
      </c>
      <c r="AY356">
        <v>3.1788385821753418E-4</v>
      </c>
      <c r="BB356">
        <v>5.7585306960461824E-2</v>
      </c>
      <c r="BC356">
        <v>5.5468541474708255E-2</v>
      </c>
      <c r="BE356">
        <v>27568.03387819646</v>
      </c>
      <c r="BF356">
        <v>19.951344827184172</v>
      </c>
      <c r="BG356">
        <v>29508.719528023521</v>
      </c>
      <c r="BH356">
        <v>19.883855749300576</v>
      </c>
    </row>
    <row r="357" spans="3:60" x14ac:dyDescent="0.2">
      <c r="C357" s="138">
        <v>23927.051994831763</v>
      </c>
      <c r="D357" s="138">
        <v>21.362313093877841</v>
      </c>
      <c r="E357" s="138">
        <v>25618.146449946824</v>
      </c>
      <c r="F357" s="138">
        <v>21.342334673360714</v>
      </c>
      <c r="G357" s="138">
        <v>-1691.0944551150606</v>
      </c>
      <c r="H357" s="138">
        <v>1.9978420517126949E-2</v>
      </c>
      <c r="N357" s="138"/>
      <c r="O357" s="138"/>
      <c r="P357" s="138"/>
      <c r="R357">
        <v>336.48280767718705</v>
      </c>
      <c r="S357">
        <v>63.001967306233752</v>
      </c>
      <c r="T357">
        <v>252.02776731611712</v>
      </c>
      <c r="U357">
        <v>87.754638884966667</v>
      </c>
      <c r="X357">
        <v>0.67162488363838813</v>
      </c>
      <c r="Y357">
        <v>0.46344777398318082</v>
      </c>
      <c r="Z357">
        <v>0.87500685713951354</v>
      </c>
      <c r="AA357">
        <v>0.83622115848358458</v>
      </c>
      <c r="AB357">
        <v>0.91787254672894447</v>
      </c>
      <c r="AC357">
        <v>0.90792486297548725</v>
      </c>
      <c r="AD357">
        <v>0.73137888804555717</v>
      </c>
      <c r="AE357">
        <v>0.53206268137178059</v>
      </c>
      <c r="AH357">
        <v>0.16083838164347364</v>
      </c>
      <c r="AI357">
        <v>4.7727115813458232E-2</v>
      </c>
      <c r="AJ357">
        <v>0.30487432771427025</v>
      </c>
      <c r="AK357">
        <v>0.10376452688406668</v>
      </c>
      <c r="AL357">
        <v>0.22305848709693543</v>
      </c>
      <c r="AM357">
        <v>0.20538473666758195</v>
      </c>
      <c r="AN357">
        <v>0.10235132986046558</v>
      </c>
      <c r="AO357">
        <v>0.13803478934753999</v>
      </c>
      <c r="AR357">
        <v>9.5731447709224149E-4</v>
      </c>
      <c r="AS357">
        <v>4.7980155597334706E-3</v>
      </c>
      <c r="AT357">
        <v>9.9815472894140139E-2</v>
      </c>
      <c r="AU357">
        <v>2.0748610613104956E-3</v>
      </c>
      <c r="AV357">
        <v>1.8284469089463536E-3</v>
      </c>
      <c r="AW357">
        <v>3.9187501757116383E-3</v>
      </c>
      <c r="AX357">
        <v>4.7423805933277663E-4</v>
      </c>
      <c r="AY357">
        <v>4.4568016300888298E-4</v>
      </c>
      <c r="BB357">
        <v>5.6225771890963339E-2</v>
      </c>
      <c r="BC357">
        <v>3.0123248798652E-2</v>
      </c>
      <c r="BE357">
        <v>23927.051994831763</v>
      </c>
      <c r="BF357">
        <v>21.362313093877841</v>
      </c>
      <c r="BG357">
        <v>25618.146449946824</v>
      </c>
      <c r="BH357">
        <v>21.342334673360714</v>
      </c>
    </row>
    <row r="358" spans="3:60" x14ac:dyDescent="0.2">
      <c r="C358" s="138">
        <v>31055.51483253538</v>
      </c>
      <c r="D358" s="138">
        <v>21.404168468577204</v>
      </c>
      <c r="E358" s="138">
        <v>33271.126784314183</v>
      </c>
      <c r="F358" s="138">
        <v>21.397572720352329</v>
      </c>
      <c r="G358" s="138">
        <v>-2215.6119517788029</v>
      </c>
      <c r="H358" s="138">
        <v>6.5957482248748533E-3</v>
      </c>
      <c r="N358" s="138"/>
      <c r="O358" s="138"/>
      <c r="P358" s="138"/>
      <c r="R358">
        <v>112.40145492269167</v>
      </c>
      <c r="S358">
        <v>61.285509384898177</v>
      </c>
      <c r="T358">
        <v>273.35982882008324</v>
      </c>
      <c r="U358">
        <v>98.621531525535133</v>
      </c>
      <c r="X358">
        <v>0.61580672576397111</v>
      </c>
      <c r="Y358">
        <v>0.9155295130899247</v>
      </c>
      <c r="Z358">
        <v>0.5656116273511117</v>
      </c>
      <c r="AA358">
        <v>0.74242453696590671</v>
      </c>
      <c r="AB358">
        <v>0.8494014841576244</v>
      </c>
      <c r="AC358">
        <v>0.71579437352761943</v>
      </c>
      <c r="AD358">
        <v>0.49779880744413973</v>
      </c>
      <c r="AE358">
        <v>0.83674480247665639</v>
      </c>
      <c r="AH358">
        <v>0.19494992540053924</v>
      </c>
      <c r="AI358">
        <v>0.18740858318034626</v>
      </c>
      <c r="AJ358">
        <v>0.1787845962790281</v>
      </c>
      <c r="AK358">
        <v>0.21962536282938672</v>
      </c>
      <c r="AL358">
        <v>0.10186434253028764</v>
      </c>
      <c r="AM358">
        <v>0.19601167737362346</v>
      </c>
      <c r="AN358">
        <v>9.0048135586087374E-2</v>
      </c>
      <c r="AO358">
        <v>6.1859782663429952E-2</v>
      </c>
      <c r="AR358">
        <v>8.8218807808403924E-4</v>
      </c>
      <c r="AS358">
        <v>4.3796954268430907E-3</v>
      </c>
      <c r="AT358">
        <v>9.8931473466849912E-2</v>
      </c>
      <c r="AU358">
        <v>2.2252583579308594E-3</v>
      </c>
      <c r="AV358">
        <v>2.3292469272970795E-3</v>
      </c>
      <c r="AW358">
        <v>3.4267681834543318E-3</v>
      </c>
      <c r="AX358">
        <v>5.0938582344040029E-4</v>
      </c>
      <c r="AY358">
        <v>4.6114558184684462E-4</v>
      </c>
      <c r="BB358">
        <v>5.0248539034731809E-2</v>
      </c>
      <c r="BC358">
        <v>6.7931702188201326E-2</v>
      </c>
      <c r="BE358">
        <v>31055.51483253538</v>
      </c>
      <c r="BF358">
        <v>21.404168468577204</v>
      </c>
      <c r="BG358">
        <v>33271.126784314183</v>
      </c>
      <c r="BH358">
        <v>21.397572720352329</v>
      </c>
    </row>
    <row r="359" spans="3:60" x14ac:dyDescent="0.2">
      <c r="C359" s="138">
        <v>30126.670945765687</v>
      </c>
      <c r="D359" s="138">
        <v>21.107124749355687</v>
      </c>
      <c r="E359" s="138">
        <v>32053.558669390575</v>
      </c>
      <c r="F359" s="138">
        <v>21.094576084223789</v>
      </c>
      <c r="G359" s="138">
        <v>-1926.8877236248882</v>
      </c>
      <c r="H359" s="138">
        <v>1.2548665131898673E-2</v>
      </c>
      <c r="N359" s="138"/>
      <c r="O359" s="138"/>
      <c r="P359" s="138"/>
      <c r="R359">
        <v>342.9975455520518</v>
      </c>
      <c r="S359">
        <v>60.623701549288477</v>
      </c>
      <c r="T359">
        <v>258.98261679491571</v>
      </c>
      <c r="U359">
        <v>99.594475937373318</v>
      </c>
      <c r="X359">
        <v>0.47943815895896319</v>
      </c>
      <c r="Y359">
        <v>0.8281673530287228</v>
      </c>
      <c r="Z359">
        <v>0.72214402628202845</v>
      </c>
      <c r="AA359">
        <v>0.49359347641255352</v>
      </c>
      <c r="AB359">
        <v>0.59617723981296555</v>
      </c>
      <c r="AC359">
        <v>0.74923372533196197</v>
      </c>
      <c r="AD359">
        <v>0.82896321575032572</v>
      </c>
      <c r="AE359">
        <v>0.84013069925625572</v>
      </c>
      <c r="AH359">
        <v>0.15079477889341519</v>
      </c>
      <c r="AI359">
        <v>0.19272476235175062</v>
      </c>
      <c r="AJ359">
        <v>0.11862697256101062</v>
      </c>
      <c r="AK359">
        <v>0.1044902677267594</v>
      </c>
      <c r="AL359">
        <v>8.9318048167670305E-2</v>
      </c>
      <c r="AM359">
        <v>6.9977876208545675E-2</v>
      </c>
      <c r="AN359">
        <v>5.1330530775096417E-2</v>
      </c>
      <c r="AO359">
        <v>4.5932232544326657E-2</v>
      </c>
      <c r="AR359">
        <v>8.253291361294742E-4</v>
      </c>
      <c r="AS359">
        <v>4.7785633521417736E-3</v>
      </c>
      <c r="AT359">
        <v>9.9726652992455145E-2</v>
      </c>
      <c r="AU359">
        <v>2.3067057937785629E-3</v>
      </c>
      <c r="AV359">
        <v>1.7844006846360924E-3</v>
      </c>
      <c r="AW359">
        <v>3.3231236606439444E-3</v>
      </c>
      <c r="AX359">
        <v>3.5529527243494021E-4</v>
      </c>
      <c r="AY359">
        <v>4.4016334830474218E-4</v>
      </c>
      <c r="BB359">
        <v>5.1680328158472566E-2</v>
      </c>
      <c r="BC359">
        <v>5.4897095694225517E-2</v>
      </c>
      <c r="BE359">
        <v>30126.670945765687</v>
      </c>
      <c r="BF359">
        <v>21.107124749355687</v>
      </c>
      <c r="BG359">
        <v>32053.558669390575</v>
      </c>
      <c r="BH359">
        <v>21.094576084223789</v>
      </c>
    </row>
    <row r="360" spans="3:60" x14ac:dyDescent="0.2">
      <c r="C360" s="138">
        <v>25175.97918238712</v>
      </c>
      <c r="D360" s="138">
        <v>21.359380880583274</v>
      </c>
      <c r="E360" s="138">
        <v>27799.088062157454</v>
      </c>
      <c r="F360" s="138">
        <v>21.342360459197153</v>
      </c>
      <c r="G360" s="138">
        <v>-2623.1088797703342</v>
      </c>
      <c r="H360" s="138">
        <v>1.7020421386121143E-2</v>
      </c>
      <c r="N360" s="138"/>
      <c r="O360" s="138"/>
      <c r="P360" s="138"/>
      <c r="R360">
        <v>159.18147214905554</v>
      </c>
      <c r="S360">
        <v>56.647423537616007</v>
      </c>
      <c r="T360">
        <v>289.758908080879</v>
      </c>
      <c r="U360">
        <v>89.647528385627751</v>
      </c>
      <c r="X360">
        <v>0.90085785299922749</v>
      </c>
      <c r="Y360">
        <v>0.88322961761355312</v>
      </c>
      <c r="Z360">
        <v>0.67917682861278617</v>
      </c>
      <c r="AA360">
        <v>0.84472809755450107</v>
      </c>
      <c r="AB360">
        <v>0.77875872190771378</v>
      </c>
      <c r="AC360">
        <v>0.59890827354445098</v>
      </c>
      <c r="AD360">
        <v>0.8434543326378845</v>
      </c>
      <c r="AE360">
        <v>0.74971053682752009</v>
      </c>
      <c r="AH360">
        <v>9.0890576229674336E-2</v>
      </c>
      <c r="AI360">
        <v>0.17082213231804522</v>
      </c>
      <c r="AJ360">
        <v>0.2335871301171869</v>
      </c>
      <c r="AK360">
        <v>3.5986517254326444E-2</v>
      </c>
      <c r="AL360">
        <v>9.8714884603121611E-2</v>
      </c>
      <c r="AM360">
        <v>0.14228828222691947</v>
      </c>
      <c r="AN360">
        <v>8.0701761355258528E-2</v>
      </c>
      <c r="AO360">
        <v>0.18961139036738528</v>
      </c>
      <c r="AR360">
        <v>7.8676449731737523E-4</v>
      </c>
      <c r="AS360">
        <v>4.0606509576044539E-3</v>
      </c>
      <c r="AT360">
        <v>0.10233619439128072</v>
      </c>
      <c r="AU360">
        <v>2.0879258927568589E-3</v>
      </c>
      <c r="AV360">
        <v>1.9299619187574883E-3</v>
      </c>
      <c r="AW360">
        <v>3.616477771217208E-3</v>
      </c>
      <c r="AX360">
        <v>4.3802298541750773E-4</v>
      </c>
      <c r="AY360">
        <v>4.6063287237430028E-4</v>
      </c>
      <c r="BB360">
        <v>4.3122919731766095E-2</v>
      </c>
      <c r="BC360">
        <v>6.311223596324711E-2</v>
      </c>
      <c r="BE360">
        <v>25175.97918238712</v>
      </c>
      <c r="BF360">
        <v>21.359380880583274</v>
      </c>
      <c r="BG360">
        <v>27799.088062157454</v>
      </c>
      <c r="BH360">
        <v>21.342360459197153</v>
      </c>
    </row>
    <row r="361" spans="3:60" x14ac:dyDescent="0.2">
      <c r="C361" s="138">
        <v>28013.954347513991</v>
      </c>
      <c r="D361" s="138">
        <v>20.783292536372219</v>
      </c>
      <c r="E361" s="138">
        <v>30119.089690363613</v>
      </c>
      <c r="F361" s="138">
        <v>20.745408871648955</v>
      </c>
      <c r="G361" s="138">
        <v>-2105.1353428496222</v>
      </c>
      <c r="H361" s="138">
        <v>3.7883664723263877E-2</v>
      </c>
      <c r="N361" s="138"/>
      <c r="O361" s="138"/>
      <c r="P361" s="138"/>
      <c r="R361">
        <v>278.71485366634721</v>
      </c>
      <c r="S361">
        <v>53.461735450448764</v>
      </c>
      <c r="T361">
        <v>257.31610077876945</v>
      </c>
      <c r="U361">
        <v>88.832442925208142</v>
      </c>
      <c r="X361">
        <v>0.92831322159284158</v>
      </c>
      <c r="Y361">
        <v>0.60050357964955237</v>
      </c>
      <c r="Z361">
        <v>0.97022154655381876</v>
      </c>
      <c r="AA361">
        <v>0.81345070636803785</v>
      </c>
      <c r="AB361">
        <v>0.78633141360472758</v>
      </c>
      <c r="AC361">
        <v>0.57652263419955585</v>
      </c>
      <c r="AD361">
        <v>0.7065893177781094</v>
      </c>
      <c r="AE361">
        <v>0.34261932326797034</v>
      </c>
      <c r="AH361">
        <v>9.2350069168363191E-3</v>
      </c>
      <c r="AI361">
        <v>6.4944791928744805E-2</v>
      </c>
      <c r="AJ361">
        <v>7.850894507884898E-2</v>
      </c>
      <c r="AK361">
        <v>5.8337753237208911E-2</v>
      </c>
      <c r="AL361">
        <v>2.2577051504637846E-2</v>
      </c>
      <c r="AM361">
        <v>9.020550143710393E-2</v>
      </c>
      <c r="AN361">
        <v>0.28233256409593366</v>
      </c>
      <c r="AO361">
        <v>0.24014767503728973</v>
      </c>
      <c r="AR361">
        <v>8.9661199068358233E-4</v>
      </c>
      <c r="AS361">
        <v>4.7555156680407773E-3</v>
      </c>
      <c r="AT361">
        <v>0.10068507283402628</v>
      </c>
      <c r="AU361">
        <v>1.8279306067483193E-3</v>
      </c>
      <c r="AV361">
        <v>2.1048553670101056E-3</v>
      </c>
      <c r="AW361">
        <v>3.1102483404024037E-3</v>
      </c>
      <c r="AX361">
        <v>3.0787854197058872E-4</v>
      </c>
      <c r="AY361">
        <v>5.8587804971965696E-4</v>
      </c>
      <c r="BB361">
        <v>4.2565518884965507E-2</v>
      </c>
      <c r="BC361">
        <v>8.493748976492832E-2</v>
      </c>
      <c r="BE361">
        <v>28013.954347513991</v>
      </c>
      <c r="BF361">
        <v>20.783292536372219</v>
      </c>
      <c r="BG361">
        <v>30119.089690363613</v>
      </c>
      <c r="BH361">
        <v>20.745408871648955</v>
      </c>
    </row>
    <row r="362" spans="3:60" x14ac:dyDescent="0.2">
      <c r="C362" s="138">
        <v>36405.080469177235</v>
      </c>
      <c r="D362" s="138">
        <v>21.205683333827089</v>
      </c>
      <c r="E362" s="138">
        <v>38870.593506761106</v>
      </c>
      <c r="F362" s="138">
        <v>21.174372992006816</v>
      </c>
      <c r="G362" s="138">
        <v>-2465.5130375838708</v>
      </c>
      <c r="H362" s="138">
        <v>3.1310341820272924E-2</v>
      </c>
      <c r="N362" s="138"/>
      <c r="O362" s="138"/>
      <c r="P362" s="138"/>
      <c r="R362">
        <v>290.92072746242906</v>
      </c>
      <c r="S362">
        <v>72.377440986947349</v>
      </c>
      <c r="T362">
        <v>213.3267084696862</v>
      </c>
      <c r="U362">
        <v>96.235972516501619</v>
      </c>
      <c r="X362">
        <v>0.77656205801293143</v>
      </c>
      <c r="Y362">
        <v>0.75265756373625636</v>
      </c>
      <c r="Z362">
        <v>0.71325748637360353</v>
      </c>
      <c r="AA362">
        <v>0.82404644723303178</v>
      </c>
      <c r="AB362">
        <v>0.35146691824129528</v>
      </c>
      <c r="AC362">
        <v>0.86475524733924569</v>
      </c>
      <c r="AD362">
        <v>0.57506355421274324</v>
      </c>
      <c r="AE362">
        <v>0.7666898732849925</v>
      </c>
      <c r="AH362">
        <v>7.9099389221709338E-2</v>
      </c>
      <c r="AI362">
        <v>4.6997509310700236E-2</v>
      </c>
      <c r="AJ362">
        <v>4.7329353973680544E-2</v>
      </c>
      <c r="AK362">
        <v>1.5826620009834036E-2</v>
      </c>
      <c r="AL362">
        <v>4.8418423248861697E-2</v>
      </c>
      <c r="AM362">
        <v>5.3241795580357909E-2</v>
      </c>
      <c r="AN362">
        <v>5.7447290576037702E-2</v>
      </c>
      <c r="AO362">
        <v>9.5800680609239963E-2</v>
      </c>
      <c r="AR362">
        <v>9.2925337918281503E-4</v>
      </c>
      <c r="AS362">
        <v>4.5225300085699471E-3</v>
      </c>
      <c r="AT362">
        <v>0.1009175921598443</v>
      </c>
      <c r="AU362">
        <v>1.9764707288044015E-3</v>
      </c>
      <c r="AV362">
        <v>2.0341983720395529E-3</v>
      </c>
      <c r="AW362">
        <v>3.3584786195281274E-3</v>
      </c>
      <c r="AX362">
        <v>3.8041999677627329E-4</v>
      </c>
      <c r="AY362">
        <v>5.2565408877514042E-4</v>
      </c>
      <c r="BB362">
        <v>5.6314755095520641E-2</v>
      </c>
      <c r="BC362">
        <v>3.5581116543691983E-2</v>
      </c>
      <c r="BE362">
        <v>36405.080469177235</v>
      </c>
      <c r="BF362">
        <v>21.205683333827089</v>
      </c>
      <c r="BG362">
        <v>38870.593506761106</v>
      </c>
      <c r="BH362">
        <v>21.174372992006816</v>
      </c>
    </row>
    <row r="363" spans="3:60" x14ac:dyDescent="0.2">
      <c r="C363" s="138">
        <v>35593.872630208738</v>
      </c>
      <c r="D363" s="138">
        <v>20.720233033207368</v>
      </c>
      <c r="E363" s="138">
        <v>38961.353429059171</v>
      </c>
      <c r="F363" s="138">
        <v>20.692222408873601</v>
      </c>
      <c r="G363" s="138">
        <v>-3367.4807988504326</v>
      </c>
      <c r="H363" s="138">
        <v>2.8010624333766998E-2</v>
      </c>
      <c r="N363" s="138"/>
      <c r="O363" s="138"/>
      <c r="P363" s="138"/>
      <c r="R363">
        <v>187.56088089092898</v>
      </c>
      <c r="S363">
        <v>65.674884940447654</v>
      </c>
      <c r="T363">
        <v>235.03277512314145</v>
      </c>
      <c r="U363">
        <v>114.24100090840909</v>
      </c>
      <c r="X363">
        <v>0.69007846180512422</v>
      </c>
      <c r="Y363">
        <v>0.43686110033882292</v>
      </c>
      <c r="Z363">
        <v>0.70374514396237653</v>
      </c>
      <c r="AA363">
        <v>0.96918520466290026</v>
      </c>
      <c r="AB363">
        <v>0.59902864650276977</v>
      </c>
      <c r="AC363">
        <v>0.86202755273880394</v>
      </c>
      <c r="AD363">
        <v>0.95433969216318659</v>
      </c>
      <c r="AE363">
        <v>0.80967766219410175</v>
      </c>
      <c r="AH363">
        <v>0.12901442901150861</v>
      </c>
      <c r="AI363">
        <v>0.25864333049842125</v>
      </c>
      <c r="AJ363">
        <v>0.12500193839338525</v>
      </c>
      <c r="AK363">
        <v>0.13923412962068471</v>
      </c>
      <c r="AL363">
        <v>1.7112934694119897E-2</v>
      </c>
      <c r="AM363">
        <v>4.2111426125823082E-2</v>
      </c>
      <c r="AN363">
        <v>0.30008297625331304</v>
      </c>
      <c r="AO363">
        <v>3.3947487129360132E-2</v>
      </c>
      <c r="AR363">
        <v>7.4146468219154116E-4</v>
      </c>
      <c r="AS363">
        <v>4.8543345813054639E-3</v>
      </c>
      <c r="AT363">
        <v>0.10037620842454109</v>
      </c>
      <c r="AU363">
        <v>1.9447284821297315E-3</v>
      </c>
      <c r="AV363">
        <v>1.8324209380247872E-3</v>
      </c>
      <c r="AW363">
        <v>3.3349028888072629E-3</v>
      </c>
      <c r="AX363">
        <v>3.3635127664768743E-4</v>
      </c>
      <c r="AY363">
        <v>4.7695062125019394E-4</v>
      </c>
      <c r="BB363">
        <v>5.3228778412210853E-2</v>
      </c>
      <c r="BC363">
        <v>2.0315637754070994E-2</v>
      </c>
      <c r="BE363">
        <v>35593.872630208738</v>
      </c>
      <c r="BF363">
        <v>20.720233033207368</v>
      </c>
      <c r="BG363">
        <v>38961.353429059171</v>
      </c>
      <c r="BH363">
        <v>20.692222408873601</v>
      </c>
    </row>
    <row r="364" spans="3:60" x14ac:dyDescent="0.2">
      <c r="C364" s="138">
        <v>30283.100078519965</v>
      </c>
      <c r="D364" s="138">
        <v>20.128282078288699</v>
      </c>
      <c r="E364" s="138">
        <v>32655.588226923337</v>
      </c>
      <c r="F364" s="138">
        <v>20.057235694321193</v>
      </c>
      <c r="G364" s="138">
        <v>-2372.4881484033722</v>
      </c>
      <c r="H364" s="138">
        <v>7.1046383967505733E-2</v>
      </c>
      <c r="N364" s="138"/>
      <c r="O364" s="138"/>
      <c r="P364" s="138"/>
      <c r="R364">
        <v>223.30152381269914</v>
      </c>
      <c r="S364">
        <v>52.20553478943468</v>
      </c>
      <c r="T364">
        <v>258.93029842850029</v>
      </c>
      <c r="U364">
        <v>98.77732984032474</v>
      </c>
      <c r="X364">
        <v>0.79043928579411027</v>
      </c>
      <c r="Y364">
        <v>0.55991899564939274</v>
      </c>
      <c r="Z364">
        <v>0.77907638553510283</v>
      </c>
      <c r="AA364">
        <v>0.81623442554619985</v>
      </c>
      <c r="AB364">
        <v>0.90127284563350141</v>
      </c>
      <c r="AC364">
        <v>0.64897223013834904</v>
      </c>
      <c r="AD364">
        <v>0.8291944714729873</v>
      </c>
      <c r="AE364">
        <v>0.54659760960255388</v>
      </c>
      <c r="AH364">
        <v>1.8206825786414416E-2</v>
      </c>
      <c r="AI364">
        <v>0.12155565581806382</v>
      </c>
      <c r="AJ364">
        <v>0.15573987013757717</v>
      </c>
      <c r="AK364">
        <v>0.15213872333729261</v>
      </c>
      <c r="AL364">
        <v>0.15397451882277691</v>
      </c>
      <c r="AM364">
        <v>0.13421720296426565</v>
      </c>
      <c r="AN364">
        <v>9.3502323707693513E-2</v>
      </c>
      <c r="AO364">
        <v>0.22810722495759428</v>
      </c>
      <c r="AR364">
        <v>9.0997033897111113E-4</v>
      </c>
      <c r="AS364">
        <v>4.5434069297073387E-3</v>
      </c>
      <c r="AT364">
        <v>0.10111094226343065</v>
      </c>
      <c r="AU364">
        <v>2.0143634208739103E-3</v>
      </c>
      <c r="AV364">
        <v>2.0513315141622579E-3</v>
      </c>
      <c r="AW364">
        <v>3.2893032363559161E-3</v>
      </c>
      <c r="AX364">
        <v>3.263409300109864E-4</v>
      </c>
      <c r="AY364">
        <v>4.6635012073326099E-4</v>
      </c>
      <c r="BB364">
        <v>5.4005484410456606E-2</v>
      </c>
      <c r="BC364">
        <v>2.0189954434910173E-2</v>
      </c>
      <c r="BE364">
        <v>30283.100078519965</v>
      </c>
      <c r="BF364">
        <v>20.128282078288699</v>
      </c>
      <c r="BG364">
        <v>32655.588226923337</v>
      </c>
      <c r="BH364">
        <v>20.057235694321193</v>
      </c>
    </row>
    <row r="365" spans="3:60" x14ac:dyDescent="0.2">
      <c r="C365" s="138">
        <v>35531.69369634441</v>
      </c>
      <c r="D365" s="138">
        <v>20.867597801765474</v>
      </c>
      <c r="E365" s="138">
        <v>37899.254433488903</v>
      </c>
      <c r="F365" s="138">
        <v>20.85622907914431</v>
      </c>
      <c r="G365" s="138">
        <v>-2367.560737144493</v>
      </c>
      <c r="H365" s="138">
        <v>1.136872262116384E-2</v>
      </c>
      <c r="N365" s="138"/>
      <c r="O365" s="138"/>
      <c r="P365" s="138"/>
      <c r="R365">
        <v>341.18972455637532</v>
      </c>
      <c r="S365">
        <v>59.179844513041417</v>
      </c>
      <c r="T365">
        <v>228.53311920868325</v>
      </c>
      <c r="U365">
        <v>89.30321798581025</v>
      </c>
      <c r="X365">
        <v>0.79890237060998259</v>
      </c>
      <c r="Y365">
        <v>0.90380322337305707</v>
      </c>
      <c r="Z365">
        <v>0.75731407346634572</v>
      </c>
      <c r="AA365">
        <v>0.85416320959707814</v>
      </c>
      <c r="AB365">
        <v>0.80235127378665227</v>
      </c>
      <c r="AC365">
        <v>0.85588276391861373</v>
      </c>
      <c r="AD365">
        <v>0.60641356598079232</v>
      </c>
      <c r="AE365">
        <v>0.93868663212940884</v>
      </c>
      <c r="AH365">
        <v>4.78144254304389E-2</v>
      </c>
      <c r="AI365">
        <v>0.13964708168184581</v>
      </c>
      <c r="AJ365">
        <v>0.13285549664101415</v>
      </c>
      <c r="AK365">
        <v>0.15551058157256026</v>
      </c>
      <c r="AL365">
        <v>6.3500392631338887E-2</v>
      </c>
      <c r="AM365">
        <v>0.13198344574375087</v>
      </c>
      <c r="AN365">
        <v>4.8852178679049896E-2</v>
      </c>
      <c r="AO365">
        <v>9.0066749528236567E-2</v>
      </c>
      <c r="AR365">
        <v>8.4362260133087055E-4</v>
      </c>
      <c r="AS365">
        <v>4.1460282080119058E-3</v>
      </c>
      <c r="AT365">
        <v>0.10117209990546194</v>
      </c>
      <c r="AU365">
        <v>2.0497216071595492E-3</v>
      </c>
      <c r="AV365">
        <v>1.8696875648211858E-3</v>
      </c>
      <c r="AW365">
        <v>3.5276747603738556E-3</v>
      </c>
      <c r="AX365">
        <v>4.228567473779643E-4</v>
      </c>
      <c r="AY365">
        <v>4.8762737336327522E-4</v>
      </c>
      <c r="BB365">
        <v>4.993224072151714E-2</v>
      </c>
      <c r="BC365">
        <v>2.461543340684717E-2</v>
      </c>
      <c r="BE365">
        <v>35531.69369634441</v>
      </c>
      <c r="BF365">
        <v>20.867597801765474</v>
      </c>
      <c r="BG365">
        <v>37899.254433488903</v>
      </c>
      <c r="BH365">
        <v>20.85622907914431</v>
      </c>
    </row>
    <row r="366" spans="3:60" x14ac:dyDescent="0.2">
      <c r="C366" s="138">
        <v>32778.986272663307</v>
      </c>
      <c r="D366" s="138">
        <v>19.767807732044812</v>
      </c>
      <c r="E366" s="138">
        <v>34688.473283456544</v>
      </c>
      <c r="F366" s="138">
        <v>19.693622420057938</v>
      </c>
      <c r="G366" s="138">
        <v>-1909.4870107932365</v>
      </c>
      <c r="H366" s="138">
        <v>7.4185311986873614E-2</v>
      </c>
      <c r="N366" s="138"/>
      <c r="O366" s="138"/>
      <c r="P366" s="138"/>
      <c r="R366">
        <v>429.63306051024711</v>
      </c>
      <c r="S366">
        <v>65.950379269055233</v>
      </c>
      <c r="T366">
        <v>247.17815574198761</v>
      </c>
      <c r="U366">
        <v>96.695141523421881</v>
      </c>
      <c r="X366">
        <v>0.8667127449294223</v>
      </c>
      <c r="Y366">
        <v>0.91340047637566435</v>
      </c>
      <c r="Z366">
        <v>0.63591739804406189</v>
      </c>
      <c r="AA366">
        <v>0.83301169120753915</v>
      </c>
      <c r="AB366">
        <v>0.66313093232432752</v>
      </c>
      <c r="AC366">
        <v>0.66536459271190984</v>
      </c>
      <c r="AD366">
        <v>0.78137960645473414</v>
      </c>
      <c r="AE366">
        <v>0.79403093164102168</v>
      </c>
      <c r="AH366">
        <v>0.12140639750110782</v>
      </c>
      <c r="AI366">
        <v>0.159789887936298</v>
      </c>
      <c r="AJ366">
        <v>3.6001349909655422E-2</v>
      </c>
      <c r="AK366">
        <v>0.15396672112029397</v>
      </c>
      <c r="AL366">
        <v>9.0171990545454439E-2</v>
      </c>
      <c r="AM366">
        <v>8.4164143699529292E-2</v>
      </c>
      <c r="AN366">
        <v>9.1675894931094515E-2</v>
      </c>
      <c r="AO366">
        <v>9.7407301578871008E-2</v>
      </c>
      <c r="AR366">
        <v>8.2028993702045947E-4</v>
      </c>
      <c r="AS366">
        <v>4.5837162565982581E-3</v>
      </c>
      <c r="AT366">
        <v>0.10031051455585061</v>
      </c>
      <c r="AU366">
        <v>2.1696707501931423E-3</v>
      </c>
      <c r="AV366">
        <v>1.7611580942257822E-3</v>
      </c>
      <c r="AW366">
        <v>3.6033441604452765E-3</v>
      </c>
      <c r="AX366">
        <v>4.6234498912689492E-4</v>
      </c>
      <c r="AY366">
        <v>4.1756914064345149E-4</v>
      </c>
      <c r="BB366">
        <v>5.0809063380047204E-2</v>
      </c>
      <c r="BC366">
        <v>7.8410581106081678E-2</v>
      </c>
      <c r="BE366">
        <v>32778.986272663307</v>
      </c>
      <c r="BF366">
        <v>19.767807732044812</v>
      </c>
      <c r="BG366">
        <v>34688.473283456544</v>
      </c>
      <c r="BH366">
        <v>19.693622420057938</v>
      </c>
    </row>
    <row r="367" spans="3:60" x14ac:dyDescent="0.2">
      <c r="C367" s="138">
        <v>29411.981391254947</v>
      </c>
      <c r="D367" s="138">
        <v>21.346560147653697</v>
      </c>
      <c r="E367" s="138">
        <v>31045.327718949316</v>
      </c>
      <c r="F367" s="138">
        <v>21.336699406519195</v>
      </c>
      <c r="G367" s="138">
        <v>-1633.3463276943694</v>
      </c>
      <c r="H367" s="138">
        <v>9.8607411345028595E-3</v>
      </c>
      <c r="N367" s="138"/>
      <c r="O367" s="138"/>
      <c r="P367" s="138"/>
      <c r="R367">
        <v>173.78118511356274</v>
      </c>
      <c r="S367">
        <v>70.910809618966923</v>
      </c>
      <c r="T367">
        <v>245.83949461762728</v>
      </c>
      <c r="U367">
        <v>89.945163135145989</v>
      </c>
      <c r="X367">
        <v>0.51152247486230262</v>
      </c>
      <c r="Y367">
        <v>0.91984301042524286</v>
      </c>
      <c r="Z367">
        <v>0.88841366881913153</v>
      </c>
      <c r="AA367">
        <v>0.96144638114199643</v>
      </c>
      <c r="AB367">
        <v>0.56598407394603267</v>
      </c>
      <c r="AC367">
        <v>0.43310109521291024</v>
      </c>
      <c r="AD367">
        <v>0.67161809727330324</v>
      </c>
      <c r="AE367">
        <v>0.79601380013160572</v>
      </c>
      <c r="AH367">
        <v>2.2320801442719196E-2</v>
      </c>
      <c r="AI367">
        <v>6.5894256247225891E-2</v>
      </c>
      <c r="AJ367">
        <v>5.726881320605659E-2</v>
      </c>
      <c r="AK367">
        <v>0.31630160125058771</v>
      </c>
      <c r="AL367">
        <v>4.2864695098345673E-2</v>
      </c>
      <c r="AM367">
        <v>7.7109997954773468E-2</v>
      </c>
      <c r="AN367">
        <v>0.16945834306085328</v>
      </c>
      <c r="AO367">
        <v>0.13814663968893881</v>
      </c>
      <c r="AR367">
        <v>8.7606526533649115E-4</v>
      </c>
      <c r="AS367">
        <v>4.1847923856722404E-3</v>
      </c>
      <c r="AT367">
        <v>9.8993441491457404E-2</v>
      </c>
      <c r="AU367">
        <v>2.0126852172770437E-3</v>
      </c>
      <c r="AV367">
        <v>2.1493238577965368E-3</v>
      </c>
      <c r="AW367">
        <v>3.4269764787733248E-3</v>
      </c>
      <c r="AX367">
        <v>3.9368338824357046E-4</v>
      </c>
      <c r="AY367">
        <v>5.2618780572555313E-4</v>
      </c>
      <c r="BB367">
        <v>4.4150824927488709E-2</v>
      </c>
      <c r="BC367">
        <v>4.4232072550397107E-2</v>
      </c>
      <c r="BE367">
        <v>29411.981391254947</v>
      </c>
      <c r="BF367">
        <v>21.346560147653697</v>
      </c>
      <c r="BG367">
        <v>31045.327718949316</v>
      </c>
      <c r="BH367">
        <v>21.336699406519195</v>
      </c>
    </row>
    <row r="368" spans="3:60" x14ac:dyDescent="0.2">
      <c r="C368" s="138">
        <v>32096.001048172973</v>
      </c>
      <c r="D368" s="138">
        <v>20.960023971178551</v>
      </c>
      <c r="E368" s="138">
        <v>33872.755896037321</v>
      </c>
      <c r="F368" s="138">
        <v>20.942300360935878</v>
      </c>
      <c r="G368" s="138">
        <v>-1776.7548478643475</v>
      </c>
      <c r="H368" s="138">
        <v>1.7723610242672549E-2</v>
      </c>
      <c r="N368" s="138"/>
      <c r="O368" s="138"/>
      <c r="P368" s="138"/>
      <c r="R368">
        <v>176.26011617933756</v>
      </c>
      <c r="S368">
        <v>66.370413780118767</v>
      </c>
      <c r="T368">
        <v>254.72513505971995</v>
      </c>
      <c r="U368">
        <v>98.402192483409436</v>
      </c>
      <c r="X368">
        <v>0.8144081147747696</v>
      </c>
      <c r="Y368">
        <v>0.8390661951811722</v>
      </c>
      <c r="Z368">
        <v>0.92202204995447312</v>
      </c>
      <c r="AA368">
        <v>0.74358080658309389</v>
      </c>
      <c r="AB368">
        <v>0.81938188364249853</v>
      </c>
      <c r="AC368">
        <v>0.53883831341450839</v>
      </c>
      <c r="AD368">
        <v>0.83232897647256032</v>
      </c>
      <c r="AE368">
        <v>0.79151390866532489</v>
      </c>
      <c r="AH368">
        <v>0.25284869858543735</v>
      </c>
      <c r="AI368">
        <v>7.8127412163572885E-2</v>
      </c>
      <c r="AJ368">
        <v>0.41756651158640579</v>
      </c>
      <c r="AK368">
        <v>0.16979805676881099</v>
      </c>
      <c r="AL368">
        <v>4.5858749029421775E-2</v>
      </c>
      <c r="AM368">
        <v>6.3031471137985795E-2</v>
      </c>
      <c r="AN368">
        <v>4.9702346185820256E-2</v>
      </c>
      <c r="AO368">
        <v>4.874342848512403E-2</v>
      </c>
      <c r="AR368">
        <v>8.9072719108906906E-4</v>
      </c>
      <c r="AS368">
        <v>4.5116183312886582E-3</v>
      </c>
      <c r="AT368">
        <v>0.10073121544560448</v>
      </c>
      <c r="AU368">
        <v>2.1130449708709476E-3</v>
      </c>
      <c r="AV368">
        <v>2.0897156672126105E-3</v>
      </c>
      <c r="AW368">
        <v>3.3293366810278661E-3</v>
      </c>
      <c r="AX368">
        <v>3.672940028583403E-4</v>
      </c>
      <c r="AY368">
        <v>4.9100018195813444E-4</v>
      </c>
      <c r="BB368">
        <v>5.2162130202136558E-2</v>
      </c>
      <c r="BC368">
        <v>7.86571777879288E-2</v>
      </c>
      <c r="BE368">
        <v>32096.001048172973</v>
      </c>
      <c r="BF368">
        <v>20.960023971178551</v>
      </c>
      <c r="BG368">
        <v>33872.755896037321</v>
      </c>
      <c r="BH368">
        <v>20.942300360935878</v>
      </c>
    </row>
    <row r="369" spans="3:60" x14ac:dyDescent="0.2">
      <c r="C369" s="138">
        <v>26291.37412565056</v>
      </c>
      <c r="D369" s="138">
        <v>21.230713779681704</v>
      </c>
      <c r="E369" s="138">
        <v>28514.147615949143</v>
      </c>
      <c r="F369" s="138">
        <v>21.201518340193079</v>
      </c>
      <c r="G369" s="138">
        <v>-2222.7734902985831</v>
      </c>
      <c r="H369" s="138">
        <v>2.9195439488624686E-2</v>
      </c>
      <c r="N369" s="138"/>
      <c r="O369" s="138"/>
      <c r="P369" s="138"/>
      <c r="R369">
        <v>411.80718136615394</v>
      </c>
      <c r="S369">
        <v>53.388810935678976</v>
      </c>
      <c r="T369">
        <v>247.18130443839209</v>
      </c>
      <c r="U369">
        <v>91.910705105565555</v>
      </c>
      <c r="X369">
        <v>0.68205038524509254</v>
      </c>
      <c r="Y369">
        <v>0.79151362083303578</v>
      </c>
      <c r="Z369">
        <v>0.78973328061587522</v>
      </c>
      <c r="AA369">
        <v>0.79507486666685501</v>
      </c>
      <c r="AB369">
        <v>0.76640967253761105</v>
      </c>
      <c r="AC369">
        <v>0.76557189664933145</v>
      </c>
      <c r="AD369">
        <v>0.78309224941925848</v>
      </c>
      <c r="AE369">
        <v>0.58241236787915163</v>
      </c>
      <c r="AH369">
        <v>7.1085279248783384E-2</v>
      </c>
      <c r="AI369">
        <v>7.3261635366323907E-2</v>
      </c>
      <c r="AJ369">
        <v>8.7548535242257142E-2</v>
      </c>
      <c r="AK369">
        <v>6.1804979794630066E-2</v>
      </c>
      <c r="AL369">
        <v>5.214840942044674E-2</v>
      </c>
      <c r="AM369">
        <v>4.0635894143552842E-2</v>
      </c>
      <c r="AN369">
        <v>0.1869333785688766</v>
      </c>
      <c r="AO369">
        <v>3.8108671748927625E-2</v>
      </c>
      <c r="AR369">
        <v>9.9363083937664687E-4</v>
      </c>
      <c r="AS369">
        <v>4.5793996705898454E-3</v>
      </c>
      <c r="AT369">
        <v>0.10018042247999814</v>
      </c>
      <c r="AU369">
        <v>2.0907812500126077E-3</v>
      </c>
      <c r="AV369">
        <v>2.2433166324632436E-3</v>
      </c>
      <c r="AW369">
        <v>3.4259035506406521E-3</v>
      </c>
      <c r="AX369">
        <v>3.9908308152913907E-4</v>
      </c>
      <c r="AY369">
        <v>4.8457458101469619E-4</v>
      </c>
      <c r="BB369">
        <v>4.9859940381920653E-2</v>
      </c>
      <c r="BC369">
        <v>6.2309019729668402E-2</v>
      </c>
      <c r="BE369">
        <v>26291.37412565056</v>
      </c>
      <c r="BF369">
        <v>21.230713779681704</v>
      </c>
      <c r="BG369">
        <v>28514.147615949143</v>
      </c>
      <c r="BH369">
        <v>21.201518340193079</v>
      </c>
    </row>
    <row r="370" spans="3:60" x14ac:dyDescent="0.2">
      <c r="C370" s="138">
        <v>26951.089528799101</v>
      </c>
      <c r="D370" s="138">
        <v>21.736705244641943</v>
      </c>
      <c r="E370" s="138">
        <v>28547.550803827355</v>
      </c>
      <c r="F370" s="138">
        <v>21.724488680368999</v>
      </c>
      <c r="G370" s="138">
        <v>-1596.461275028254</v>
      </c>
      <c r="H370" s="138">
        <v>1.2216564272943486E-2</v>
      </c>
      <c r="N370" s="138"/>
      <c r="O370" s="138"/>
      <c r="P370" s="138"/>
      <c r="R370">
        <v>358.34303906626337</v>
      </c>
      <c r="S370">
        <v>63.86564366998158</v>
      </c>
      <c r="T370">
        <v>259.53177318226841</v>
      </c>
      <c r="U370">
        <v>96.593079990672052</v>
      </c>
      <c r="X370">
        <v>0.83191537665003257</v>
      </c>
      <c r="Y370">
        <v>0.64123443725102025</v>
      </c>
      <c r="Z370">
        <v>0.63069281153122447</v>
      </c>
      <c r="AA370">
        <v>0.81609709136228215</v>
      </c>
      <c r="AB370">
        <v>0.89027313661595464</v>
      </c>
      <c r="AC370">
        <v>0.8427521774349449</v>
      </c>
      <c r="AD370">
        <v>0.55512967879809239</v>
      </c>
      <c r="AE370">
        <v>0.84162613296843802</v>
      </c>
      <c r="AH370">
        <v>0.17549598816465983</v>
      </c>
      <c r="AI370">
        <v>2.3127049014503243E-2</v>
      </c>
      <c r="AJ370">
        <v>0.28223579995598003</v>
      </c>
      <c r="AK370">
        <v>0.19717715006462799</v>
      </c>
      <c r="AL370">
        <v>0.16535394500794975</v>
      </c>
      <c r="AM370">
        <v>3.5682099708529313E-2</v>
      </c>
      <c r="AN370">
        <v>0.22377807973566211</v>
      </c>
      <c r="AO370">
        <v>0.17815153330564792</v>
      </c>
      <c r="AR370">
        <v>1.0076713699367357E-3</v>
      </c>
      <c r="AS370">
        <v>4.3960295531441252E-3</v>
      </c>
      <c r="AT370">
        <v>0.10109422465482754</v>
      </c>
      <c r="AU370">
        <v>2.4229036892920996E-3</v>
      </c>
      <c r="AV370">
        <v>2.1350058918427894E-3</v>
      </c>
      <c r="AW370">
        <v>3.2935007864156323E-3</v>
      </c>
      <c r="AX370">
        <v>3.8926516676568245E-4</v>
      </c>
      <c r="AY370">
        <v>5.4086961325017224E-4</v>
      </c>
      <c r="BB370">
        <v>4.1507808605897117E-2</v>
      </c>
      <c r="BC370">
        <v>5.6565192314052215E-2</v>
      </c>
      <c r="BE370">
        <v>26951.089528799101</v>
      </c>
      <c r="BF370">
        <v>21.736705244641943</v>
      </c>
      <c r="BG370">
        <v>28547.550803827355</v>
      </c>
      <c r="BH370">
        <v>21.724488680368999</v>
      </c>
    </row>
    <row r="371" spans="3:60" x14ac:dyDescent="0.2">
      <c r="C371" s="138">
        <v>27941.032139401206</v>
      </c>
      <c r="D371" s="138">
        <v>21.941705508469958</v>
      </c>
      <c r="E371" s="138">
        <v>29876.492561666288</v>
      </c>
      <c r="F371" s="138">
        <v>21.946402578126271</v>
      </c>
      <c r="G371" s="138">
        <v>-1935.4604222650814</v>
      </c>
      <c r="H371" s="138">
        <v>-4.6970696563128911E-3</v>
      </c>
      <c r="N371" s="138"/>
      <c r="O371" s="138"/>
      <c r="P371" s="138"/>
      <c r="R371">
        <v>187.37776023311727</v>
      </c>
      <c r="S371">
        <v>66.026368932007401</v>
      </c>
      <c r="T371">
        <v>245.31168214988591</v>
      </c>
      <c r="U371">
        <v>77.886928041315798</v>
      </c>
      <c r="X371">
        <v>0.49725850324932996</v>
      </c>
      <c r="Y371">
        <v>0.64297426138364533</v>
      </c>
      <c r="Z371">
        <v>0.83344439813319726</v>
      </c>
      <c r="AA371">
        <v>0.82834803929164247</v>
      </c>
      <c r="AB371">
        <v>0.59637488043925224</v>
      </c>
      <c r="AC371">
        <v>0.93023666966507723</v>
      </c>
      <c r="AD371">
        <v>0.92129176373448418</v>
      </c>
      <c r="AE371">
        <v>0.60330774553563282</v>
      </c>
      <c r="AH371">
        <v>0.27907228544188156</v>
      </c>
      <c r="AI371">
        <v>6.1315523115798465E-2</v>
      </c>
      <c r="AJ371">
        <v>0.12172518805986376</v>
      </c>
      <c r="AK371">
        <v>3.0265227550046458E-2</v>
      </c>
      <c r="AL371">
        <v>0.1035288531467573</v>
      </c>
      <c r="AM371">
        <v>0.2678956578230296</v>
      </c>
      <c r="AN371">
        <v>0.13971728908794434</v>
      </c>
      <c r="AO371">
        <v>0.10589631454864767</v>
      </c>
      <c r="AR371">
        <v>7.712749653503169E-4</v>
      </c>
      <c r="AS371">
        <v>4.596512958752963E-3</v>
      </c>
      <c r="AT371">
        <v>0.10012780176711211</v>
      </c>
      <c r="AU371">
        <v>2.0628412405065966E-3</v>
      </c>
      <c r="AV371">
        <v>2.1135283417109685E-3</v>
      </c>
      <c r="AW371">
        <v>3.1368715021806632E-3</v>
      </c>
      <c r="AX371">
        <v>3.0537011334288278E-4</v>
      </c>
      <c r="AY371">
        <v>3.5515476427189154E-4</v>
      </c>
      <c r="BB371">
        <v>5.2302275777303175E-2</v>
      </c>
      <c r="BC371">
        <v>5.30257243231953E-2</v>
      </c>
      <c r="BE371">
        <v>27941.032139401206</v>
      </c>
      <c r="BF371">
        <v>21.941705508469958</v>
      </c>
      <c r="BG371">
        <v>29876.492561666288</v>
      </c>
      <c r="BH371">
        <v>21.946402578126271</v>
      </c>
    </row>
    <row r="372" spans="3:60" x14ac:dyDescent="0.2">
      <c r="C372" s="138">
        <v>28776.49324136756</v>
      </c>
      <c r="D372" s="138">
        <v>20.122418132952106</v>
      </c>
      <c r="E372" s="138">
        <v>31403.218090124294</v>
      </c>
      <c r="F372" s="138">
        <v>20.072010136480063</v>
      </c>
      <c r="G372" s="138">
        <v>-2626.724848756734</v>
      </c>
      <c r="H372" s="138">
        <v>5.0407996472042527E-2</v>
      </c>
      <c r="N372" s="138"/>
      <c r="O372" s="138"/>
      <c r="P372" s="138"/>
      <c r="R372">
        <v>141.73934102585054</v>
      </c>
      <c r="S372">
        <v>63.754760467495011</v>
      </c>
      <c r="T372">
        <v>264.75198855372213</v>
      </c>
      <c r="U372">
        <v>100.24986290487796</v>
      </c>
      <c r="X372">
        <v>0.88137820861046534</v>
      </c>
      <c r="Y372">
        <v>0.67786179498886345</v>
      </c>
      <c r="Z372">
        <v>0.7317234622609492</v>
      </c>
      <c r="AA372">
        <v>0.74704618016683777</v>
      </c>
      <c r="AB372">
        <v>0.78481003450414522</v>
      </c>
      <c r="AC372">
        <v>0.84436177829447479</v>
      </c>
      <c r="AD372">
        <v>0.72992060418682569</v>
      </c>
      <c r="AE372">
        <v>0.42591642264550089</v>
      </c>
      <c r="AH372">
        <v>8.6928324827218351E-2</v>
      </c>
      <c r="AI372">
        <v>6.062330549877315E-2</v>
      </c>
      <c r="AJ372">
        <v>1.4020294826436741E-2</v>
      </c>
      <c r="AK372">
        <v>6.9680793160377563E-2</v>
      </c>
      <c r="AL372">
        <v>0.1928922835301915</v>
      </c>
      <c r="AM372">
        <v>3.2575147429178664E-2</v>
      </c>
      <c r="AN372">
        <v>0.18928736904698984</v>
      </c>
      <c r="AO372">
        <v>0.21336002667461518</v>
      </c>
      <c r="AR372">
        <v>7.8633128654252487E-4</v>
      </c>
      <c r="AS372">
        <v>4.5050654042811944E-3</v>
      </c>
      <c r="AT372">
        <v>9.9077237692950709E-2</v>
      </c>
      <c r="AU372">
        <v>1.9760711773496231E-3</v>
      </c>
      <c r="AV372">
        <v>1.8250273704354053E-3</v>
      </c>
      <c r="AW372">
        <v>3.4302009449463933E-3</v>
      </c>
      <c r="AX372">
        <v>3.8396458183403347E-4</v>
      </c>
      <c r="AY372">
        <v>4.6423247851667959E-4</v>
      </c>
      <c r="BB372">
        <v>4.632043535735246E-2</v>
      </c>
      <c r="BC372">
        <v>5.1679971288758453E-2</v>
      </c>
      <c r="BE372">
        <v>28776.49324136756</v>
      </c>
      <c r="BF372">
        <v>20.122418132952106</v>
      </c>
      <c r="BG372">
        <v>31403.218090124294</v>
      </c>
      <c r="BH372">
        <v>20.072010136480063</v>
      </c>
    </row>
    <row r="373" spans="3:60" x14ac:dyDescent="0.2">
      <c r="C373" s="138">
        <v>30600.158850547614</v>
      </c>
      <c r="D373" s="138">
        <v>21.847720807357593</v>
      </c>
      <c r="E373" s="138">
        <v>32517.727136160887</v>
      </c>
      <c r="F373" s="138">
        <v>21.859316185961777</v>
      </c>
      <c r="G373" s="138">
        <v>-1917.5682856132735</v>
      </c>
      <c r="H373" s="138">
        <v>-1.1595378604184248E-2</v>
      </c>
      <c r="N373" s="138"/>
      <c r="O373" s="138"/>
      <c r="P373" s="138"/>
      <c r="R373">
        <v>189.33750486771015</v>
      </c>
      <c r="S373">
        <v>47.244259616257835</v>
      </c>
      <c r="T373">
        <v>271.42536814956611</v>
      </c>
      <c r="U373">
        <v>95.814063846836291</v>
      </c>
      <c r="X373">
        <v>0.89379680226646629</v>
      </c>
      <c r="Y373">
        <v>0.68775685740864456</v>
      </c>
      <c r="Z373">
        <v>0.92328853852628456</v>
      </c>
      <c r="AA373">
        <v>0.88972692139628162</v>
      </c>
      <c r="AB373">
        <v>0.89528428751500955</v>
      </c>
      <c r="AC373">
        <v>0.91696165441630695</v>
      </c>
      <c r="AD373">
        <v>0.90080604327453617</v>
      </c>
      <c r="AE373">
        <v>0.71515647715539266</v>
      </c>
      <c r="AH373">
        <v>0.23581917877914749</v>
      </c>
      <c r="AI373">
        <v>0.12946605959051405</v>
      </c>
      <c r="AJ373">
        <v>2.1758870112863926E-2</v>
      </c>
      <c r="AK373">
        <v>2.6805257895534895E-2</v>
      </c>
      <c r="AL373">
        <v>0.14828925115794578</v>
      </c>
      <c r="AM373">
        <v>5.8911271274691757E-2</v>
      </c>
      <c r="AN373">
        <v>0.14818634785944196</v>
      </c>
      <c r="AO373">
        <v>0.17827769098958968</v>
      </c>
      <c r="AR373">
        <v>8.9106343751521599E-4</v>
      </c>
      <c r="AS373">
        <v>4.3295249658240635E-3</v>
      </c>
      <c r="AT373">
        <v>0.10056550251228857</v>
      </c>
      <c r="AU373">
        <v>1.9398174366195456E-3</v>
      </c>
      <c r="AV373">
        <v>1.7997302941590554E-3</v>
      </c>
      <c r="AW373">
        <v>3.3714162451830556E-3</v>
      </c>
      <c r="AX373">
        <v>4.3258847293392577E-4</v>
      </c>
      <c r="AY373">
        <v>5.0624906108698298E-4</v>
      </c>
      <c r="BB373">
        <v>5.3671257932285665E-2</v>
      </c>
      <c r="BC373">
        <v>4.9689841432416282E-2</v>
      </c>
      <c r="BE373">
        <v>30600.158850547614</v>
      </c>
      <c r="BF373">
        <v>21.847720807357593</v>
      </c>
      <c r="BG373">
        <v>32517.727136160887</v>
      </c>
      <c r="BH373">
        <v>21.859316185961777</v>
      </c>
    </row>
    <row r="374" spans="3:60" x14ac:dyDescent="0.2">
      <c r="C374" s="138">
        <v>26141.622996436934</v>
      </c>
      <c r="D374" s="138">
        <v>21.43880138834955</v>
      </c>
      <c r="E374" s="138">
        <v>27681.321812685535</v>
      </c>
      <c r="F374" s="138">
        <v>21.42986761318117</v>
      </c>
      <c r="G374" s="138">
        <v>-1539.6988162486014</v>
      </c>
      <c r="H374" s="138">
        <v>8.9337751683800093E-3</v>
      </c>
      <c r="N374" s="138"/>
      <c r="O374" s="138"/>
      <c r="P374" s="138"/>
      <c r="R374">
        <v>269.62716792131545</v>
      </c>
      <c r="S374">
        <v>59.093682229749021</v>
      </c>
      <c r="T374">
        <v>252.6893116719213</v>
      </c>
      <c r="U374">
        <v>85.023004984738222</v>
      </c>
      <c r="X374">
        <v>0.68988655655853059</v>
      </c>
      <c r="Y374">
        <v>0.52428175940051036</v>
      </c>
      <c r="Z374">
        <v>0.8133169754877283</v>
      </c>
      <c r="AA374">
        <v>0.87879516424584136</v>
      </c>
      <c r="AB374">
        <v>0.70601248942544592</v>
      </c>
      <c r="AC374">
        <v>0.88056725462186458</v>
      </c>
      <c r="AD374">
        <v>0.88279300534946148</v>
      </c>
      <c r="AE374">
        <v>0.93361558289920599</v>
      </c>
      <c r="AH374">
        <v>0.22156459629426917</v>
      </c>
      <c r="AI374">
        <v>4.5355353720683E-2</v>
      </c>
      <c r="AJ374">
        <v>4.1409939673551888E-2</v>
      </c>
      <c r="AK374">
        <v>8.1501683623498411E-2</v>
      </c>
      <c r="AL374">
        <v>8.9853663740592005E-2</v>
      </c>
      <c r="AM374">
        <v>0.28946655929934495</v>
      </c>
      <c r="AN374">
        <v>0.249937430284082</v>
      </c>
      <c r="AO374">
        <v>2.5009079731574735E-2</v>
      </c>
      <c r="AR374">
        <v>8.0882189670144166E-4</v>
      </c>
      <c r="AS374">
        <v>4.5098429535856965E-3</v>
      </c>
      <c r="AT374">
        <v>0.10161835955511589</v>
      </c>
      <c r="AU374">
        <v>1.9316016975970097E-3</v>
      </c>
      <c r="AV374">
        <v>1.7348976235285096E-3</v>
      </c>
      <c r="AW374">
        <v>3.3248406445721261E-3</v>
      </c>
      <c r="AX374">
        <v>4.587378137596021E-4</v>
      </c>
      <c r="AY374">
        <v>3.0992267544279557E-4</v>
      </c>
      <c r="BB374">
        <v>5.187666584535322E-2</v>
      </c>
      <c r="BC374">
        <v>3.3255945428375476E-2</v>
      </c>
      <c r="BE374">
        <v>26141.622996436934</v>
      </c>
      <c r="BF374">
        <v>21.43880138834955</v>
      </c>
      <c r="BG374">
        <v>27681.321812685535</v>
      </c>
      <c r="BH374">
        <v>21.42986761318117</v>
      </c>
    </row>
    <row r="375" spans="3:60" x14ac:dyDescent="0.2">
      <c r="C375" s="138">
        <v>32851.852607837005</v>
      </c>
      <c r="D375" s="138">
        <v>21.397980986726296</v>
      </c>
      <c r="E375" s="138">
        <v>35089.250093515482</v>
      </c>
      <c r="F375" s="138">
        <v>21.371876547262598</v>
      </c>
      <c r="G375" s="138">
        <v>-2237.3974856784771</v>
      </c>
      <c r="H375" s="138">
        <v>2.610443946369756E-2</v>
      </c>
      <c r="N375" s="138"/>
      <c r="O375" s="138"/>
      <c r="P375" s="138"/>
      <c r="R375">
        <v>406.47334073173477</v>
      </c>
      <c r="S375">
        <v>52.79989199797452</v>
      </c>
      <c r="T375">
        <v>270.79237176723439</v>
      </c>
      <c r="U375">
        <v>87.399082867070362</v>
      </c>
      <c r="X375">
        <v>0.74434842456626427</v>
      </c>
      <c r="Y375">
        <v>0.48623346982893945</v>
      </c>
      <c r="Z375">
        <v>0.63534891139052507</v>
      </c>
      <c r="AA375">
        <v>0.84260271256731478</v>
      </c>
      <c r="AB375">
        <v>0.78588453870231267</v>
      </c>
      <c r="AC375">
        <v>0.74547139803802465</v>
      </c>
      <c r="AD375">
        <v>0.88355079031392092</v>
      </c>
      <c r="AE375">
        <v>0.66486311565039025</v>
      </c>
      <c r="AH375">
        <v>0.13002519237302224</v>
      </c>
      <c r="AI375">
        <v>4.9373768118350814E-2</v>
      </c>
      <c r="AJ375">
        <v>0.16973947880569662</v>
      </c>
      <c r="AK375">
        <v>8.7310787273285229E-2</v>
      </c>
      <c r="AL375">
        <v>0.14398408724547507</v>
      </c>
      <c r="AM375">
        <v>4.4157058192390242E-2</v>
      </c>
      <c r="AN375">
        <v>8.74450268114213E-2</v>
      </c>
      <c r="AO375">
        <v>7.212948144370479E-2</v>
      </c>
      <c r="AR375">
        <v>8.4457334859941468E-4</v>
      </c>
      <c r="AS375">
        <v>4.6383551755868613E-3</v>
      </c>
      <c r="AT375">
        <v>0.10037805509070852</v>
      </c>
      <c r="AU375">
        <v>2.1211157923485269E-3</v>
      </c>
      <c r="AV375">
        <v>1.8493230139530652E-3</v>
      </c>
      <c r="AW375">
        <v>3.4644248928034083E-3</v>
      </c>
      <c r="AX375">
        <v>4.1237220135426078E-4</v>
      </c>
      <c r="AY375">
        <v>3.238632335149433E-4</v>
      </c>
      <c r="BB375">
        <v>4.7643291157897921E-2</v>
      </c>
      <c r="BC375">
        <v>1.9588420092410921E-2</v>
      </c>
      <c r="BE375">
        <v>32851.852607837005</v>
      </c>
      <c r="BF375">
        <v>21.397980986726296</v>
      </c>
      <c r="BG375">
        <v>35089.250093515482</v>
      </c>
      <c r="BH375">
        <v>21.371876547262598</v>
      </c>
    </row>
    <row r="376" spans="3:60" x14ac:dyDescent="0.2">
      <c r="C376" s="138">
        <v>32231.208688851817</v>
      </c>
      <c r="D376" s="138">
        <v>21.202042612549651</v>
      </c>
      <c r="E376" s="138">
        <v>34651.522109225029</v>
      </c>
      <c r="F376" s="138">
        <v>21.162682351288712</v>
      </c>
      <c r="G376" s="138">
        <v>-2420.3134203732116</v>
      </c>
      <c r="H376" s="138">
        <v>3.9360261260938501E-2</v>
      </c>
      <c r="N376" s="138"/>
      <c r="O376" s="138"/>
      <c r="P376" s="138"/>
      <c r="R376">
        <v>138.75682192889485</v>
      </c>
      <c r="S376">
        <v>69.645535474434467</v>
      </c>
      <c r="T376">
        <v>220.06209584121729</v>
      </c>
      <c r="U376">
        <v>86.915213104312102</v>
      </c>
      <c r="X376">
        <v>0.4916368866576018</v>
      </c>
      <c r="Y376">
        <v>0.64408316101827634</v>
      </c>
      <c r="Z376">
        <v>0.49239896777247533</v>
      </c>
      <c r="AA376">
        <v>0.66774134347148317</v>
      </c>
      <c r="AB376">
        <v>0.69132173033181721</v>
      </c>
      <c r="AC376">
        <v>0.92907317482071039</v>
      </c>
      <c r="AD376">
        <v>0.51425036090027165</v>
      </c>
      <c r="AE376">
        <v>0.66581699657945137</v>
      </c>
      <c r="AH376">
        <v>3.7851065242717308E-2</v>
      </c>
      <c r="AI376">
        <v>0.20280355173579834</v>
      </c>
      <c r="AJ376">
        <v>9.7659283248954676E-2</v>
      </c>
      <c r="AK376">
        <v>0.1903637946056238</v>
      </c>
      <c r="AL376">
        <v>0.18328056512199842</v>
      </c>
      <c r="AM376">
        <v>0.15118130489544179</v>
      </c>
      <c r="AN376">
        <v>2.9936735422014804E-2</v>
      </c>
      <c r="AO376">
        <v>0.15197911657114072</v>
      </c>
      <c r="AR376">
        <v>7.1841912164794593E-4</v>
      </c>
      <c r="AS376">
        <v>4.7255821984100166E-3</v>
      </c>
      <c r="AT376">
        <v>9.8917019418815991E-2</v>
      </c>
      <c r="AU376">
        <v>2.0810832186367589E-3</v>
      </c>
      <c r="AV376">
        <v>2.1483493568671408E-3</v>
      </c>
      <c r="AW376">
        <v>3.4233397974389179E-3</v>
      </c>
      <c r="AX376">
        <v>4.1577459865893562E-4</v>
      </c>
      <c r="AY376">
        <v>4.2248190198392846E-4</v>
      </c>
      <c r="BB376">
        <v>5.537089434714193E-2</v>
      </c>
      <c r="BC376">
        <v>4.6535313893719669E-2</v>
      </c>
      <c r="BE376">
        <v>32231.208688851817</v>
      </c>
      <c r="BF376">
        <v>21.202042612549651</v>
      </c>
      <c r="BG376">
        <v>34651.522109225029</v>
      </c>
      <c r="BH376">
        <v>21.162682351288712</v>
      </c>
    </row>
    <row r="377" spans="3:60" x14ac:dyDescent="0.2">
      <c r="C377" s="138">
        <v>27951.677936972545</v>
      </c>
      <c r="D377" s="138">
        <v>20.560864448235851</v>
      </c>
      <c r="E377" s="138">
        <v>30161.515871254171</v>
      </c>
      <c r="F377" s="138">
        <v>20.525998646261638</v>
      </c>
      <c r="G377" s="138">
        <v>-2209.8379342816261</v>
      </c>
      <c r="H377" s="138">
        <v>3.4865801974213184E-2</v>
      </c>
      <c r="N377" s="138"/>
      <c r="O377" s="138"/>
      <c r="P377" s="138"/>
      <c r="R377">
        <v>231.84889489868542</v>
      </c>
      <c r="S377">
        <v>68.0103927067032</v>
      </c>
      <c r="T377">
        <v>255.56487395422741</v>
      </c>
      <c r="U377">
        <v>113.06458124296972</v>
      </c>
      <c r="X377">
        <v>0.88110817642482386</v>
      </c>
      <c r="Y377">
        <v>0.66478321032751531</v>
      </c>
      <c r="Z377">
        <v>0.66077534580971298</v>
      </c>
      <c r="AA377">
        <v>0.58189429404808546</v>
      </c>
      <c r="AB377">
        <v>0.76830828997171885</v>
      </c>
      <c r="AC377">
        <v>0.83274448883947394</v>
      </c>
      <c r="AD377">
        <v>0.52459340395308363</v>
      </c>
      <c r="AE377">
        <v>0.79625667515832799</v>
      </c>
      <c r="AH377">
        <v>7.0225452219635054E-2</v>
      </c>
      <c r="AI377">
        <v>7.2236113408529201E-2</v>
      </c>
      <c r="AJ377">
        <v>0.26298465742098354</v>
      </c>
      <c r="AK377">
        <v>7.2871265977838551E-2</v>
      </c>
      <c r="AL377">
        <v>4.430868681324962E-2</v>
      </c>
      <c r="AM377">
        <v>0.2221589994204699</v>
      </c>
      <c r="AN377">
        <v>9.5654014348911076E-2</v>
      </c>
      <c r="AO377">
        <v>7.651342555911822E-3</v>
      </c>
      <c r="AR377">
        <v>8.1222413350703904E-4</v>
      </c>
      <c r="AS377">
        <v>4.4827291767717235E-3</v>
      </c>
      <c r="AT377">
        <v>0.10048599135260095</v>
      </c>
      <c r="AU377">
        <v>1.9785305578616285E-3</v>
      </c>
      <c r="AV377">
        <v>2.0673329533588136E-3</v>
      </c>
      <c r="AW377">
        <v>3.5088862347918415E-3</v>
      </c>
      <c r="AX377">
        <v>3.9635984638365749E-4</v>
      </c>
      <c r="AY377">
        <v>4.1499671331676801E-4</v>
      </c>
      <c r="BB377">
        <v>5.2971445200469036E-2</v>
      </c>
      <c r="BC377">
        <v>2.8732348694679034E-2</v>
      </c>
      <c r="BE377">
        <v>27951.677936972545</v>
      </c>
      <c r="BF377">
        <v>20.560864448235851</v>
      </c>
      <c r="BG377">
        <v>30161.515871254171</v>
      </c>
      <c r="BH377">
        <v>20.525998646261638</v>
      </c>
    </row>
    <row r="378" spans="3:60" x14ac:dyDescent="0.2">
      <c r="C378" s="138">
        <v>29284.474376702317</v>
      </c>
      <c r="D378" s="138">
        <v>21.159313723132421</v>
      </c>
      <c r="E378" s="138">
        <v>31385.092317582788</v>
      </c>
      <c r="F378" s="138">
        <v>21.138988286578325</v>
      </c>
      <c r="G378" s="138">
        <v>-2100.617940880471</v>
      </c>
      <c r="H378" s="138">
        <v>2.0325436554095688E-2</v>
      </c>
      <c r="N378" s="138"/>
      <c r="O378" s="138"/>
      <c r="P378" s="138"/>
      <c r="R378">
        <v>133.9342916731637</v>
      </c>
      <c r="S378">
        <v>63.258423892973106</v>
      </c>
      <c r="T378">
        <v>207.59464692079428</v>
      </c>
      <c r="U378">
        <v>101.32072416425926</v>
      </c>
      <c r="X378">
        <v>0.83989664813896781</v>
      </c>
      <c r="Y378">
        <v>0.87424189135008334</v>
      </c>
      <c r="Z378">
        <v>0.87816744537840763</v>
      </c>
      <c r="AA378">
        <v>0.76665280767713462</v>
      </c>
      <c r="AB378">
        <v>0.48500275748097477</v>
      </c>
      <c r="AC378">
        <v>0.78037683099542854</v>
      </c>
      <c r="AD378">
        <v>0.64675011408481253</v>
      </c>
      <c r="AE378">
        <v>0.826360486316147</v>
      </c>
      <c r="AH378">
        <v>7.3833637742088953E-3</v>
      </c>
      <c r="AI378">
        <v>3.5818443093222241E-2</v>
      </c>
      <c r="AJ378">
        <v>9.8388030216405298E-2</v>
      </c>
      <c r="AK378">
        <v>0.22689773388794499</v>
      </c>
      <c r="AL378">
        <v>0.10433517115663826</v>
      </c>
      <c r="AM378">
        <v>0.10194406452657911</v>
      </c>
      <c r="AN378">
        <v>0.12556351239846464</v>
      </c>
      <c r="AO378">
        <v>7.5025074814088377E-2</v>
      </c>
      <c r="AR378">
        <v>9.5503903989824224E-4</v>
      </c>
      <c r="AS378">
        <v>4.6672140114840666E-3</v>
      </c>
      <c r="AT378">
        <v>9.9424343117166955E-2</v>
      </c>
      <c r="AU378">
        <v>1.9310676333422858E-3</v>
      </c>
      <c r="AV378">
        <v>2.0070771274334209E-3</v>
      </c>
      <c r="AW378">
        <v>3.4012310355764817E-3</v>
      </c>
      <c r="AX378">
        <v>3.7486840053267055E-4</v>
      </c>
      <c r="AY378">
        <v>4.6236187077441926E-4</v>
      </c>
      <c r="BB378">
        <v>5.315538839119105E-2</v>
      </c>
      <c r="BC378">
        <v>0.12601851393431029</v>
      </c>
      <c r="BE378">
        <v>29284.474376702317</v>
      </c>
      <c r="BF378">
        <v>21.159313723132421</v>
      </c>
      <c r="BG378">
        <v>31385.092317582788</v>
      </c>
      <c r="BH378">
        <v>21.138988286578325</v>
      </c>
    </row>
    <row r="379" spans="3:60" x14ac:dyDescent="0.2">
      <c r="C379" s="138">
        <v>27154.579359266088</v>
      </c>
      <c r="D379" s="138">
        <v>21.323297785387673</v>
      </c>
      <c r="E379" s="138">
        <v>28819.616363303234</v>
      </c>
      <c r="F379" s="138">
        <v>21.28988450003434</v>
      </c>
      <c r="G379" s="138">
        <v>-1665.0370040371454</v>
      </c>
      <c r="H379" s="138">
        <v>3.3413285353333322E-2</v>
      </c>
      <c r="N379" s="138"/>
      <c r="O379" s="138"/>
      <c r="P379" s="138"/>
      <c r="R379">
        <v>349.51644593951949</v>
      </c>
      <c r="S379">
        <v>54.623904862074852</v>
      </c>
      <c r="T379">
        <v>242.66528914640855</v>
      </c>
      <c r="U379">
        <v>103.46943145468546</v>
      </c>
      <c r="X379">
        <v>0.75218121671135041</v>
      </c>
      <c r="Y379">
        <v>0.77861626219699531</v>
      </c>
      <c r="Z379">
        <v>0.74624706839463095</v>
      </c>
      <c r="AA379">
        <v>0.94506665939748979</v>
      </c>
      <c r="AB379">
        <v>0.83851730654516055</v>
      </c>
      <c r="AC379">
        <v>0.76458765951356511</v>
      </c>
      <c r="AD379">
        <v>0.63384857654251225</v>
      </c>
      <c r="AE379">
        <v>0.55182801157946049</v>
      </c>
      <c r="AH379">
        <v>0.15543006070663379</v>
      </c>
      <c r="AI379">
        <v>4.9072294379357784E-2</v>
      </c>
      <c r="AJ379">
        <v>2.7849991939071117E-2</v>
      </c>
      <c r="AK379">
        <v>5.7884708277506691E-2</v>
      </c>
      <c r="AL379">
        <v>2.9660022119522567E-2</v>
      </c>
      <c r="AM379">
        <v>4.689178558062379E-2</v>
      </c>
      <c r="AN379">
        <v>3.675253881117535E-2</v>
      </c>
      <c r="AO379">
        <v>5.6874977851895991E-2</v>
      </c>
      <c r="AR379">
        <v>8.7344501896308505E-4</v>
      </c>
      <c r="AS379">
        <v>4.3249994369718792E-3</v>
      </c>
      <c r="AT379">
        <v>0.1004796003980527</v>
      </c>
      <c r="AU379">
        <v>2.2707389670827416E-3</v>
      </c>
      <c r="AV379">
        <v>1.8978425638068619E-3</v>
      </c>
      <c r="AW379">
        <v>3.3817313971820783E-3</v>
      </c>
      <c r="AX379">
        <v>4.2427593592397894E-4</v>
      </c>
      <c r="AY379">
        <v>4.1988860801176739E-4</v>
      </c>
      <c r="BB379">
        <v>4.7716797920200053E-2</v>
      </c>
      <c r="BC379">
        <v>2.6538206246147514E-2</v>
      </c>
      <c r="BE379">
        <v>27154.579359266088</v>
      </c>
      <c r="BF379">
        <v>21.323297785387673</v>
      </c>
      <c r="BG379">
        <v>28819.616363303234</v>
      </c>
      <c r="BH379">
        <v>21.28988450003434</v>
      </c>
    </row>
    <row r="380" spans="3:60" x14ac:dyDescent="0.2">
      <c r="C380" s="138">
        <v>35067.420803748901</v>
      </c>
      <c r="D380" s="138">
        <v>20.449853180625261</v>
      </c>
      <c r="E380" s="138">
        <v>37438.483841879737</v>
      </c>
      <c r="F380" s="138">
        <v>20.393362237309333</v>
      </c>
      <c r="G380" s="138">
        <v>-2371.0630381308365</v>
      </c>
      <c r="H380" s="138">
        <v>5.6490943315928632E-2</v>
      </c>
      <c r="N380" s="138"/>
      <c r="O380" s="138"/>
      <c r="P380" s="138"/>
      <c r="R380">
        <v>231.932201787016</v>
      </c>
      <c r="S380">
        <v>61.970441403264637</v>
      </c>
      <c r="T380">
        <v>248.09855733683028</v>
      </c>
      <c r="U380">
        <v>92.270658301646662</v>
      </c>
      <c r="X380">
        <v>0.6370017360489485</v>
      </c>
      <c r="Y380">
        <v>0.48252596441892709</v>
      </c>
      <c r="Z380">
        <v>0.68454248704642651</v>
      </c>
      <c r="AA380">
        <v>0.73748297863105461</v>
      </c>
      <c r="AB380">
        <v>0.93299113505514852</v>
      </c>
      <c r="AC380">
        <v>0.81911642617007818</v>
      </c>
      <c r="AD380">
        <v>0.75628752486145101</v>
      </c>
      <c r="AE380">
        <v>0.47775169123654004</v>
      </c>
      <c r="AH380">
        <v>7.45365066922129E-2</v>
      </c>
      <c r="AI380">
        <v>0.11741935631003908</v>
      </c>
      <c r="AJ380">
        <v>0.10819492030155975</v>
      </c>
      <c r="AK380">
        <v>0.10122088072512414</v>
      </c>
      <c r="AL380">
        <v>9.8499658676971524E-2</v>
      </c>
      <c r="AM380">
        <v>0.18888981392950066</v>
      </c>
      <c r="AN380">
        <v>0.16896688447889663</v>
      </c>
      <c r="AO380">
        <v>0.11668469655149893</v>
      </c>
      <c r="AR380">
        <v>1.0031212911686405E-3</v>
      </c>
      <c r="AS380">
        <v>4.5558172114436024E-3</v>
      </c>
      <c r="AT380">
        <v>9.966791723480696E-2</v>
      </c>
      <c r="AU380">
        <v>1.9508820141965974E-3</v>
      </c>
      <c r="AV380">
        <v>1.756444527746137E-3</v>
      </c>
      <c r="AW380">
        <v>3.6190431129609069E-3</v>
      </c>
      <c r="AX380">
        <v>3.774393357081577E-4</v>
      </c>
      <c r="AY380">
        <v>3.9096009880409016E-4</v>
      </c>
      <c r="BB380">
        <v>5.2721948072556035E-2</v>
      </c>
      <c r="BC380">
        <v>4.7962789940284245E-2</v>
      </c>
      <c r="BE380">
        <v>35067.420803748901</v>
      </c>
      <c r="BF380">
        <v>20.449853180625261</v>
      </c>
      <c r="BG380">
        <v>37438.483841879737</v>
      </c>
      <c r="BH380">
        <v>20.393362237309333</v>
      </c>
    </row>
    <row r="381" spans="3:60" x14ac:dyDescent="0.2">
      <c r="C381" s="138">
        <v>35517.609977860731</v>
      </c>
      <c r="D381" s="138">
        <v>21.584728897161838</v>
      </c>
      <c r="E381" s="138">
        <v>37840.107102279821</v>
      </c>
      <c r="F381" s="138">
        <v>21.577111102231441</v>
      </c>
      <c r="G381" s="138">
        <v>-2322.4971244190892</v>
      </c>
      <c r="H381" s="138">
        <v>7.6177949303968262E-3</v>
      </c>
      <c r="N381" s="138"/>
      <c r="O381" s="138"/>
      <c r="P381" s="138"/>
      <c r="R381">
        <v>189.27430495965729</v>
      </c>
      <c r="S381">
        <v>61.688181198725644</v>
      </c>
      <c r="T381">
        <v>274.56794924322787</v>
      </c>
      <c r="U381">
        <v>99.468520008919157</v>
      </c>
      <c r="X381">
        <v>0.85348433071756691</v>
      </c>
      <c r="Y381">
        <v>0.84191440706649745</v>
      </c>
      <c r="Z381">
        <v>0.92831829744839123</v>
      </c>
      <c r="AA381">
        <v>0.65813693924621697</v>
      </c>
      <c r="AB381">
        <v>0.60494376939484928</v>
      </c>
      <c r="AC381">
        <v>0.60735199270248352</v>
      </c>
      <c r="AD381">
        <v>0.92544028870726547</v>
      </c>
      <c r="AE381">
        <v>0.95997348338368393</v>
      </c>
      <c r="AH381">
        <v>0.15595897318014196</v>
      </c>
      <c r="AI381">
        <v>5.9186702492041832E-2</v>
      </c>
      <c r="AJ381">
        <v>5.0773865611686508E-2</v>
      </c>
      <c r="AK381">
        <v>9.6972431414367066E-2</v>
      </c>
      <c r="AL381">
        <v>0.21048998952236331</v>
      </c>
      <c r="AM381">
        <v>4.952683372172384E-2</v>
      </c>
      <c r="AN381">
        <v>8.0800922436781164E-2</v>
      </c>
      <c r="AO381">
        <v>0.22799673387879149</v>
      </c>
      <c r="AR381">
        <v>9.2064500642075053E-4</v>
      </c>
      <c r="AS381">
        <v>4.5370563871938163E-3</v>
      </c>
      <c r="AT381">
        <v>0.10002010832331065</v>
      </c>
      <c r="AU381">
        <v>1.942832275301271E-3</v>
      </c>
      <c r="AV381">
        <v>2.1008129990893742E-3</v>
      </c>
      <c r="AW381">
        <v>3.3612261668580648E-3</v>
      </c>
      <c r="AX381">
        <v>3.9142573529485093E-4</v>
      </c>
      <c r="AY381">
        <v>5.0002640311541668E-4</v>
      </c>
      <c r="BB381">
        <v>5.4560101862414889E-2</v>
      </c>
      <c r="BC381">
        <v>1.0242028397233344E-2</v>
      </c>
      <c r="BE381">
        <v>35517.609977860731</v>
      </c>
      <c r="BF381">
        <v>21.584728897161838</v>
      </c>
      <c r="BG381">
        <v>37840.107102279821</v>
      </c>
      <c r="BH381">
        <v>21.577111102231441</v>
      </c>
    </row>
    <row r="382" spans="3:60" x14ac:dyDescent="0.2">
      <c r="C382" s="138">
        <v>37983.875599290157</v>
      </c>
      <c r="D382" s="138">
        <v>21.157379343525392</v>
      </c>
      <c r="E382" s="138">
        <v>40629.464015006401</v>
      </c>
      <c r="F382" s="138">
        <v>21.169034012932279</v>
      </c>
      <c r="G382" s="138">
        <v>-2645.5884157162436</v>
      </c>
      <c r="H382" s="138">
        <v>-1.1654669406887308E-2</v>
      </c>
      <c r="N382" s="138"/>
      <c r="O382" s="138"/>
      <c r="P382" s="138"/>
      <c r="R382">
        <v>186.83396540306506</v>
      </c>
      <c r="S382">
        <v>60.382607149176643</v>
      </c>
      <c r="T382">
        <v>243.22085653085858</v>
      </c>
      <c r="U382">
        <v>94.228120025687218</v>
      </c>
      <c r="X382">
        <v>0.7418443087810106</v>
      </c>
      <c r="Y382">
        <v>0.76371605745059246</v>
      </c>
      <c r="Z382">
        <v>0.67550062222731988</v>
      </c>
      <c r="AA382">
        <v>0.67716710004058112</v>
      </c>
      <c r="AB382">
        <v>0.8615337088530387</v>
      </c>
      <c r="AC382">
        <v>0.68214455319163347</v>
      </c>
      <c r="AD382">
        <v>0.76581231774614589</v>
      </c>
      <c r="AE382">
        <v>0.8219737654175433</v>
      </c>
      <c r="AH382">
        <v>7.7975068729098096E-2</v>
      </c>
      <c r="AI382">
        <v>0.28441063299452329</v>
      </c>
      <c r="AJ382">
        <v>0.35105840934821331</v>
      </c>
      <c r="AK382">
        <v>0.12795567594629065</v>
      </c>
      <c r="AL382">
        <v>1.9584623311914684E-2</v>
      </c>
      <c r="AM382">
        <v>0.1288518088746522</v>
      </c>
      <c r="AN382">
        <v>3.9655117136044193E-2</v>
      </c>
      <c r="AO382">
        <v>5.1090230600212116E-2</v>
      </c>
      <c r="AR382">
        <v>8.8281763625997292E-4</v>
      </c>
      <c r="AS382">
        <v>4.7232411982047751E-3</v>
      </c>
      <c r="AT382">
        <v>9.9462375365433189E-2</v>
      </c>
      <c r="AU382">
        <v>1.9142891770905267E-3</v>
      </c>
      <c r="AV382">
        <v>1.705637635868005E-3</v>
      </c>
      <c r="AW382">
        <v>3.3555022947349398E-3</v>
      </c>
      <c r="AX382">
        <v>3.9541221670208086E-4</v>
      </c>
      <c r="AY382">
        <v>4.3669524426768477E-4</v>
      </c>
      <c r="BB382">
        <v>5.1432318753487416E-2</v>
      </c>
      <c r="BC382">
        <v>6.4806914707820296E-2</v>
      </c>
      <c r="BE382">
        <v>37983.875599290157</v>
      </c>
      <c r="BF382">
        <v>21.157379343525392</v>
      </c>
      <c r="BG382">
        <v>40629.464015006401</v>
      </c>
      <c r="BH382">
        <v>21.169034012932279</v>
      </c>
    </row>
    <row r="383" spans="3:60" x14ac:dyDescent="0.2">
      <c r="C383" s="138">
        <v>31389.335028848138</v>
      </c>
      <c r="D383" s="138">
        <v>20.375971080638219</v>
      </c>
      <c r="E383" s="138">
        <v>33643.627315846927</v>
      </c>
      <c r="F383" s="138">
        <v>20.310956883903533</v>
      </c>
      <c r="G383" s="138">
        <v>-2254.2922869987888</v>
      </c>
      <c r="H383" s="138">
        <v>6.5014196734686891E-2</v>
      </c>
      <c r="N383" s="138"/>
      <c r="O383" s="138"/>
      <c r="P383" s="138"/>
      <c r="R383">
        <v>239.63733807949532</v>
      </c>
      <c r="S383">
        <v>69.905477104405932</v>
      </c>
      <c r="T383">
        <v>267.56196273807603</v>
      </c>
      <c r="U383">
        <v>99.655645419972373</v>
      </c>
      <c r="X383">
        <v>0.66662544018828518</v>
      </c>
      <c r="Y383">
        <v>0.77851500042958288</v>
      </c>
      <c r="Z383">
        <v>0.74399843519109421</v>
      </c>
      <c r="AA383">
        <v>0.90710385225016732</v>
      </c>
      <c r="AB383">
        <v>0.47535263107601955</v>
      </c>
      <c r="AC383">
        <v>0.82414294967461643</v>
      </c>
      <c r="AD383">
        <v>0.7214877287613678</v>
      </c>
      <c r="AE383">
        <v>0.87418100289859757</v>
      </c>
      <c r="AH383">
        <v>0.10172098009830011</v>
      </c>
      <c r="AI383">
        <v>0.13502417366776698</v>
      </c>
      <c r="AJ383">
        <v>5.090152745229326E-2</v>
      </c>
      <c r="AK383">
        <v>1.2934235231369717E-2</v>
      </c>
      <c r="AL383">
        <v>5.1934646002652407E-2</v>
      </c>
      <c r="AM383">
        <v>4.5936695753109547E-2</v>
      </c>
      <c r="AN383">
        <v>0.18348371923545825</v>
      </c>
      <c r="AO383">
        <v>0.24625029814865662</v>
      </c>
      <c r="AR383">
        <v>8.6407050770100872E-4</v>
      </c>
      <c r="AS383">
        <v>4.1787017759677691E-3</v>
      </c>
      <c r="AT383">
        <v>0.10130789250580685</v>
      </c>
      <c r="AU383">
        <v>1.8712775809388061E-3</v>
      </c>
      <c r="AV383">
        <v>1.8343983381810623E-3</v>
      </c>
      <c r="AW383">
        <v>3.5165473075493558E-3</v>
      </c>
      <c r="AX383">
        <v>4.1149401085893711E-4</v>
      </c>
      <c r="AY383">
        <v>4.2230195903135339E-4</v>
      </c>
      <c r="BB383">
        <v>5.1025998766242586E-2</v>
      </c>
      <c r="BC383">
        <v>5.7679931388075145E-2</v>
      </c>
      <c r="BE383">
        <v>31389.335028848138</v>
      </c>
      <c r="BF383">
        <v>20.375971080638219</v>
      </c>
      <c r="BG383">
        <v>33643.627315846927</v>
      </c>
      <c r="BH383">
        <v>20.310956883903533</v>
      </c>
    </row>
    <row r="384" spans="3:60" x14ac:dyDescent="0.2">
      <c r="C384" s="138">
        <v>29262.93272603456</v>
      </c>
      <c r="D384" s="138">
        <v>21.26242278321622</v>
      </c>
      <c r="E384" s="138">
        <v>31477.696699302425</v>
      </c>
      <c r="F384" s="138">
        <v>21.257180039861233</v>
      </c>
      <c r="G384" s="138">
        <v>-2214.7639732678654</v>
      </c>
      <c r="H384" s="138">
        <v>5.2427433549873115E-3</v>
      </c>
      <c r="N384" s="138"/>
      <c r="O384" s="138"/>
      <c r="P384" s="138"/>
      <c r="R384">
        <v>213.94416426310562</v>
      </c>
      <c r="S384">
        <v>73.107405367156986</v>
      </c>
      <c r="T384">
        <v>265.93628204750951</v>
      </c>
      <c r="U384">
        <v>85.23775714480567</v>
      </c>
      <c r="X384">
        <v>0.80153059223886003</v>
      </c>
      <c r="Y384">
        <v>0.66447380614473539</v>
      </c>
      <c r="Z384">
        <v>0.78982113932911924</v>
      </c>
      <c r="AA384">
        <v>0.68924248779317898</v>
      </c>
      <c r="AB384">
        <v>0.91568765520162476</v>
      </c>
      <c r="AC384">
        <v>0.58400358629325899</v>
      </c>
      <c r="AD384">
        <v>0.77536095806447625</v>
      </c>
      <c r="AE384">
        <v>0.71672647401861533</v>
      </c>
      <c r="AH384">
        <v>3.677783359764919E-2</v>
      </c>
      <c r="AI384">
        <v>7.4400099865896685E-2</v>
      </c>
      <c r="AJ384">
        <v>5.5716827489388665E-2</v>
      </c>
      <c r="AK384">
        <v>8.2282562323160446E-2</v>
      </c>
      <c r="AL384">
        <v>4.3107589440475103E-2</v>
      </c>
      <c r="AM384">
        <v>9.2013641851860672E-2</v>
      </c>
      <c r="AN384">
        <v>0.1223168938036191</v>
      </c>
      <c r="AO384">
        <v>7.5557133496642503E-2</v>
      </c>
      <c r="AR384">
        <v>8.2037071087928475E-4</v>
      </c>
      <c r="AS384">
        <v>4.8368445191541154E-3</v>
      </c>
      <c r="AT384">
        <v>9.9536632827422908E-2</v>
      </c>
      <c r="AU384">
        <v>2.0105661951821396E-3</v>
      </c>
      <c r="AV384">
        <v>1.9449585859085898E-3</v>
      </c>
      <c r="AW384">
        <v>3.4828200771422901E-3</v>
      </c>
      <c r="AX384">
        <v>2.8520317496399228E-4</v>
      </c>
      <c r="AY384">
        <v>3.5667432970366641E-4</v>
      </c>
      <c r="BB384">
        <v>5.1011345495723392E-2</v>
      </c>
      <c r="BC384">
        <v>6.1033021349161554E-2</v>
      </c>
      <c r="BE384">
        <v>29262.93272603456</v>
      </c>
      <c r="BF384">
        <v>21.26242278321622</v>
      </c>
      <c r="BG384">
        <v>31477.696699302425</v>
      </c>
      <c r="BH384">
        <v>21.257180039861233</v>
      </c>
    </row>
    <row r="385" spans="3:60" x14ac:dyDescent="0.2">
      <c r="C385" s="138">
        <v>33705.407450192055</v>
      </c>
      <c r="D385" s="138">
        <v>19.762903734716833</v>
      </c>
      <c r="E385" s="138">
        <v>36534.412139915694</v>
      </c>
      <c r="F385" s="138">
        <v>19.686657304977746</v>
      </c>
      <c r="G385" s="138">
        <v>-2829.0046897236389</v>
      </c>
      <c r="H385" s="138">
        <v>7.6246429739086352E-2</v>
      </c>
      <c r="N385" s="138"/>
      <c r="O385" s="138"/>
      <c r="P385" s="138"/>
      <c r="R385">
        <v>270.25324578497049</v>
      </c>
      <c r="S385">
        <v>53.722954259679909</v>
      </c>
      <c r="T385">
        <v>207.77499704838542</v>
      </c>
      <c r="U385">
        <v>84.568205816122429</v>
      </c>
      <c r="X385">
        <v>0.8306287688825772</v>
      </c>
      <c r="Y385">
        <v>0.67162055210602833</v>
      </c>
      <c r="Z385">
        <v>0.78506662324584875</v>
      </c>
      <c r="AA385">
        <v>0.86503927499676581</v>
      </c>
      <c r="AB385">
        <v>0.60733614607201458</v>
      </c>
      <c r="AC385">
        <v>0.84845593048997725</v>
      </c>
      <c r="AD385">
        <v>0.8073277444959388</v>
      </c>
      <c r="AE385">
        <v>0.90192185536838454</v>
      </c>
      <c r="AH385">
        <v>6.1736980400932007E-2</v>
      </c>
      <c r="AI385">
        <v>0.16666397260670462</v>
      </c>
      <c r="AJ385">
        <v>0.11299870433629122</v>
      </c>
      <c r="AK385">
        <v>0.22199434054423561</v>
      </c>
      <c r="AL385">
        <v>0.24895661948378489</v>
      </c>
      <c r="AM385">
        <v>3.1979561633221687E-2</v>
      </c>
      <c r="AN385">
        <v>9.3529187292346383E-2</v>
      </c>
      <c r="AO385">
        <v>0.17019650062934277</v>
      </c>
      <c r="AR385">
        <v>1.012420514828194E-3</v>
      </c>
      <c r="AS385">
        <v>4.0964880634116142E-3</v>
      </c>
      <c r="AT385">
        <v>0.10095090390961936</v>
      </c>
      <c r="AU385">
        <v>1.8806169796578682E-3</v>
      </c>
      <c r="AV385">
        <v>1.8084934931422219E-3</v>
      </c>
      <c r="AW385">
        <v>3.5268981930137722E-3</v>
      </c>
      <c r="AX385">
        <v>4.2032114696255451E-4</v>
      </c>
      <c r="AY385">
        <v>3.5475196620321205E-4</v>
      </c>
      <c r="BB385">
        <v>4.7667356604398851E-2</v>
      </c>
      <c r="BC385">
        <v>1.4611882025072178E-2</v>
      </c>
      <c r="BE385">
        <v>33705.407450192055</v>
      </c>
      <c r="BF385">
        <v>19.762903734716833</v>
      </c>
      <c r="BG385">
        <v>36534.412139915694</v>
      </c>
      <c r="BH385">
        <v>19.686657304977746</v>
      </c>
    </row>
    <row r="386" spans="3:60" x14ac:dyDescent="0.2">
      <c r="C386" s="138">
        <v>26221.652987529938</v>
      </c>
      <c r="D386" s="138">
        <v>21.149081884500042</v>
      </c>
      <c r="E386" s="138">
        <v>27808.660448555369</v>
      </c>
      <c r="F386" s="138">
        <v>21.121782125283012</v>
      </c>
      <c r="G386" s="138">
        <v>-1587.0074610254305</v>
      </c>
      <c r="H386" s="138">
        <v>2.7299759217029873E-2</v>
      </c>
      <c r="N386" s="138"/>
      <c r="O386" s="138"/>
      <c r="P386" s="138"/>
      <c r="R386">
        <v>335.55138693192418</v>
      </c>
      <c r="S386">
        <v>54.586889751685639</v>
      </c>
      <c r="T386">
        <v>239.88857734203194</v>
      </c>
      <c r="U386">
        <v>102.72261507343923</v>
      </c>
      <c r="X386">
        <v>0.71252085828094325</v>
      </c>
      <c r="Y386">
        <v>0.7638983273290274</v>
      </c>
      <c r="Z386">
        <v>0.71601243791711289</v>
      </c>
      <c r="AA386">
        <v>0.75100864260456313</v>
      </c>
      <c r="AB386">
        <v>0.71380423074708121</v>
      </c>
      <c r="AC386">
        <v>0.61428717072326378</v>
      </c>
      <c r="AD386">
        <v>0.80825660341211814</v>
      </c>
      <c r="AE386">
        <v>0.88941452315356662</v>
      </c>
      <c r="AH386">
        <v>0.11503063445186679</v>
      </c>
      <c r="AI386">
        <v>6.8979367477471576E-2</v>
      </c>
      <c r="AJ386">
        <v>0.16593293290153854</v>
      </c>
      <c r="AK386">
        <v>0.23816083895978701</v>
      </c>
      <c r="AL386">
        <v>0.33966110850993192</v>
      </c>
      <c r="AM386">
        <v>0.10427633983764628</v>
      </c>
      <c r="AN386">
        <v>1.4607655700906497E-2</v>
      </c>
      <c r="AO386">
        <v>0.1544713212557518</v>
      </c>
      <c r="AR386">
        <v>1.016772959352763E-3</v>
      </c>
      <c r="AS386">
        <v>4.456494308475333E-3</v>
      </c>
      <c r="AT386">
        <v>9.8436923711132787E-2</v>
      </c>
      <c r="AU386">
        <v>1.9804509422173652E-3</v>
      </c>
      <c r="AV386">
        <v>2.008132842942989E-3</v>
      </c>
      <c r="AW386">
        <v>3.4866454118032131E-3</v>
      </c>
      <c r="AX386">
        <v>3.9529526127511752E-4</v>
      </c>
      <c r="AY386">
        <v>5.0955569379562693E-4</v>
      </c>
      <c r="BB386">
        <v>4.9591176120481799E-2</v>
      </c>
      <c r="BC386">
        <v>5.1142797131757955E-2</v>
      </c>
      <c r="BE386">
        <v>26221.652987529938</v>
      </c>
      <c r="BF386">
        <v>21.149081884500042</v>
      </c>
      <c r="BG386">
        <v>27808.660448555369</v>
      </c>
      <c r="BH386">
        <v>21.121782125283012</v>
      </c>
    </row>
    <row r="387" spans="3:60" x14ac:dyDescent="0.2">
      <c r="C387" s="138">
        <v>29678.033255222952</v>
      </c>
      <c r="D387" s="138">
        <v>20.946867765709072</v>
      </c>
      <c r="E387" s="138">
        <v>31473.312550413477</v>
      </c>
      <c r="F387" s="138">
        <v>20.919581240785835</v>
      </c>
      <c r="G387" s="138">
        <v>-1795.2792951905249</v>
      </c>
      <c r="H387" s="138">
        <v>2.7286524923237465E-2</v>
      </c>
      <c r="N387" s="138"/>
      <c r="O387" s="138"/>
      <c r="P387" s="138"/>
      <c r="R387">
        <v>201.33315790862622</v>
      </c>
      <c r="S387">
        <v>53.173404737685019</v>
      </c>
      <c r="T387">
        <v>236.35577041894533</v>
      </c>
      <c r="U387">
        <v>74.074345504919236</v>
      </c>
      <c r="X387">
        <v>0.81194010947588047</v>
      </c>
      <c r="Y387">
        <v>0.94331814534777281</v>
      </c>
      <c r="Z387">
        <v>0.84286347460461619</v>
      </c>
      <c r="AA387">
        <v>0.6826367566888355</v>
      </c>
      <c r="AB387">
        <v>0.71660356263242675</v>
      </c>
      <c r="AC387">
        <v>0.80880423895319176</v>
      </c>
      <c r="AD387">
        <v>0.74167400031658859</v>
      </c>
      <c r="AE387">
        <v>0.91737014915551818</v>
      </c>
      <c r="AH387">
        <v>7.5758793595690266E-2</v>
      </c>
      <c r="AI387">
        <v>0.23117924531631595</v>
      </c>
      <c r="AJ387">
        <v>0.17167469953320169</v>
      </c>
      <c r="AK387">
        <v>0.19353771808957398</v>
      </c>
      <c r="AL387">
        <v>9.0017829079031109E-2</v>
      </c>
      <c r="AM387">
        <v>3.0907751627333724E-3</v>
      </c>
      <c r="AN387">
        <v>6.0008517570547593E-2</v>
      </c>
      <c r="AO387">
        <v>0.10620745506203944</v>
      </c>
      <c r="AR387">
        <v>9.1769608937852798E-4</v>
      </c>
      <c r="AS387">
        <v>4.6326086971331115E-3</v>
      </c>
      <c r="AT387">
        <v>0.10181452056479667</v>
      </c>
      <c r="AU387">
        <v>1.8811879471739065E-3</v>
      </c>
      <c r="AV387">
        <v>1.8923787210973363E-3</v>
      </c>
      <c r="AW387">
        <v>3.4785457405812625E-3</v>
      </c>
      <c r="AX387">
        <v>3.0264008204177909E-4</v>
      </c>
      <c r="AY387">
        <v>4.9076214911292215E-4</v>
      </c>
      <c r="BB387">
        <v>4.2349472697257431E-2</v>
      </c>
      <c r="BC387">
        <v>3.8395916120047405E-2</v>
      </c>
      <c r="BE387">
        <v>29678.033255222952</v>
      </c>
      <c r="BF387">
        <v>20.946867765709072</v>
      </c>
      <c r="BG387">
        <v>31473.312550413477</v>
      </c>
      <c r="BH387">
        <v>20.919581240785835</v>
      </c>
    </row>
    <row r="388" spans="3:60" x14ac:dyDescent="0.2">
      <c r="C388" s="138">
        <v>36035.16190531812</v>
      </c>
      <c r="D388" s="138">
        <v>21.171214758255925</v>
      </c>
      <c r="E388" s="138">
        <v>38471.81535647063</v>
      </c>
      <c r="F388" s="138">
        <v>21.175408473074864</v>
      </c>
      <c r="G388" s="138">
        <v>-2436.6534511525097</v>
      </c>
      <c r="H388" s="138">
        <v>-4.1937148189390427E-3</v>
      </c>
      <c r="N388" s="138"/>
      <c r="O388" s="138"/>
      <c r="P388" s="138"/>
      <c r="R388">
        <v>245.2310834546341</v>
      </c>
      <c r="S388">
        <v>70.733239047375932</v>
      </c>
      <c r="T388">
        <v>271.09507739153918</v>
      </c>
      <c r="U388">
        <v>82.835672882467023</v>
      </c>
      <c r="X388">
        <v>0.72097643044715853</v>
      </c>
      <c r="Y388">
        <v>0.718386089016264</v>
      </c>
      <c r="Z388">
        <v>0.69743964828037963</v>
      </c>
      <c r="AA388">
        <v>0.73914058054401155</v>
      </c>
      <c r="AB388">
        <v>0.8600272555675631</v>
      </c>
      <c r="AC388">
        <v>0.78531750071935869</v>
      </c>
      <c r="AD388">
        <v>0.89557776029595604</v>
      </c>
      <c r="AE388">
        <v>0.72762029114845816</v>
      </c>
      <c r="AH388">
        <v>9.2583997615042213E-2</v>
      </c>
      <c r="AI388">
        <v>0.39534489677371687</v>
      </c>
      <c r="AJ388">
        <v>0.12000935955483372</v>
      </c>
      <c r="AK388">
        <v>0.19249122637374505</v>
      </c>
      <c r="AL388">
        <v>0.12171205796417617</v>
      </c>
      <c r="AM388">
        <v>3.4967740101717215E-2</v>
      </c>
      <c r="AN388">
        <v>0.13993029397913737</v>
      </c>
      <c r="AO388">
        <v>0.14452786207946411</v>
      </c>
      <c r="AR388">
        <v>8.9279829905286601E-4</v>
      </c>
      <c r="AS388">
        <v>4.7519564046547558E-3</v>
      </c>
      <c r="AT388">
        <v>0.10001978405406753</v>
      </c>
      <c r="AU388">
        <v>1.7840047551662588E-3</v>
      </c>
      <c r="AV388">
        <v>2.0127242542534729E-3</v>
      </c>
      <c r="AW388">
        <v>3.7165515031198915E-3</v>
      </c>
      <c r="AX388">
        <v>4.1849540533533958E-4</v>
      </c>
      <c r="AY388">
        <v>4.0095223427050951E-4</v>
      </c>
      <c r="BB388">
        <v>4.54651046867591E-2</v>
      </c>
      <c r="BC388">
        <v>4.6889393981519478E-2</v>
      </c>
      <c r="BE388">
        <v>36035.16190531812</v>
      </c>
      <c r="BF388">
        <v>21.171214758255925</v>
      </c>
      <c r="BG388">
        <v>38471.81535647063</v>
      </c>
      <c r="BH388">
        <v>21.175408473074864</v>
      </c>
    </row>
    <row r="389" spans="3:60" x14ac:dyDescent="0.2">
      <c r="C389" s="138">
        <v>34764.225419313327</v>
      </c>
      <c r="D389" s="138">
        <v>20.246042449661072</v>
      </c>
      <c r="E389" s="138">
        <v>36966.593648939721</v>
      </c>
      <c r="F389" s="138">
        <v>20.19700013419444</v>
      </c>
      <c r="G389" s="138">
        <v>-2202.3682296263942</v>
      </c>
      <c r="H389" s="138">
        <v>4.9042315466632402E-2</v>
      </c>
      <c r="N389" s="138"/>
      <c r="O389" s="138"/>
      <c r="P389" s="138"/>
      <c r="R389">
        <v>332.33024464057007</v>
      </c>
      <c r="S389">
        <v>54.3459978771198</v>
      </c>
      <c r="T389">
        <v>232.87374395918187</v>
      </c>
      <c r="U389">
        <v>97.016663104741269</v>
      </c>
      <c r="X389">
        <v>0.86050470202986085</v>
      </c>
      <c r="Y389">
        <v>0.83416041994017742</v>
      </c>
      <c r="Z389">
        <v>0.81394164296951654</v>
      </c>
      <c r="AA389">
        <v>0.87418900873029526</v>
      </c>
      <c r="AB389">
        <v>0.37347205204684264</v>
      </c>
      <c r="AC389">
        <v>0.8584291755740594</v>
      </c>
      <c r="AD389">
        <v>0.7652093947842783</v>
      </c>
      <c r="AE389">
        <v>0.9273392387890923</v>
      </c>
      <c r="AH389">
        <v>4.0997450847480188E-2</v>
      </c>
      <c r="AI389">
        <v>0.15657670287770065</v>
      </c>
      <c r="AJ389">
        <v>0.20922352834496138</v>
      </c>
      <c r="AK389">
        <v>0.28047204062191466</v>
      </c>
      <c r="AL389">
        <v>5.0645617296045664E-2</v>
      </c>
      <c r="AM389">
        <v>0.15885101745158525</v>
      </c>
      <c r="AN389">
        <v>1.9386022315609708E-2</v>
      </c>
      <c r="AO389">
        <v>0.17285191913819609</v>
      </c>
      <c r="AR389">
        <v>1.0177463784752927E-3</v>
      </c>
      <c r="AS389">
        <v>4.5764948825214313E-3</v>
      </c>
      <c r="AT389">
        <v>0.10051720572785872</v>
      </c>
      <c r="AU389">
        <v>1.8921522359334839E-3</v>
      </c>
      <c r="AV389">
        <v>1.8346727446865193E-3</v>
      </c>
      <c r="AW389">
        <v>3.7790368011184627E-3</v>
      </c>
      <c r="AX389">
        <v>4.2858271491397204E-4</v>
      </c>
      <c r="AY389">
        <v>5.2363984101755356E-4</v>
      </c>
      <c r="BB389">
        <v>4.8404468276817242E-2</v>
      </c>
      <c r="BC389">
        <v>6.6016594346374524E-2</v>
      </c>
      <c r="BE389">
        <v>34764.225419313327</v>
      </c>
      <c r="BF389">
        <v>20.246042449661072</v>
      </c>
      <c r="BG389">
        <v>36966.593648939721</v>
      </c>
      <c r="BH389">
        <v>20.19700013419444</v>
      </c>
    </row>
    <row r="390" spans="3:60" x14ac:dyDescent="0.2">
      <c r="C390" s="138">
        <v>31380.436283929801</v>
      </c>
      <c r="D390" s="138">
        <v>20.920875582890908</v>
      </c>
      <c r="E390" s="138">
        <v>33324.61747779369</v>
      </c>
      <c r="F390" s="138">
        <v>20.901974871062059</v>
      </c>
      <c r="G390" s="138">
        <v>-1944.1811938638893</v>
      </c>
      <c r="H390" s="138">
        <v>1.8900711828848671E-2</v>
      </c>
      <c r="N390" s="138"/>
      <c r="O390" s="138"/>
      <c r="P390" s="138"/>
      <c r="R390">
        <v>167.76475783922132</v>
      </c>
      <c r="S390">
        <v>58.426496028552215</v>
      </c>
      <c r="T390">
        <v>272.55827597103354</v>
      </c>
      <c r="U390">
        <v>97.719015697211233</v>
      </c>
      <c r="X390">
        <v>0.71737446539858796</v>
      </c>
      <c r="Y390">
        <v>0.77675844597101151</v>
      </c>
      <c r="Z390">
        <v>0.9296410205209753</v>
      </c>
      <c r="AA390">
        <v>0.52582162977386104</v>
      </c>
      <c r="AB390">
        <v>0.92366559873631027</v>
      </c>
      <c r="AC390">
        <v>0.77770214593470821</v>
      </c>
      <c r="AD390">
        <v>0.49403371019236275</v>
      </c>
      <c r="AE390">
        <v>0.56735677083583758</v>
      </c>
      <c r="AH390">
        <v>1.4154982760675283E-2</v>
      </c>
      <c r="AI390">
        <v>0.31729851060248015</v>
      </c>
      <c r="AJ390">
        <v>0.12945621914128769</v>
      </c>
      <c r="AK390">
        <v>0.12054351730192392</v>
      </c>
      <c r="AL390">
        <v>0.10303343348296778</v>
      </c>
      <c r="AM390">
        <v>0.11941490048498948</v>
      </c>
      <c r="AN390">
        <v>3.6290900358922795E-2</v>
      </c>
      <c r="AO390">
        <v>0.4979977906917934</v>
      </c>
      <c r="AR390">
        <v>1.0187478714246412E-3</v>
      </c>
      <c r="AS390">
        <v>4.6588374077382033E-3</v>
      </c>
      <c r="AT390">
        <v>9.9523790627066358E-2</v>
      </c>
      <c r="AU390">
        <v>2.2700354813506296E-3</v>
      </c>
      <c r="AV390">
        <v>2.2074997177787825E-3</v>
      </c>
      <c r="AW390">
        <v>3.6156741678349258E-3</v>
      </c>
      <c r="AX390">
        <v>4.1802185156369909E-4</v>
      </c>
      <c r="AY390">
        <v>5.2551279729262657E-4</v>
      </c>
      <c r="BB390">
        <v>5.2341221842374219E-2</v>
      </c>
      <c r="BC390">
        <v>2.0412163487392405E-2</v>
      </c>
      <c r="BE390">
        <v>31380.436283929801</v>
      </c>
      <c r="BF390">
        <v>20.920875582890908</v>
      </c>
      <c r="BG390">
        <v>33324.61747779369</v>
      </c>
      <c r="BH390">
        <v>20.901974871062059</v>
      </c>
    </row>
    <row r="391" spans="3:60" x14ac:dyDescent="0.2">
      <c r="C391" s="138">
        <v>30207.261778491076</v>
      </c>
      <c r="D391" s="138">
        <v>21.458318161872782</v>
      </c>
      <c r="E391" s="138">
        <v>31966.471368023318</v>
      </c>
      <c r="F391" s="138">
        <v>21.448739982239541</v>
      </c>
      <c r="G391" s="138">
        <v>-1759.2095895322418</v>
      </c>
      <c r="H391" s="138">
        <v>9.5781796332410352E-3</v>
      </c>
      <c r="N391" s="138"/>
      <c r="O391" s="138"/>
      <c r="P391" s="138"/>
      <c r="R391">
        <v>219.89700745872767</v>
      </c>
      <c r="S391">
        <v>57.56351312250127</v>
      </c>
      <c r="T391">
        <v>254.41360385947326</v>
      </c>
      <c r="U391">
        <v>80.997559404036068</v>
      </c>
      <c r="X391">
        <v>0.69257279150906759</v>
      </c>
      <c r="Y391">
        <v>0.66149899484239427</v>
      </c>
      <c r="Z391">
        <v>0.61146805761444323</v>
      </c>
      <c r="AA391">
        <v>0.65902232355226398</v>
      </c>
      <c r="AB391">
        <v>0.87520311416654373</v>
      </c>
      <c r="AC391">
        <v>0.65823841847308784</v>
      </c>
      <c r="AD391">
        <v>0.33154630585594075</v>
      </c>
      <c r="AE391">
        <v>0.87911215221860917</v>
      </c>
      <c r="AH391">
        <v>1.3137791609858063E-2</v>
      </c>
      <c r="AI391">
        <v>3.6224200706430065E-2</v>
      </c>
      <c r="AJ391">
        <v>0.14982292447088397</v>
      </c>
      <c r="AK391">
        <v>0.13219398584237485</v>
      </c>
      <c r="AL391">
        <v>0.21009077338564264</v>
      </c>
      <c r="AM391">
        <v>0.1345143726382928</v>
      </c>
      <c r="AN391">
        <v>3.5354381492059272E-2</v>
      </c>
      <c r="AO391">
        <v>0.32140846394949163</v>
      </c>
      <c r="AR391">
        <v>6.7933254851624538E-4</v>
      </c>
      <c r="AS391">
        <v>4.8547674464305413E-3</v>
      </c>
      <c r="AT391">
        <v>9.965980703756136E-2</v>
      </c>
      <c r="AU391">
        <v>2.0980914611935519E-3</v>
      </c>
      <c r="AV391">
        <v>1.9203287731017608E-3</v>
      </c>
      <c r="AW391">
        <v>3.2741625134425603E-3</v>
      </c>
      <c r="AX391">
        <v>3.9477283430218695E-4</v>
      </c>
      <c r="AY391">
        <v>5.9434357978693786E-4</v>
      </c>
      <c r="BB391">
        <v>4.7380447505299281E-2</v>
      </c>
      <c r="BC391">
        <v>3.440455899476761E-2</v>
      </c>
      <c r="BE391">
        <v>30207.261778491076</v>
      </c>
      <c r="BF391">
        <v>21.458318161872782</v>
      </c>
      <c r="BG391">
        <v>31966.471368023318</v>
      </c>
      <c r="BH391">
        <v>21.448739982239541</v>
      </c>
    </row>
    <row r="392" spans="3:60" x14ac:dyDescent="0.2">
      <c r="C392" s="138">
        <v>28143.715415537226</v>
      </c>
      <c r="D392" s="138">
        <v>20.564474233678862</v>
      </c>
      <c r="E392" s="138">
        <v>30271.548743432846</v>
      </c>
      <c r="F392" s="138">
        <v>20.52264014155071</v>
      </c>
      <c r="G392" s="138">
        <v>-2127.8333278956197</v>
      </c>
      <c r="H392" s="138">
        <v>4.1834092128151923E-2</v>
      </c>
      <c r="N392" s="138"/>
      <c r="O392" s="138"/>
      <c r="P392" s="138"/>
      <c r="R392">
        <v>221.50301490329616</v>
      </c>
      <c r="S392">
        <v>66.374467772320912</v>
      </c>
      <c r="T392">
        <v>262.15296588000393</v>
      </c>
      <c r="U392">
        <v>82.639723143087423</v>
      </c>
      <c r="X392">
        <v>0.87293241499936247</v>
      </c>
      <c r="Y392">
        <v>0.91997022439783116</v>
      </c>
      <c r="Z392">
        <v>0.63510352314412977</v>
      </c>
      <c r="AA392">
        <v>0.93716017332651669</v>
      </c>
      <c r="AB392">
        <v>0.85997878764555502</v>
      </c>
      <c r="AC392">
        <v>0.83381520637612838</v>
      </c>
      <c r="AD392">
        <v>0.48042753609449101</v>
      </c>
      <c r="AE392">
        <v>0.74452794652474519</v>
      </c>
      <c r="AH392">
        <v>0.31333840322453965</v>
      </c>
      <c r="AI392">
        <v>8.3352270512175086E-2</v>
      </c>
      <c r="AJ392">
        <v>3.0587690899497422E-2</v>
      </c>
      <c r="AK392">
        <v>0.15174722860996293</v>
      </c>
      <c r="AL392">
        <v>0.18720815260922374</v>
      </c>
      <c r="AM392">
        <v>6.9755926245471223E-2</v>
      </c>
      <c r="AN392">
        <v>2.6134637489603874E-2</v>
      </c>
      <c r="AO392">
        <v>0.2078101851118439</v>
      </c>
      <c r="AR392">
        <v>9.3056772874511307E-4</v>
      </c>
      <c r="AS392">
        <v>4.2576882506735374E-3</v>
      </c>
      <c r="AT392">
        <v>0.10091612417194962</v>
      </c>
      <c r="AU392">
        <v>1.8874780403175593E-3</v>
      </c>
      <c r="AV392">
        <v>1.8952135726796992E-3</v>
      </c>
      <c r="AW392">
        <v>3.2787252369753531E-3</v>
      </c>
      <c r="AX392">
        <v>3.1120808049645395E-4</v>
      </c>
      <c r="AY392">
        <v>5.8966793932646588E-4</v>
      </c>
      <c r="BB392">
        <v>4.6504287143623486E-2</v>
      </c>
      <c r="BC392">
        <v>3.4666803270079698E-2</v>
      </c>
      <c r="BE392">
        <v>28143.715415537226</v>
      </c>
      <c r="BF392">
        <v>20.564474233678862</v>
      </c>
      <c r="BG392">
        <v>30271.548743432846</v>
      </c>
      <c r="BH392">
        <v>20.52264014155071</v>
      </c>
    </row>
    <row r="393" spans="3:60" x14ac:dyDescent="0.2">
      <c r="C393" s="138">
        <v>34295.583829003517</v>
      </c>
      <c r="D393" s="138">
        <v>21.202881229744357</v>
      </c>
      <c r="E393" s="138">
        <v>36332.07285555877</v>
      </c>
      <c r="F393" s="138">
        <v>21.176095535898913</v>
      </c>
      <c r="G393" s="138">
        <v>-2036.4890265552531</v>
      </c>
      <c r="H393" s="138">
        <v>2.6785693845443603E-2</v>
      </c>
      <c r="N393" s="138"/>
      <c r="O393" s="138"/>
      <c r="P393" s="138"/>
      <c r="R393">
        <v>273.89941258426239</v>
      </c>
      <c r="S393">
        <v>67.492692606174785</v>
      </c>
      <c r="T393">
        <v>198.2385693730256</v>
      </c>
      <c r="U393">
        <v>83.605191318937187</v>
      </c>
      <c r="X393">
        <v>0.69730726478232297</v>
      </c>
      <c r="Y393">
        <v>0.69149103720211069</v>
      </c>
      <c r="Z393">
        <v>0.80491405841239672</v>
      </c>
      <c r="AA393">
        <v>0.86965349447513629</v>
      </c>
      <c r="AB393">
        <v>0.73207614638216267</v>
      </c>
      <c r="AC393">
        <v>0.77141246609836067</v>
      </c>
      <c r="AD393">
        <v>0.96515522189464642</v>
      </c>
      <c r="AE393">
        <v>0.74106018073706659</v>
      </c>
      <c r="AH393">
        <v>0.10132485669022384</v>
      </c>
      <c r="AI393">
        <v>1.2460357125772981E-2</v>
      </c>
      <c r="AJ393">
        <v>6.5158344718940664E-2</v>
      </c>
      <c r="AK393">
        <v>0.13778098751995971</v>
      </c>
      <c r="AL393">
        <v>0.19096072595303737</v>
      </c>
      <c r="AM393">
        <v>0.18777976626268778</v>
      </c>
      <c r="AN393">
        <v>0.25636107537470876</v>
      </c>
      <c r="AO393">
        <v>4.715941837741533E-2</v>
      </c>
      <c r="AR393">
        <v>7.5259080723773632E-4</v>
      </c>
      <c r="AS393">
        <v>4.4064563235416965E-3</v>
      </c>
      <c r="AT393">
        <v>9.9639589222839803E-2</v>
      </c>
      <c r="AU393">
        <v>1.7400657927733999E-3</v>
      </c>
      <c r="AV393">
        <v>1.8821211464304041E-3</v>
      </c>
      <c r="AW393">
        <v>3.5320460021699418E-3</v>
      </c>
      <c r="AX393">
        <v>3.2621714683795749E-4</v>
      </c>
      <c r="AY393">
        <v>4.7514225358369355E-4</v>
      </c>
      <c r="BB393">
        <v>5.0840692449267255E-2</v>
      </c>
      <c r="BC393">
        <v>2.6637014899041581E-2</v>
      </c>
      <c r="BE393">
        <v>34295.583829003517</v>
      </c>
      <c r="BF393">
        <v>21.202881229744357</v>
      </c>
      <c r="BG393">
        <v>36332.07285555877</v>
      </c>
      <c r="BH393">
        <v>21.176095535898913</v>
      </c>
    </row>
    <row r="394" spans="3:60" x14ac:dyDescent="0.2">
      <c r="C394" s="138">
        <v>30713.800827629842</v>
      </c>
      <c r="D394" s="138">
        <v>21.103741347091994</v>
      </c>
      <c r="E394" s="138">
        <v>32862.241281866598</v>
      </c>
      <c r="F394" s="138">
        <v>21.102093283273909</v>
      </c>
      <c r="G394" s="138">
        <v>-2148.4404542367556</v>
      </c>
      <c r="H394" s="138">
        <v>1.6480638180844664E-3</v>
      </c>
      <c r="N394" s="138"/>
      <c r="O394" s="138"/>
      <c r="P394" s="138"/>
      <c r="R394">
        <v>231.23710006324254</v>
      </c>
      <c r="S394">
        <v>60.915214539493384</v>
      </c>
      <c r="T394">
        <v>205.74102098141353</v>
      </c>
      <c r="U394">
        <v>110.74888100507334</v>
      </c>
      <c r="X394">
        <v>0.7963151539040858</v>
      </c>
      <c r="Y394">
        <v>0.74646537145348957</v>
      </c>
      <c r="Z394">
        <v>0.77725641326767847</v>
      </c>
      <c r="AA394">
        <v>0.81289796391683244</v>
      </c>
      <c r="AB394">
        <v>0.77768780644699464</v>
      </c>
      <c r="AC394">
        <v>0.63568500834241426</v>
      </c>
      <c r="AD394">
        <v>0.75644185130119657</v>
      </c>
      <c r="AE394">
        <v>0.6342324859242443</v>
      </c>
      <c r="AH394">
        <v>0.16181879079947603</v>
      </c>
      <c r="AI394">
        <v>0.12085270610184473</v>
      </c>
      <c r="AJ394">
        <v>0.24042671440540486</v>
      </c>
      <c r="AK394">
        <v>0.15863544350410463</v>
      </c>
      <c r="AL394">
        <v>6.9600814018344614E-2</v>
      </c>
      <c r="AM394">
        <v>3.9001417127461635E-2</v>
      </c>
      <c r="AN394">
        <v>0.18304582690157656</v>
      </c>
      <c r="AO394">
        <v>0.10185642276231943</v>
      </c>
      <c r="AR394">
        <v>8.1886296347138238E-4</v>
      </c>
      <c r="AS394">
        <v>4.2301657328236578E-3</v>
      </c>
      <c r="AT394">
        <v>0.10120970315660005</v>
      </c>
      <c r="AU394">
        <v>1.9783118821792714E-3</v>
      </c>
      <c r="AV394">
        <v>1.8799317830287439E-3</v>
      </c>
      <c r="AW394">
        <v>3.663271725995676E-3</v>
      </c>
      <c r="AX394">
        <v>3.0331519865228572E-4</v>
      </c>
      <c r="AY394">
        <v>5.8429136489324129E-4</v>
      </c>
      <c r="BB394">
        <v>4.6039186628657448E-2</v>
      </c>
      <c r="BC394">
        <v>9.0261930398708778E-2</v>
      </c>
      <c r="BE394">
        <v>30713.800827629842</v>
      </c>
      <c r="BF394">
        <v>21.103741347091994</v>
      </c>
      <c r="BG394">
        <v>32862.241281866598</v>
      </c>
      <c r="BH394">
        <v>21.102093283273909</v>
      </c>
    </row>
    <row r="395" spans="3:60" x14ac:dyDescent="0.2">
      <c r="C395" s="138">
        <v>30447.026229188523</v>
      </c>
      <c r="D395" s="138">
        <v>21.035941410201957</v>
      </c>
      <c r="E395" s="138">
        <v>32427.613437683685</v>
      </c>
      <c r="F395" s="138">
        <v>21.01461906976219</v>
      </c>
      <c r="G395" s="138">
        <v>-1980.5872084951625</v>
      </c>
      <c r="H395" s="138">
        <v>2.1322340439766663E-2</v>
      </c>
      <c r="N395" s="138"/>
      <c r="O395" s="138"/>
      <c r="P395" s="138"/>
      <c r="R395">
        <v>290.14475223123753</v>
      </c>
      <c r="S395">
        <v>59.517706666901589</v>
      </c>
      <c r="T395">
        <v>203.93459591286287</v>
      </c>
      <c r="U395">
        <v>83.752976029987664</v>
      </c>
      <c r="X395">
        <v>0.79012006599494056</v>
      </c>
      <c r="Y395">
        <v>0.8276379722434859</v>
      </c>
      <c r="Z395">
        <v>0.75982730061302195</v>
      </c>
      <c r="AA395">
        <v>0.93413019370419037</v>
      </c>
      <c r="AB395">
        <v>0.79867238939108498</v>
      </c>
      <c r="AC395">
        <v>0.91089409495743201</v>
      </c>
      <c r="AD395">
        <v>0.88162716812146713</v>
      </c>
      <c r="AE395">
        <v>0.92017246723898249</v>
      </c>
      <c r="AH395">
        <v>6.2656126736876816E-2</v>
      </c>
      <c r="AI395">
        <v>0.20408121243381883</v>
      </c>
      <c r="AJ395">
        <v>2.7134319286211794E-2</v>
      </c>
      <c r="AK395">
        <v>0.13794754369257545</v>
      </c>
      <c r="AL395">
        <v>9.1748923057516585E-2</v>
      </c>
      <c r="AM395">
        <v>2.8639860652930116E-2</v>
      </c>
      <c r="AN395">
        <v>0.13856541241939169</v>
      </c>
      <c r="AO395">
        <v>0.2256267305570272</v>
      </c>
      <c r="AR395">
        <v>8.8287284762893984E-4</v>
      </c>
      <c r="AS395">
        <v>4.3455342925546548E-3</v>
      </c>
      <c r="AT395">
        <v>9.8961173433459435E-2</v>
      </c>
      <c r="AU395">
        <v>1.7499531511915149E-3</v>
      </c>
      <c r="AV395">
        <v>2.0768436933507051E-3</v>
      </c>
      <c r="AW395">
        <v>3.2828747537948554E-3</v>
      </c>
      <c r="AX395">
        <v>3.4264383410005569E-4</v>
      </c>
      <c r="AY395">
        <v>4.5309255494807577E-4</v>
      </c>
      <c r="BB395">
        <v>4.870016203843882E-2</v>
      </c>
      <c r="BC395">
        <v>2.9483230302373046E-2</v>
      </c>
      <c r="BE395">
        <v>30447.026229188523</v>
      </c>
      <c r="BF395">
        <v>21.035941410201957</v>
      </c>
      <c r="BG395">
        <v>32427.613437683685</v>
      </c>
      <c r="BH395">
        <v>21.01461906976219</v>
      </c>
    </row>
    <row r="396" spans="3:60" x14ac:dyDescent="0.2">
      <c r="C396" s="138">
        <v>32247.675363546616</v>
      </c>
      <c r="D396" s="138">
        <v>20.622980307064132</v>
      </c>
      <c r="E396" s="138">
        <v>34443.027741282109</v>
      </c>
      <c r="F396" s="138">
        <v>20.600815214541171</v>
      </c>
      <c r="G396" s="138">
        <v>-2195.3523777354931</v>
      </c>
      <c r="H396" s="138">
        <v>2.2165092522961061E-2</v>
      </c>
      <c r="N396" s="138"/>
      <c r="O396" s="138"/>
      <c r="P396" s="138"/>
      <c r="R396">
        <v>298.7156921267337</v>
      </c>
      <c r="S396">
        <v>75.587534642852361</v>
      </c>
      <c r="T396">
        <v>243.34456298678339</v>
      </c>
      <c r="U396">
        <v>93.644335786182211</v>
      </c>
      <c r="X396">
        <v>0.5054658286349718</v>
      </c>
      <c r="Y396">
        <v>0.70475949948630023</v>
      </c>
      <c r="Z396">
        <v>0.67859820243660041</v>
      </c>
      <c r="AA396">
        <v>0.90910272914255907</v>
      </c>
      <c r="AB396">
        <v>0.62002872789976138</v>
      </c>
      <c r="AC396">
        <v>0.87045817547534377</v>
      </c>
      <c r="AD396">
        <v>0.7194478023678994</v>
      </c>
      <c r="AE396">
        <v>0.96255163340044259</v>
      </c>
      <c r="AH396">
        <v>0.228358491750144</v>
      </c>
      <c r="AI396">
        <v>0.15674912452442946</v>
      </c>
      <c r="AJ396">
        <v>0.34942193472133654</v>
      </c>
      <c r="AK396">
        <v>0.11677077698200489</v>
      </c>
      <c r="AL396">
        <v>0.14153543407050728</v>
      </c>
      <c r="AM396">
        <v>0.18753973230223875</v>
      </c>
      <c r="AN396">
        <v>0.13844838914236068</v>
      </c>
      <c r="AO396">
        <v>0.21591348947604627</v>
      </c>
      <c r="AR396">
        <v>8.2183269185036345E-4</v>
      </c>
      <c r="AS396">
        <v>4.5576493792440775E-3</v>
      </c>
      <c r="AT396">
        <v>0.10002368084883628</v>
      </c>
      <c r="AU396">
        <v>1.9141339989827224E-3</v>
      </c>
      <c r="AV396">
        <v>2.0447415851115869E-3</v>
      </c>
      <c r="AW396">
        <v>3.5217186965293967E-3</v>
      </c>
      <c r="AX396">
        <v>3.2970118708184124E-4</v>
      </c>
      <c r="AY396">
        <v>4.7216175530162552E-4</v>
      </c>
      <c r="BB396">
        <v>4.9492765223706318E-2</v>
      </c>
      <c r="BC396">
        <v>0.11330697803808532</v>
      </c>
      <c r="BE396">
        <v>32247.675363546616</v>
      </c>
      <c r="BF396">
        <v>20.622980307064132</v>
      </c>
      <c r="BG396">
        <v>34443.027741282109</v>
      </c>
      <c r="BH396">
        <v>20.600815214541171</v>
      </c>
    </row>
    <row r="397" spans="3:60" x14ac:dyDescent="0.2">
      <c r="C397" s="138">
        <v>32920.075774936842</v>
      </c>
      <c r="D397" s="138">
        <v>20.793418154349062</v>
      </c>
      <c r="E397" s="138">
        <v>35113.093612333803</v>
      </c>
      <c r="F397" s="138">
        <v>20.745181161561447</v>
      </c>
      <c r="G397" s="138">
        <v>-2193.0178373969611</v>
      </c>
      <c r="H397" s="138">
        <v>4.8236992787614952E-2</v>
      </c>
      <c r="N397" s="138"/>
      <c r="O397" s="138"/>
      <c r="P397" s="138"/>
      <c r="R397">
        <v>357.99831120850087</v>
      </c>
      <c r="S397">
        <v>52.143991768238749</v>
      </c>
      <c r="T397">
        <v>255.52379061697559</v>
      </c>
      <c r="U397">
        <v>86.335246990897417</v>
      </c>
      <c r="X397">
        <v>0.5105814600468358</v>
      </c>
      <c r="Y397">
        <v>0.71035698547422144</v>
      </c>
      <c r="Z397">
        <v>0.76742110979584743</v>
      </c>
      <c r="AA397">
        <v>0.87090773510964503</v>
      </c>
      <c r="AB397">
        <v>0.70556727852162471</v>
      </c>
      <c r="AC397">
        <v>0.83246063366974787</v>
      </c>
      <c r="AD397">
        <v>0.85186249010127812</v>
      </c>
      <c r="AE397">
        <v>0.62409482500957569</v>
      </c>
      <c r="AH397">
        <v>6.5685789818101359E-2</v>
      </c>
      <c r="AI397">
        <v>0.2058216947389413</v>
      </c>
      <c r="AJ397">
        <v>9.0413174145778985E-2</v>
      </c>
      <c r="AK397">
        <v>0.12893886668555132</v>
      </c>
      <c r="AL397">
        <v>7.2504641396233804E-2</v>
      </c>
      <c r="AM397">
        <v>0.27061615662013772</v>
      </c>
      <c r="AN397">
        <v>8.5556113783833654E-2</v>
      </c>
      <c r="AO397">
        <v>0.16146139433123941</v>
      </c>
      <c r="AR397">
        <v>7.5544297695909017E-4</v>
      </c>
      <c r="AS397">
        <v>4.6665696000847134E-3</v>
      </c>
      <c r="AT397">
        <v>9.9778232556147622E-2</v>
      </c>
      <c r="AU397">
        <v>1.7612422439264989E-3</v>
      </c>
      <c r="AV397">
        <v>2.1439615845648685E-3</v>
      </c>
      <c r="AW397">
        <v>3.2461882244188621E-3</v>
      </c>
      <c r="AX397">
        <v>2.8878578638354374E-4</v>
      </c>
      <c r="AY397">
        <v>4.6666817893026291E-4</v>
      </c>
      <c r="BB397">
        <v>4.6666738338548439E-2</v>
      </c>
      <c r="BC397">
        <v>0.11130688517040976</v>
      </c>
      <c r="BE397">
        <v>32920.075774936842</v>
      </c>
      <c r="BF397">
        <v>20.793418154349062</v>
      </c>
      <c r="BG397">
        <v>35113.093612333803</v>
      </c>
      <c r="BH397">
        <v>20.745181161561447</v>
      </c>
    </row>
    <row r="398" spans="3:60" x14ac:dyDescent="0.2">
      <c r="C398" s="138">
        <v>36259.287714585633</v>
      </c>
      <c r="D398" s="138">
        <v>21.68607135419834</v>
      </c>
      <c r="E398" s="138">
        <v>38762.341062838939</v>
      </c>
      <c r="F398" s="138">
        <v>21.734661685936128</v>
      </c>
      <c r="G398" s="138">
        <v>-2503.0533482533065</v>
      </c>
      <c r="H398" s="138">
        <v>-4.8590331737788262E-2</v>
      </c>
      <c r="N398" s="138"/>
      <c r="O398" s="138"/>
      <c r="P398" s="138"/>
      <c r="R398">
        <v>180.0231264466006</v>
      </c>
      <c r="S398">
        <v>70.076713499322238</v>
      </c>
      <c r="T398">
        <v>250.44540016490114</v>
      </c>
      <c r="U398">
        <v>88.482645946485377</v>
      </c>
      <c r="X398">
        <v>0.82259182272474052</v>
      </c>
      <c r="Y398">
        <v>0.89208980091658674</v>
      </c>
      <c r="Z398">
        <v>0.63212913585376906</v>
      </c>
      <c r="AA398">
        <v>0.80000165331662798</v>
      </c>
      <c r="AB398">
        <v>0.79033924085159679</v>
      </c>
      <c r="AC398">
        <v>0.86327509628126509</v>
      </c>
      <c r="AD398">
        <v>0.78489772227920407</v>
      </c>
      <c r="AE398">
        <v>0.79215268411032125</v>
      </c>
      <c r="AH398">
        <v>0.22399739501464055</v>
      </c>
      <c r="AI398">
        <v>0.13879333239625458</v>
      </c>
      <c r="AJ398">
        <v>8.6703017248592973E-2</v>
      </c>
      <c r="AK398">
        <v>2.6466311627169281E-2</v>
      </c>
      <c r="AL398">
        <v>0.22744865868558783</v>
      </c>
      <c r="AM398">
        <v>0.26115865448123421</v>
      </c>
      <c r="AN398">
        <v>0.11851482812228931</v>
      </c>
      <c r="AO398">
        <v>5.531630461328918E-2</v>
      </c>
      <c r="AR398">
        <v>7.7846381596760898E-4</v>
      </c>
      <c r="AS398">
        <v>4.9998583904362626E-3</v>
      </c>
      <c r="AT398">
        <v>9.8523069379895994E-2</v>
      </c>
      <c r="AU398">
        <v>1.8816244930471998E-3</v>
      </c>
      <c r="AV398">
        <v>1.703096966149143E-3</v>
      </c>
      <c r="AW398">
        <v>3.5663073820885183E-3</v>
      </c>
      <c r="AX398">
        <v>3.7746881353254856E-4</v>
      </c>
      <c r="AY398">
        <v>4.0468888099289474E-4</v>
      </c>
      <c r="BB398">
        <v>3.9542678236053119E-2</v>
      </c>
      <c r="BC398">
        <v>6.7096698289402457E-2</v>
      </c>
      <c r="BE398">
        <v>36259.287714585633</v>
      </c>
      <c r="BF398">
        <v>21.68607135419834</v>
      </c>
      <c r="BG398">
        <v>38762.341062838939</v>
      </c>
      <c r="BH398">
        <v>21.734661685936128</v>
      </c>
    </row>
    <row r="399" spans="3:60" x14ac:dyDescent="0.2">
      <c r="C399" s="138">
        <v>30431.817986063048</v>
      </c>
      <c r="D399" s="138">
        <v>21.16633710336146</v>
      </c>
      <c r="E399" s="138">
        <v>32593.306241466886</v>
      </c>
      <c r="F399" s="138">
        <v>21.155534371926095</v>
      </c>
      <c r="G399" s="138">
        <v>-2161.4882554038377</v>
      </c>
      <c r="H399" s="138">
        <v>1.0802731435365587E-2</v>
      </c>
      <c r="N399" s="138"/>
      <c r="O399" s="138"/>
      <c r="P399" s="138"/>
      <c r="R399">
        <v>160.18326548913529</v>
      </c>
      <c r="S399">
        <v>60.883562885124462</v>
      </c>
      <c r="T399">
        <v>273.52569630570974</v>
      </c>
      <c r="U399">
        <v>93.376048322137748</v>
      </c>
      <c r="X399">
        <v>0.64632327721926108</v>
      </c>
      <c r="Y399">
        <v>0.71450132197830185</v>
      </c>
      <c r="Z399">
        <v>0.69386462331000454</v>
      </c>
      <c r="AA399">
        <v>0.78806206803276035</v>
      </c>
      <c r="AB399">
        <v>0.91132654951649461</v>
      </c>
      <c r="AC399">
        <v>0.8356786211055135</v>
      </c>
      <c r="AD399">
        <v>0.74304542009307462</v>
      </c>
      <c r="AE399">
        <v>0.82203995345498437</v>
      </c>
      <c r="AH399">
        <v>7.3267452172262715E-2</v>
      </c>
      <c r="AI399">
        <v>7.1976946047479506E-2</v>
      </c>
      <c r="AJ399">
        <v>9.3238973244455403E-2</v>
      </c>
      <c r="AK399">
        <v>0.11420067202438999</v>
      </c>
      <c r="AL399">
        <v>6.8225973186302191E-2</v>
      </c>
      <c r="AM399">
        <v>6.4376241534017664E-2</v>
      </c>
      <c r="AN399">
        <v>0.31631595123402323</v>
      </c>
      <c r="AO399">
        <v>9.0303036896664857E-2</v>
      </c>
      <c r="AR399">
        <v>7.4886815858442584E-4</v>
      </c>
      <c r="AS399">
        <v>4.3729853110580199E-3</v>
      </c>
      <c r="AT399">
        <v>0.10083085561588923</v>
      </c>
      <c r="AU399">
        <v>2.010133338378739E-3</v>
      </c>
      <c r="AV399">
        <v>2.0906242025706678E-3</v>
      </c>
      <c r="AW399">
        <v>3.3320950972086857E-3</v>
      </c>
      <c r="AX399">
        <v>4.5978057028328578E-4</v>
      </c>
      <c r="AY399">
        <v>4.6208415950432791E-4</v>
      </c>
      <c r="BB399">
        <v>5.1117104608590536E-2</v>
      </c>
      <c r="BC399">
        <v>1.1731522334891737E-2</v>
      </c>
      <c r="BE399">
        <v>30431.817986063048</v>
      </c>
      <c r="BF399">
        <v>21.16633710336146</v>
      </c>
      <c r="BG399">
        <v>32593.306241466886</v>
      </c>
      <c r="BH399">
        <v>21.155534371926095</v>
      </c>
    </row>
    <row r="400" spans="3:60" x14ac:dyDescent="0.2">
      <c r="C400" s="138">
        <v>29017.182870879908</v>
      </c>
      <c r="D400" s="138">
        <v>20.102454206583165</v>
      </c>
      <c r="E400" s="138">
        <v>30635.191256709521</v>
      </c>
      <c r="F400" s="138">
        <v>20.03483993665748</v>
      </c>
      <c r="G400" s="138">
        <v>-1618.008385829613</v>
      </c>
      <c r="H400" s="138">
        <v>6.7614269925684312E-2</v>
      </c>
      <c r="N400" s="138"/>
      <c r="O400" s="138"/>
      <c r="P400" s="138"/>
      <c r="R400">
        <v>422.42556963172478</v>
      </c>
      <c r="S400">
        <v>64.951323421087537</v>
      </c>
      <c r="T400">
        <v>259.70635659196648</v>
      </c>
      <c r="U400">
        <v>105.30725173513724</v>
      </c>
      <c r="X400">
        <v>0.86695848459250358</v>
      </c>
      <c r="Y400">
        <v>0.58433300089445328</v>
      </c>
      <c r="Z400">
        <v>0.90402616767610566</v>
      </c>
      <c r="AA400">
        <v>0.79503199612341369</v>
      </c>
      <c r="AB400">
        <v>0.59916523561621682</v>
      </c>
      <c r="AC400">
        <v>0.81116834774338786</v>
      </c>
      <c r="AD400">
        <v>0.95629369251857965</v>
      </c>
      <c r="AE400">
        <v>0.58694640765130546</v>
      </c>
      <c r="AH400">
        <v>3.5143690446578502E-2</v>
      </c>
      <c r="AI400">
        <v>0.12319622948957465</v>
      </c>
      <c r="AJ400">
        <v>7.8847881306667977E-2</v>
      </c>
      <c r="AK400">
        <v>0.10919556704249223</v>
      </c>
      <c r="AL400">
        <v>7.8245138832550909E-2</v>
      </c>
      <c r="AM400">
        <v>4.6843680045178582E-2</v>
      </c>
      <c r="AN400">
        <v>0.18453087544244384</v>
      </c>
      <c r="AO400">
        <v>0.35536182009185313</v>
      </c>
      <c r="AR400">
        <v>8.8017793598626245E-4</v>
      </c>
      <c r="AS400">
        <v>4.2442906326464417E-3</v>
      </c>
      <c r="AT400">
        <v>9.9014705767559719E-2</v>
      </c>
      <c r="AU400">
        <v>1.8145452431052843E-3</v>
      </c>
      <c r="AV400">
        <v>2.0840205932536326E-3</v>
      </c>
      <c r="AW400">
        <v>3.5370502791907121E-3</v>
      </c>
      <c r="AX400">
        <v>3.676296415690047E-4</v>
      </c>
      <c r="AY400">
        <v>3.7929734376157721E-4</v>
      </c>
      <c r="BB400">
        <v>4.8219829226360839E-2</v>
      </c>
      <c r="BC400">
        <v>5.4822724374883003E-2</v>
      </c>
      <c r="BE400">
        <v>29017.182870879908</v>
      </c>
      <c r="BF400">
        <v>20.102454206583165</v>
      </c>
      <c r="BG400">
        <v>30635.191256709521</v>
      </c>
      <c r="BH400">
        <v>20.03483993665748</v>
      </c>
    </row>
    <row r="401" spans="3:60" x14ac:dyDescent="0.2">
      <c r="C401" s="138">
        <v>31031.130037024515</v>
      </c>
      <c r="D401" s="138">
        <v>21.334915040273938</v>
      </c>
      <c r="E401" s="138">
        <v>33104.789703346549</v>
      </c>
      <c r="F401" s="138">
        <v>21.315266131976525</v>
      </c>
      <c r="G401" s="138">
        <v>-2073.6596663220334</v>
      </c>
      <c r="H401" s="138">
        <v>1.9648908297412504E-2</v>
      </c>
      <c r="N401" s="138"/>
      <c r="O401" s="138"/>
      <c r="P401" s="138"/>
      <c r="R401">
        <v>314.11641277091644</v>
      </c>
      <c r="S401">
        <v>73.022459583348521</v>
      </c>
      <c r="T401">
        <v>289.18335872476456</v>
      </c>
      <c r="U401">
        <v>102.28519601981468</v>
      </c>
      <c r="X401">
        <v>0.81729513862103087</v>
      </c>
      <c r="Y401">
        <v>0.91853211596619144</v>
      </c>
      <c r="Z401">
        <v>0.76284643413953335</v>
      </c>
      <c r="AA401">
        <v>0.91862465482990174</v>
      </c>
      <c r="AB401">
        <v>0.66969919250880816</v>
      </c>
      <c r="AC401">
        <v>0.8677704271584511</v>
      </c>
      <c r="AD401">
        <v>0.90192420376522575</v>
      </c>
      <c r="AE401">
        <v>0.61666700721856671</v>
      </c>
      <c r="AH401">
        <v>4.305033257335833E-2</v>
      </c>
      <c r="AI401">
        <v>0.13944112910682283</v>
      </c>
      <c r="AJ401">
        <v>3.7604333060271555E-2</v>
      </c>
      <c r="AK401">
        <v>0.28573039555686675</v>
      </c>
      <c r="AL401">
        <v>0.46001926046576935</v>
      </c>
      <c r="AM401">
        <v>8.3721841911843731E-2</v>
      </c>
      <c r="AN401">
        <v>4.8382298553664826E-2</v>
      </c>
      <c r="AO401">
        <v>6.7133979608886785E-2</v>
      </c>
      <c r="AR401">
        <v>8.9352713547952156E-4</v>
      </c>
      <c r="AS401">
        <v>4.6191797388197564E-3</v>
      </c>
      <c r="AT401">
        <v>0.10069398767207727</v>
      </c>
      <c r="AU401">
        <v>1.868213276382432E-3</v>
      </c>
      <c r="AV401">
        <v>2.0548868569627565E-3</v>
      </c>
      <c r="AW401">
        <v>3.7692760850879248E-3</v>
      </c>
      <c r="AX401">
        <v>2.9695575381301218E-4</v>
      </c>
      <c r="AY401">
        <v>3.8334815527066166E-4</v>
      </c>
      <c r="BB401">
        <v>4.4849052956119309E-2</v>
      </c>
      <c r="BC401">
        <v>7.4371549881878884E-2</v>
      </c>
      <c r="BE401">
        <v>31031.130037024515</v>
      </c>
      <c r="BF401">
        <v>21.334915040273938</v>
      </c>
      <c r="BG401">
        <v>33104.789703346549</v>
      </c>
      <c r="BH401">
        <v>21.315266131976525</v>
      </c>
    </row>
    <row r="402" spans="3:60" x14ac:dyDescent="0.2">
      <c r="C402" s="138">
        <v>29991.060891849946</v>
      </c>
      <c r="D402" s="138">
        <v>20.987614218236651</v>
      </c>
      <c r="E402" s="138">
        <v>32044.162365984852</v>
      </c>
      <c r="F402" s="138">
        <v>20.967590010488575</v>
      </c>
      <c r="G402" s="138">
        <v>-2053.1014741349063</v>
      </c>
      <c r="H402" s="138">
        <v>2.0024207748075895E-2</v>
      </c>
      <c r="N402" s="138"/>
      <c r="O402" s="138"/>
      <c r="P402" s="138"/>
      <c r="R402">
        <v>215.07055579911327</v>
      </c>
      <c r="S402">
        <v>64.316871508573257</v>
      </c>
      <c r="T402">
        <v>250.69385179131535</v>
      </c>
      <c r="U402">
        <v>100.58923057689086</v>
      </c>
      <c r="X402">
        <v>0.61796081991196816</v>
      </c>
      <c r="Y402">
        <v>0.77018640245986458</v>
      </c>
      <c r="Z402">
        <v>0.76232268577336892</v>
      </c>
      <c r="AA402">
        <v>0.69091012084720382</v>
      </c>
      <c r="AB402">
        <v>0.79920124904317991</v>
      </c>
      <c r="AC402">
        <v>0.88415295511160108</v>
      </c>
      <c r="AD402">
        <v>0.68040204371286805</v>
      </c>
      <c r="AE402">
        <v>0.36576868004909369</v>
      </c>
      <c r="AH402">
        <v>0.10453259567241391</v>
      </c>
      <c r="AI402">
        <v>4.1673206535863261E-2</v>
      </c>
      <c r="AJ402">
        <v>0.17228735147306384</v>
      </c>
      <c r="AK402">
        <v>0.15765692537829701</v>
      </c>
      <c r="AL402">
        <v>0.12493686072405463</v>
      </c>
      <c r="AM402">
        <v>4.5932849972775802E-2</v>
      </c>
      <c r="AN402">
        <v>7.9510882186577092E-2</v>
      </c>
      <c r="AO402">
        <v>7.9871036223713832E-2</v>
      </c>
      <c r="AR402">
        <v>9.0239401200431502E-4</v>
      </c>
      <c r="AS402">
        <v>4.5382892427507926E-3</v>
      </c>
      <c r="AT402">
        <v>9.9259786765868399E-2</v>
      </c>
      <c r="AU402">
        <v>1.9480598446431035E-3</v>
      </c>
      <c r="AV402">
        <v>1.9868789951645906E-3</v>
      </c>
      <c r="AW402">
        <v>3.7004934852582494E-3</v>
      </c>
      <c r="AX402">
        <v>3.4794720041553923E-4</v>
      </c>
      <c r="AY402">
        <v>5.4368863764342468E-4</v>
      </c>
      <c r="BB402">
        <v>4.5698331941118178E-2</v>
      </c>
      <c r="BC402">
        <v>4.6870427049194197E-2</v>
      </c>
      <c r="BE402">
        <v>29991.060891849946</v>
      </c>
      <c r="BF402">
        <v>20.987614218236651</v>
      </c>
      <c r="BG402">
        <v>32044.162365984852</v>
      </c>
      <c r="BH402">
        <v>20.967590010488575</v>
      </c>
    </row>
    <row r="403" spans="3:60" x14ac:dyDescent="0.2">
      <c r="C403" s="138">
        <v>30942.473606813186</v>
      </c>
      <c r="D403" s="138">
        <v>20.274397353416585</v>
      </c>
      <c r="E403" s="138">
        <v>33044.482941690731</v>
      </c>
      <c r="F403" s="138">
        <v>20.230409669374932</v>
      </c>
      <c r="G403" s="138">
        <v>-2102.0093348775445</v>
      </c>
      <c r="H403" s="138">
        <v>4.3987684041653097E-2</v>
      </c>
      <c r="N403" s="138"/>
      <c r="O403" s="138"/>
      <c r="P403" s="138"/>
      <c r="R403">
        <v>139.62268632052564</v>
      </c>
      <c r="S403">
        <v>69.426795005647975</v>
      </c>
      <c r="T403">
        <v>239.08398987257314</v>
      </c>
      <c r="U403">
        <v>118.35929774217473</v>
      </c>
      <c r="X403">
        <v>0.50178175412914461</v>
      </c>
      <c r="Y403">
        <v>0.9441007536038617</v>
      </c>
      <c r="Z403">
        <v>0.83984787404739214</v>
      </c>
      <c r="AA403">
        <v>0.78101730487192567</v>
      </c>
      <c r="AB403">
        <v>0.76476412960623585</v>
      </c>
      <c r="AC403">
        <v>0.64867289276648932</v>
      </c>
      <c r="AD403">
        <v>0.87969918540661163</v>
      </c>
      <c r="AE403">
        <v>0.5257041243881706</v>
      </c>
      <c r="AH403">
        <v>5.0187546501059277E-2</v>
      </c>
      <c r="AI403">
        <v>0.21890564460426587</v>
      </c>
      <c r="AJ403">
        <v>0.12970626754028947</v>
      </c>
      <c r="AK403">
        <v>0.11321047124828743</v>
      </c>
      <c r="AL403">
        <v>0.17706755034578803</v>
      </c>
      <c r="AM403">
        <v>8.3621369966255799E-2</v>
      </c>
      <c r="AN403">
        <v>0.2324884419978942</v>
      </c>
      <c r="AO403">
        <v>0.13774613895658394</v>
      </c>
      <c r="AR403">
        <v>8.3555818171707663E-4</v>
      </c>
      <c r="AS403">
        <v>4.3652752708207478E-3</v>
      </c>
      <c r="AT403">
        <v>9.8720818508094485E-2</v>
      </c>
      <c r="AU403">
        <v>1.95049090366202E-3</v>
      </c>
      <c r="AV403">
        <v>2.0345508428205594E-3</v>
      </c>
      <c r="AW403">
        <v>3.5822370455864672E-3</v>
      </c>
      <c r="AX403">
        <v>5.1633498105996267E-4</v>
      </c>
      <c r="AY403">
        <v>4.7226726394444807E-4</v>
      </c>
      <c r="BB403">
        <v>5.0867740418537033E-2</v>
      </c>
      <c r="BC403">
        <v>8.2245118392581307E-2</v>
      </c>
      <c r="BE403">
        <v>30942.473606813186</v>
      </c>
      <c r="BF403">
        <v>20.274397353416585</v>
      </c>
      <c r="BG403">
        <v>33044.482941690731</v>
      </c>
      <c r="BH403">
        <v>20.230409669374932</v>
      </c>
    </row>
    <row r="404" spans="3:60" x14ac:dyDescent="0.2">
      <c r="C404" s="138">
        <v>31739.317581501975</v>
      </c>
      <c r="D404" s="138">
        <v>20.174546328288351</v>
      </c>
      <c r="E404" s="138">
        <v>33952.375064144209</v>
      </c>
      <c r="F404" s="138">
        <v>20.102460180439518</v>
      </c>
      <c r="G404" s="138">
        <v>-2213.0574826422344</v>
      </c>
      <c r="H404" s="138">
        <v>7.2086147848832383E-2</v>
      </c>
      <c r="N404" s="138"/>
      <c r="O404" s="138"/>
      <c r="P404" s="138"/>
      <c r="R404">
        <v>251.27685713813398</v>
      </c>
      <c r="S404">
        <v>61.700802934328962</v>
      </c>
      <c r="T404">
        <v>268.98157943367028</v>
      </c>
      <c r="U404">
        <v>103.69125839851647</v>
      </c>
      <c r="X404">
        <v>0.5606990467867764</v>
      </c>
      <c r="Y404">
        <v>0.77443758033112498</v>
      </c>
      <c r="Z404">
        <v>0.74238528975798812</v>
      </c>
      <c r="AA404">
        <v>0.38141436601695</v>
      </c>
      <c r="AB404">
        <v>0.71982307379150601</v>
      </c>
      <c r="AC404">
        <v>0.91795802225580958</v>
      </c>
      <c r="AD404">
        <v>0.67349822874491672</v>
      </c>
      <c r="AE404">
        <v>0.74072217704857812</v>
      </c>
      <c r="AH404">
        <v>0.1159802314634335</v>
      </c>
      <c r="AI404">
        <v>2.8965217441154545E-2</v>
      </c>
      <c r="AJ404">
        <v>5.8858274470943828E-2</v>
      </c>
      <c r="AK404">
        <v>0.18333083899167957</v>
      </c>
      <c r="AL404">
        <v>0.10478652669989641</v>
      </c>
      <c r="AM404">
        <v>4.1955011366774708E-2</v>
      </c>
      <c r="AN404">
        <v>1.2276211179204743E-2</v>
      </c>
      <c r="AO404">
        <v>4.6755545894334283E-2</v>
      </c>
      <c r="AR404">
        <v>8.066975425888522E-4</v>
      </c>
      <c r="AS404">
        <v>4.6648644339908341E-3</v>
      </c>
      <c r="AT404">
        <v>9.9716380095474011E-2</v>
      </c>
      <c r="AU404">
        <v>1.9534182424938676E-3</v>
      </c>
      <c r="AV404">
        <v>1.9870155794051965E-3</v>
      </c>
      <c r="AW404">
        <v>3.5696562594120795E-3</v>
      </c>
      <c r="AX404">
        <v>3.6636327748466554E-4</v>
      </c>
      <c r="AY404">
        <v>5.0324820656555413E-4</v>
      </c>
      <c r="BB404">
        <v>4.7685427041767037E-2</v>
      </c>
      <c r="BC404">
        <v>9.1647453453892913E-2</v>
      </c>
      <c r="BE404">
        <v>31739.317581501975</v>
      </c>
      <c r="BF404">
        <v>20.174546328288351</v>
      </c>
      <c r="BG404">
        <v>33952.375064144209</v>
      </c>
      <c r="BH404">
        <v>20.102460180439518</v>
      </c>
    </row>
    <row r="405" spans="3:60" x14ac:dyDescent="0.2">
      <c r="C405" s="138">
        <v>30839.404571884716</v>
      </c>
      <c r="D405" s="138">
        <v>21.498289655744077</v>
      </c>
      <c r="E405" s="138">
        <v>32388.768102735747</v>
      </c>
      <c r="F405" s="138">
        <v>21.483717508585855</v>
      </c>
      <c r="G405" s="138">
        <v>-1549.3635308510311</v>
      </c>
      <c r="H405" s="138">
        <v>1.4572147158222748E-2</v>
      </c>
      <c r="N405" s="138"/>
      <c r="O405" s="138"/>
      <c r="P405" s="138"/>
      <c r="R405">
        <v>312.09579289387676</v>
      </c>
      <c r="S405">
        <v>52.109806473293006</v>
      </c>
      <c r="T405">
        <v>248.46724220168298</v>
      </c>
      <c r="U405">
        <v>98.522512335594868</v>
      </c>
      <c r="X405">
        <v>0.5153621624896686</v>
      </c>
      <c r="Y405">
        <v>0.69586320171426963</v>
      </c>
      <c r="Z405">
        <v>0.73332900966560366</v>
      </c>
      <c r="AA405">
        <v>0.63201693600772701</v>
      </c>
      <c r="AB405">
        <v>0.88473432654569084</v>
      </c>
      <c r="AC405">
        <v>0.54704443518836499</v>
      </c>
      <c r="AD405">
        <v>0.83838598856728419</v>
      </c>
      <c r="AE405">
        <v>0.56794898207421241</v>
      </c>
      <c r="AH405">
        <v>6.0213331908372636E-2</v>
      </c>
      <c r="AI405">
        <v>0.13021103639466092</v>
      </c>
      <c r="AJ405">
        <v>2.9041478282609834E-2</v>
      </c>
      <c r="AK405">
        <v>0.17236466789942662</v>
      </c>
      <c r="AL405">
        <v>0.19942936392674682</v>
      </c>
      <c r="AM405">
        <v>8.3220410677636414E-2</v>
      </c>
      <c r="AN405">
        <v>4.713034200912225E-2</v>
      </c>
      <c r="AO405">
        <v>4.1269422070384754E-2</v>
      </c>
      <c r="AR405">
        <v>1.0496254162601915E-3</v>
      </c>
      <c r="AS405">
        <v>4.7129512446041355E-3</v>
      </c>
      <c r="AT405">
        <v>0.10286000367390791</v>
      </c>
      <c r="AU405">
        <v>2.1442499097381607E-3</v>
      </c>
      <c r="AV405">
        <v>2.282585504753798E-3</v>
      </c>
      <c r="AW405">
        <v>3.327882958389706E-3</v>
      </c>
      <c r="AX405">
        <v>3.1998187248816179E-4</v>
      </c>
      <c r="AY405">
        <v>6.1194435655953505E-4</v>
      </c>
      <c r="BB405">
        <v>5.555587003827489E-2</v>
      </c>
      <c r="BC405">
        <v>3.9614091562677589E-2</v>
      </c>
      <c r="BE405">
        <v>30839.404571884716</v>
      </c>
      <c r="BF405">
        <v>21.498289655744077</v>
      </c>
      <c r="BG405">
        <v>32388.768102735747</v>
      </c>
      <c r="BH405">
        <v>21.483717508585855</v>
      </c>
    </row>
    <row r="406" spans="3:60" x14ac:dyDescent="0.2">
      <c r="C406" s="138">
        <v>34890.977562721855</v>
      </c>
      <c r="D406" s="138">
        <v>21.306253384033312</v>
      </c>
      <c r="E406" s="138">
        <v>36993.625171144493</v>
      </c>
      <c r="F406" s="138">
        <v>21.30314039698127</v>
      </c>
      <c r="G406" s="138">
        <v>-2102.6476084226379</v>
      </c>
      <c r="H406" s="138">
        <v>3.1129870520416603E-3</v>
      </c>
      <c r="N406" s="138"/>
      <c r="O406" s="138"/>
      <c r="P406" s="138"/>
      <c r="R406">
        <v>370.73639889843139</v>
      </c>
      <c r="S406">
        <v>54.405078674430669</v>
      </c>
      <c r="T406">
        <v>252.6674357252366</v>
      </c>
      <c r="U406">
        <v>96.818139167973158</v>
      </c>
      <c r="X406">
        <v>0.71228668564578201</v>
      </c>
      <c r="Y406">
        <v>0.77927860648161151</v>
      </c>
      <c r="Z406">
        <v>0.67862214303226132</v>
      </c>
      <c r="AA406">
        <v>0.58415139005058825</v>
      </c>
      <c r="AB406">
        <v>0.8648718726670036</v>
      </c>
      <c r="AC406">
        <v>0.43186027453272957</v>
      </c>
      <c r="AD406">
        <v>0.68679466548647594</v>
      </c>
      <c r="AE406">
        <v>0.81011140500717249</v>
      </c>
      <c r="AH406">
        <v>5.6379721420655837E-2</v>
      </c>
      <c r="AI406">
        <v>3.461361556139797E-2</v>
      </c>
      <c r="AJ406">
        <v>0.10648237886764567</v>
      </c>
      <c r="AK406">
        <v>0.17439267412513559</v>
      </c>
      <c r="AL406">
        <v>4.1481097320017701E-2</v>
      </c>
      <c r="AM406">
        <v>7.6442390781876535E-2</v>
      </c>
      <c r="AN406">
        <v>4.0534995354822856E-2</v>
      </c>
      <c r="AO406">
        <v>0.10641605674949761</v>
      </c>
      <c r="AR406">
        <v>9.0274360026054712E-4</v>
      </c>
      <c r="AS406">
        <v>4.3162368384872408E-3</v>
      </c>
      <c r="AT406">
        <v>0.10101203416580939</v>
      </c>
      <c r="AU406">
        <v>2.0860077652674613E-3</v>
      </c>
      <c r="AV406">
        <v>2.0743500521481772E-3</v>
      </c>
      <c r="AW406">
        <v>3.354456975477948E-3</v>
      </c>
      <c r="AX406">
        <v>3.6449152997448296E-4</v>
      </c>
      <c r="AY406">
        <v>4.7570052340140112E-4</v>
      </c>
      <c r="BB406">
        <v>4.9111673768122949E-2</v>
      </c>
      <c r="BC406">
        <v>2.5801213982224732E-2</v>
      </c>
      <c r="BE406">
        <v>34890.977562721855</v>
      </c>
      <c r="BF406">
        <v>21.306253384033312</v>
      </c>
      <c r="BG406">
        <v>36993.625171144493</v>
      </c>
      <c r="BH406">
        <v>21.30314039698127</v>
      </c>
    </row>
    <row r="407" spans="3:60" x14ac:dyDescent="0.2">
      <c r="C407" s="138">
        <v>33256.85544504608</v>
      </c>
      <c r="D407" s="138">
        <v>20.749206798566167</v>
      </c>
      <c r="E407" s="138">
        <v>35499.385462378385</v>
      </c>
      <c r="F407" s="138">
        <v>20.727187452803786</v>
      </c>
      <c r="G407" s="138">
        <v>-2242.5300173323049</v>
      </c>
      <c r="H407" s="138">
        <v>2.2019345762380738E-2</v>
      </c>
      <c r="N407" s="138"/>
      <c r="O407" s="138"/>
      <c r="P407" s="138"/>
      <c r="R407">
        <v>317.52711326231582</v>
      </c>
      <c r="S407">
        <v>68.592916372569348</v>
      </c>
      <c r="T407">
        <v>288.14753007184828</v>
      </c>
      <c r="U407">
        <v>88.359602978680485</v>
      </c>
      <c r="X407">
        <v>0.72529210541601441</v>
      </c>
      <c r="Y407">
        <v>0.508882714573756</v>
      </c>
      <c r="Z407">
        <v>0.57677803601248179</v>
      </c>
      <c r="AA407">
        <v>0.50523643130650875</v>
      </c>
      <c r="AB407">
        <v>0.74232519858114376</v>
      </c>
      <c r="AC407">
        <v>0.92958557105131256</v>
      </c>
      <c r="AD407">
        <v>0.71085054705670581</v>
      </c>
      <c r="AE407">
        <v>0.75117001795777849</v>
      </c>
      <c r="AH407">
        <v>2.4235597535233744E-2</v>
      </c>
      <c r="AI407">
        <v>0.1106117925674146</v>
      </c>
      <c r="AJ407">
        <v>2.6586638611795999E-2</v>
      </c>
      <c r="AK407">
        <v>8.1183150996440911E-2</v>
      </c>
      <c r="AL407">
        <v>0.18390657891779216</v>
      </c>
      <c r="AM407">
        <v>0.1330929224510905</v>
      </c>
      <c r="AN407">
        <v>0.1915336942871676</v>
      </c>
      <c r="AO407">
        <v>0.14372957589947377</v>
      </c>
      <c r="AR407">
        <v>8.2585183669646868E-4</v>
      </c>
      <c r="AS407">
        <v>4.2299458165755118E-3</v>
      </c>
      <c r="AT407">
        <v>0.10031476254316152</v>
      </c>
      <c r="AU407">
        <v>2.2396420251113991E-3</v>
      </c>
      <c r="AV407">
        <v>2.178697937633256E-3</v>
      </c>
      <c r="AW407">
        <v>3.5267725767956781E-3</v>
      </c>
      <c r="AX407">
        <v>4.1473539483793953E-4</v>
      </c>
      <c r="AY407">
        <v>5.2358481526060263E-4</v>
      </c>
      <c r="BB407">
        <v>5.1610334968853699E-2</v>
      </c>
      <c r="BC407">
        <v>8.6300606832254378E-2</v>
      </c>
      <c r="BE407">
        <v>33256.85544504608</v>
      </c>
      <c r="BF407">
        <v>20.749206798566167</v>
      </c>
      <c r="BG407">
        <v>35499.385462378385</v>
      </c>
      <c r="BH407">
        <v>20.727187452803786</v>
      </c>
    </row>
    <row r="408" spans="3:60" x14ac:dyDescent="0.2">
      <c r="C408" s="138">
        <v>33190.573749420932</v>
      </c>
      <c r="D408" s="138">
        <v>20.597198999380009</v>
      </c>
      <c r="E408" s="138">
        <v>34596.057162130623</v>
      </c>
      <c r="F408" s="138">
        <v>20.5535802605268</v>
      </c>
      <c r="G408" s="138">
        <v>-1405.483412709691</v>
      </c>
      <c r="H408" s="138">
        <v>4.3618738853208328E-2</v>
      </c>
      <c r="N408" s="138"/>
      <c r="O408" s="138"/>
      <c r="P408" s="138"/>
      <c r="R408">
        <v>368.77299807126656</v>
      </c>
      <c r="S408">
        <v>66.477251516144719</v>
      </c>
      <c r="T408">
        <v>280.98862299423058</v>
      </c>
      <c r="U408">
        <v>116.33107342797523</v>
      </c>
      <c r="X408">
        <v>0.83091317773765927</v>
      </c>
      <c r="Y408">
        <v>0.73538370552300558</v>
      </c>
      <c r="Z408">
        <v>0.82381287789946178</v>
      </c>
      <c r="AA408">
        <v>0.85284160911759477</v>
      </c>
      <c r="AB408">
        <v>0.55846839415388128</v>
      </c>
      <c r="AC408">
        <v>0.85687083005169939</v>
      </c>
      <c r="AD408">
        <v>0.82339199128840024</v>
      </c>
      <c r="AE408">
        <v>0.79578724691044223</v>
      </c>
      <c r="AH408">
        <v>0.13954970412874523</v>
      </c>
      <c r="AI408">
        <v>0.14179406381422788</v>
      </c>
      <c r="AJ408">
        <v>7.6967359681297642E-2</v>
      </c>
      <c r="AK408">
        <v>8.4893050659597735E-2</v>
      </c>
      <c r="AL408">
        <v>7.5503443562290773E-2</v>
      </c>
      <c r="AM408">
        <v>0.17549219945542072</v>
      </c>
      <c r="AN408">
        <v>0.10082554125100884</v>
      </c>
      <c r="AO408">
        <v>9.4030541751279562E-2</v>
      </c>
      <c r="AR408">
        <v>7.4851236929490076E-4</v>
      </c>
      <c r="AS408">
        <v>4.6027182738790362E-3</v>
      </c>
      <c r="AT408">
        <v>0.10124042340742823</v>
      </c>
      <c r="AU408">
        <v>1.913279905442449E-3</v>
      </c>
      <c r="AV408">
        <v>1.8665283553709515E-3</v>
      </c>
      <c r="AW408">
        <v>3.3944819026217009E-3</v>
      </c>
      <c r="AX408">
        <v>3.4670928206461044E-4</v>
      </c>
      <c r="AY408">
        <v>3.9140540450547512E-4</v>
      </c>
      <c r="BB408">
        <v>4.6825553825833859E-2</v>
      </c>
      <c r="BC408">
        <v>6.6040967021043673E-2</v>
      </c>
      <c r="BE408">
        <v>33190.573749420932</v>
      </c>
      <c r="BF408">
        <v>20.597198999380009</v>
      </c>
      <c r="BG408">
        <v>34596.057162130623</v>
      </c>
      <c r="BH408">
        <v>20.5535802605268</v>
      </c>
    </row>
    <row r="409" spans="3:60" x14ac:dyDescent="0.2">
      <c r="C409" s="138">
        <v>27057.860526905439</v>
      </c>
      <c r="D409" s="138">
        <v>20.387177723688939</v>
      </c>
      <c r="E409" s="138">
        <v>28451.339099569082</v>
      </c>
      <c r="F409" s="138">
        <v>20.327220077903949</v>
      </c>
      <c r="G409" s="138">
        <v>-1393.4785726636437</v>
      </c>
      <c r="H409" s="138">
        <v>5.9957645784990632E-2</v>
      </c>
      <c r="N409" s="138"/>
      <c r="O409" s="138"/>
      <c r="P409" s="138"/>
      <c r="R409">
        <v>392.45698359004996</v>
      </c>
      <c r="S409">
        <v>61.323095536683972</v>
      </c>
      <c r="T409">
        <v>276.48758312155013</v>
      </c>
      <c r="U409">
        <v>103.95939548588385</v>
      </c>
      <c r="X409">
        <v>0.93267164768945099</v>
      </c>
      <c r="Y409">
        <v>0.67486944833230234</v>
      </c>
      <c r="Z409">
        <v>0.71537381729152172</v>
      </c>
      <c r="AA409">
        <v>0.65270779689642822</v>
      </c>
      <c r="AB409">
        <v>0.61932903519609195</v>
      </c>
      <c r="AC409">
        <v>0.72772713421368707</v>
      </c>
      <c r="AD409">
        <v>0.89637574956026655</v>
      </c>
      <c r="AE409">
        <v>0.69847273072193616</v>
      </c>
      <c r="AH409">
        <v>3.5999012015565657E-2</v>
      </c>
      <c r="AI409">
        <v>0.19372078150580929</v>
      </c>
      <c r="AJ409">
        <v>0.16819789165450716</v>
      </c>
      <c r="AK409">
        <v>0.15596749714270597</v>
      </c>
      <c r="AL409">
        <v>7.5402698026883708E-2</v>
      </c>
      <c r="AM409">
        <v>1.1182363743746038E-2</v>
      </c>
      <c r="AN409">
        <v>8.6139144087816755E-2</v>
      </c>
      <c r="AO409">
        <v>8.6296283405369101E-2</v>
      </c>
      <c r="AR409">
        <v>7.6620854194167328E-4</v>
      </c>
      <c r="AS409">
        <v>4.3356468772247081E-3</v>
      </c>
      <c r="AT409">
        <v>0.10045641022719187</v>
      </c>
      <c r="AU409">
        <v>2.05774165800654E-3</v>
      </c>
      <c r="AV409">
        <v>2.1421206600757969E-3</v>
      </c>
      <c r="AW409">
        <v>3.5979665631492574E-3</v>
      </c>
      <c r="AX409">
        <v>4.0218183852624989E-4</v>
      </c>
      <c r="AY409">
        <v>5.0049472271129769E-4</v>
      </c>
      <c r="BB409">
        <v>4.8217592782849962E-2</v>
      </c>
      <c r="BC409">
        <v>7.5640469141830202E-2</v>
      </c>
      <c r="BE409">
        <v>27057.860526905439</v>
      </c>
      <c r="BF409">
        <v>20.387177723688939</v>
      </c>
      <c r="BG409">
        <v>28451.339099569082</v>
      </c>
      <c r="BH409">
        <v>20.327220077903949</v>
      </c>
    </row>
    <row r="410" spans="3:60" x14ac:dyDescent="0.2">
      <c r="C410" s="138">
        <v>26737.292648571256</v>
      </c>
      <c r="D410" s="138">
        <v>20.982530028153949</v>
      </c>
      <c r="E410" s="138">
        <v>28762.833731741932</v>
      </c>
      <c r="F410" s="138">
        <v>20.940311602660014</v>
      </c>
      <c r="G410" s="138">
        <v>-2025.5410831706758</v>
      </c>
      <c r="H410" s="138">
        <v>4.2218425493935285E-2</v>
      </c>
      <c r="N410" s="138"/>
      <c r="O410" s="138"/>
      <c r="P410" s="138"/>
      <c r="R410">
        <v>294.25090700383242</v>
      </c>
      <c r="S410">
        <v>64.522195022652355</v>
      </c>
      <c r="T410">
        <v>267.64117487083018</v>
      </c>
      <c r="U410">
        <v>93.338040989096243</v>
      </c>
      <c r="X410">
        <v>0.82390791106415651</v>
      </c>
      <c r="Y410">
        <v>0.79483872977301595</v>
      </c>
      <c r="Z410">
        <v>0.9688131316888402</v>
      </c>
      <c r="AA410">
        <v>0.77852341525732416</v>
      </c>
      <c r="AB410">
        <v>0.88666744687271781</v>
      </c>
      <c r="AC410">
        <v>0.81967136118960893</v>
      </c>
      <c r="AD410">
        <v>0.73289775870809215</v>
      </c>
      <c r="AE410">
        <v>0.57151931374124521</v>
      </c>
      <c r="AH410">
        <v>4.4962838982464781E-2</v>
      </c>
      <c r="AI410">
        <v>9.145119601098739E-2</v>
      </c>
      <c r="AJ410">
        <v>2.8315239433050365E-2</v>
      </c>
      <c r="AK410">
        <v>0.31188719810261289</v>
      </c>
      <c r="AL410">
        <v>7.2952822370480508E-2</v>
      </c>
      <c r="AM410">
        <v>0.19875027235064235</v>
      </c>
      <c r="AN410">
        <v>0.21646661776685727</v>
      </c>
      <c r="AO410">
        <v>7.8813071200003804E-2</v>
      </c>
      <c r="AR410">
        <v>8.2527268734176905E-4</v>
      </c>
      <c r="AS410">
        <v>4.6366702393997317E-3</v>
      </c>
      <c r="AT410">
        <v>0.10108652484744041</v>
      </c>
      <c r="AU410">
        <v>1.9092064840026434E-3</v>
      </c>
      <c r="AV410">
        <v>1.9099807298194678E-3</v>
      </c>
      <c r="AW410">
        <v>3.311575208638597E-3</v>
      </c>
      <c r="AX410">
        <v>4.1584774876268771E-4</v>
      </c>
      <c r="AY410">
        <v>5.2903561128470056E-4</v>
      </c>
      <c r="BB410">
        <v>4.7412850732898797E-2</v>
      </c>
      <c r="BC410">
        <v>5.8033997690580152E-2</v>
      </c>
      <c r="BE410">
        <v>26737.292648571256</v>
      </c>
      <c r="BF410">
        <v>20.982530028153949</v>
      </c>
      <c r="BG410">
        <v>28762.833731741932</v>
      </c>
      <c r="BH410">
        <v>20.940311602660014</v>
      </c>
    </row>
    <row r="411" spans="3:60" x14ac:dyDescent="0.2">
      <c r="C411" s="138">
        <v>26823.783671639863</v>
      </c>
      <c r="D411" s="138">
        <v>20.917416624749968</v>
      </c>
      <c r="E411" s="138">
        <v>29131.516886027202</v>
      </c>
      <c r="F411" s="138">
        <v>20.902051857766111</v>
      </c>
      <c r="G411" s="138">
        <v>-2307.7332143873391</v>
      </c>
      <c r="H411" s="138">
        <v>1.5364766983857692E-2</v>
      </c>
      <c r="N411" s="138"/>
      <c r="O411" s="138"/>
      <c r="P411" s="138"/>
      <c r="R411">
        <v>106.55113668747356</v>
      </c>
      <c r="S411">
        <v>68.464986743441656</v>
      </c>
      <c r="T411">
        <v>245.22075755775683</v>
      </c>
      <c r="U411">
        <v>102.82181471324081</v>
      </c>
      <c r="X411">
        <v>0.92639588544770102</v>
      </c>
      <c r="Y411">
        <v>0.73658548763895804</v>
      </c>
      <c r="Z411">
        <v>0.82264240596587102</v>
      </c>
      <c r="AA411">
        <v>0.94459993400343067</v>
      </c>
      <c r="AB411">
        <v>0.82751121124898819</v>
      </c>
      <c r="AC411">
        <v>0.5703809163748812</v>
      </c>
      <c r="AD411">
        <v>0.93567236277672095</v>
      </c>
      <c r="AE411">
        <v>0.57728401028630161</v>
      </c>
      <c r="AH411">
        <v>0.14376197446473071</v>
      </c>
      <c r="AI411">
        <v>6.4286158307252705E-2</v>
      </c>
      <c r="AJ411">
        <v>6.7903176103540908E-3</v>
      </c>
      <c r="AK411">
        <v>9.822236004178142E-2</v>
      </c>
      <c r="AL411">
        <v>0.23371035154543862</v>
      </c>
      <c r="AM411">
        <v>0.17000138716406121</v>
      </c>
      <c r="AN411">
        <v>7.8574189189570376E-2</v>
      </c>
      <c r="AO411">
        <v>8.2853792073630528E-2</v>
      </c>
      <c r="AR411">
        <v>9.4024532216985257E-4</v>
      </c>
      <c r="AS411">
        <v>4.3339794816005467E-3</v>
      </c>
      <c r="AT411">
        <v>9.8431757936506839E-2</v>
      </c>
      <c r="AU411">
        <v>1.9370083989516847E-3</v>
      </c>
      <c r="AV411">
        <v>2.0224505347171684E-3</v>
      </c>
      <c r="AW411">
        <v>3.076437404721907E-3</v>
      </c>
      <c r="AX411">
        <v>3.4712634930515382E-4</v>
      </c>
      <c r="AY411">
        <v>4.1889796247619206E-4</v>
      </c>
      <c r="BB411">
        <v>5.1735091212529394E-2</v>
      </c>
      <c r="BC411">
        <v>1.6756894062831915E-2</v>
      </c>
      <c r="BE411">
        <v>26823.783671639863</v>
      </c>
      <c r="BF411">
        <v>20.917416624749968</v>
      </c>
      <c r="BG411">
        <v>29131.516886027202</v>
      </c>
      <c r="BH411">
        <v>20.902051857766111</v>
      </c>
    </row>
    <row r="412" spans="3:60" x14ac:dyDescent="0.2">
      <c r="C412" s="138">
        <v>37075.25791077684</v>
      </c>
      <c r="D412" s="138">
        <v>20.796673841550302</v>
      </c>
      <c r="E412" s="138">
        <v>39497.814301287937</v>
      </c>
      <c r="F412" s="138">
        <v>20.759192369593894</v>
      </c>
      <c r="G412" s="138">
        <v>-2422.5563905110976</v>
      </c>
      <c r="H412" s="138">
        <v>3.748147195640783E-2</v>
      </c>
      <c r="N412" s="138"/>
      <c r="O412" s="138"/>
      <c r="P412" s="138"/>
      <c r="R412">
        <v>83.219723904201544</v>
      </c>
      <c r="S412">
        <v>62.936104425803357</v>
      </c>
      <c r="T412">
        <v>282.09067374945761</v>
      </c>
      <c r="U412">
        <v>93.829892381290449</v>
      </c>
      <c r="X412">
        <v>0.55771909186639257</v>
      </c>
      <c r="Y412">
        <v>0.69104386167431797</v>
      </c>
      <c r="Z412">
        <v>0.88543945444724115</v>
      </c>
      <c r="AA412">
        <v>0.86133793629786815</v>
      </c>
      <c r="AB412">
        <v>0.86822330686869975</v>
      </c>
      <c r="AC412">
        <v>0.69973917871411384</v>
      </c>
      <c r="AD412">
        <v>0.73912442776024989</v>
      </c>
      <c r="AE412">
        <v>0.60448934921543196</v>
      </c>
      <c r="AH412">
        <v>0.15653189131886935</v>
      </c>
      <c r="AI412">
        <v>8.1928131952304972E-2</v>
      </c>
      <c r="AJ412">
        <v>7.909214155275146E-2</v>
      </c>
      <c r="AK412">
        <v>8.6989359134526101E-2</v>
      </c>
      <c r="AL412">
        <v>0.12027358949975298</v>
      </c>
      <c r="AM412">
        <v>5.7446111049436088E-2</v>
      </c>
      <c r="AN412">
        <v>5.745282523923434E-2</v>
      </c>
      <c r="AO412">
        <v>5.1434274223269405E-2</v>
      </c>
      <c r="AR412">
        <v>8.7904918474147745E-4</v>
      </c>
      <c r="AS412">
        <v>4.4205540902552817E-3</v>
      </c>
      <c r="AT412">
        <v>9.9767721929851325E-2</v>
      </c>
      <c r="AU412">
        <v>2.1363584744810149E-3</v>
      </c>
      <c r="AV412">
        <v>2.0961730264904554E-3</v>
      </c>
      <c r="AW412">
        <v>3.5426119251434907E-3</v>
      </c>
      <c r="AX412">
        <v>3.5169909048839642E-4</v>
      </c>
      <c r="AY412">
        <v>5.2649810681293374E-4</v>
      </c>
      <c r="BB412">
        <v>4.8402930677751303E-2</v>
      </c>
      <c r="BC412">
        <v>4.6391611994457439E-2</v>
      </c>
      <c r="BE412">
        <v>37075.25791077684</v>
      </c>
      <c r="BF412">
        <v>20.796673841550302</v>
      </c>
      <c r="BG412">
        <v>39497.814301287937</v>
      </c>
      <c r="BH412">
        <v>20.759192369593894</v>
      </c>
    </row>
    <row r="413" spans="3:60" x14ac:dyDescent="0.2">
      <c r="C413" s="138">
        <v>30421.109926848188</v>
      </c>
      <c r="D413" s="138">
        <v>21.033769945967205</v>
      </c>
      <c r="E413" s="138">
        <v>32440.058205278619</v>
      </c>
      <c r="F413" s="138">
        <v>21.017949009570483</v>
      </c>
      <c r="G413" s="138">
        <v>-2018.9482784304309</v>
      </c>
      <c r="H413" s="138">
        <v>1.5820936396721663E-2</v>
      </c>
      <c r="N413" s="138"/>
      <c r="O413" s="138"/>
      <c r="P413" s="138"/>
      <c r="R413">
        <v>201.32276773470187</v>
      </c>
      <c r="S413">
        <v>65.288175353049553</v>
      </c>
      <c r="T413">
        <v>275.99475060086013</v>
      </c>
      <c r="U413">
        <v>106.52965224763224</v>
      </c>
      <c r="X413">
        <v>0.66441882001728469</v>
      </c>
      <c r="Y413">
        <v>0.46339662021148958</v>
      </c>
      <c r="Z413">
        <v>0.72149148180416289</v>
      </c>
      <c r="AA413">
        <v>0.68788772333535375</v>
      </c>
      <c r="AB413">
        <v>0.60201460618415081</v>
      </c>
      <c r="AC413">
        <v>0.85513606353638882</v>
      </c>
      <c r="AD413">
        <v>0.90500191820059317</v>
      </c>
      <c r="AE413">
        <v>0.66161018630529989</v>
      </c>
      <c r="AH413">
        <v>0.18257422378262489</v>
      </c>
      <c r="AI413">
        <v>8.6998915791898113E-2</v>
      </c>
      <c r="AJ413">
        <v>0.12306697704845615</v>
      </c>
      <c r="AK413">
        <v>3.1111138524017146E-2</v>
      </c>
      <c r="AL413">
        <v>0.12567404585908948</v>
      </c>
      <c r="AM413">
        <v>5.7676558996380356E-2</v>
      </c>
      <c r="AN413">
        <v>0.26273097420939651</v>
      </c>
      <c r="AO413">
        <v>7.5524837854777926E-2</v>
      </c>
      <c r="AR413">
        <v>1.0063242611202394E-3</v>
      </c>
      <c r="AS413">
        <v>4.9400799693161135E-3</v>
      </c>
      <c r="AT413">
        <v>9.9769662711095747E-2</v>
      </c>
      <c r="AU413">
        <v>2.0135521161004366E-3</v>
      </c>
      <c r="AV413">
        <v>1.9716135183248059E-3</v>
      </c>
      <c r="AW413">
        <v>3.4114613835243279E-3</v>
      </c>
      <c r="AX413">
        <v>3.9387690601360613E-4</v>
      </c>
      <c r="AY413">
        <v>5.1445760525492545E-4</v>
      </c>
      <c r="BB413">
        <v>4.2555371789884125E-2</v>
      </c>
      <c r="BC413">
        <v>7.2148685264726731E-2</v>
      </c>
      <c r="BE413">
        <v>30421.109926848188</v>
      </c>
      <c r="BF413">
        <v>21.033769945967205</v>
      </c>
      <c r="BG413">
        <v>32440.058205278619</v>
      </c>
      <c r="BH413">
        <v>21.017949009570483</v>
      </c>
    </row>
    <row r="414" spans="3:60" x14ac:dyDescent="0.2">
      <c r="C414" s="138">
        <v>29759.304470806979</v>
      </c>
      <c r="D414" s="138">
        <v>21.113154303594751</v>
      </c>
      <c r="E414" s="138">
        <v>31743.24181392054</v>
      </c>
      <c r="F414" s="138">
        <v>21.102567316121828</v>
      </c>
      <c r="G414" s="138">
        <v>-1983.9373431135609</v>
      </c>
      <c r="H414" s="138">
        <v>1.0586987472922971E-2</v>
      </c>
      <c r="N414" s="138"/>
      <c r="O414" s="138"/>
      <c r="P414" s="138"/>
      <c r="R414">
        <v>358.4789989759829</v>
      </c>
      <c r="S414">
        <v>55.82065361412436</v>
      </c>
      <c r="T414">
        <v>223.15890592139058</v>
      </c>
      <c r="U414">
        <v>90.847000927270116</v>
      </c>
      <c r="X414">
        <v>0.87783594633005935</v>
      </c>
      <c r="Y414">
        <v>0.71009521138388954</v>
      </c>
      <c r="Z414">
        <v>0.92585432002373047</v>
      </c>
      <c r="AA414">
        <v>0.75372145388835787</v>
      </c>
      <c r="AB414">
        <v>0.71528728226153238</v>
      </c>
      <c r="AC414">
        <v>0.79461860850665644</v>
      </c>
      <c r="AD414">
        <v>0.83545111877155387</v>
      </c>
      <c r="AE414">
        <v>0.59030164154139697</v>
      </c>
      <c r="AH414">
        <v>9.0211087617404817E-2</v>
      </c>
      <c r="AI414">
        <v>4.8799320677305857E-2</v>
      </c>
      <c r="AJ414">
        <v>2.3890933879045395E-2</v>
      </c>
      <c r="AK414">
        <v>6.339617131745956E-2</v>
      </c>
      <c r="AL414">
        <v>4.901752497086953E-2</v>
      </c>
      <c r="AM414">
        <v>0.1645368095646097</v>
      </c>
      <c r="AN414">
        <v>0.1542791529591323</v>
      </c>
      <c r="AO414">
        <v>0.13546595701917374</v>
      </c>
      <c r="AR414">
        <v>8.7408231066154411E-4</v>
      </c>
      <c r="AS414">
        <v>4.0974513778040634E-3</v>
      </c>
      <c r="AT414">
        <v>9.898385526395391E-2</v>
      </c>
      <c r="AU414">
        <v>1.9341169101762582E-3</v>
      </c>
      <c r="AV414">
        <v>2.0542360345240374E-3</v>
      </c>
      <c r="AW414">
        <v>3.5945175074797442E-3</v>
      </c>
      <c r="AX414">
        <v>4.5551300141044582E-4</v>
      </c>
      <c r="AY414">
        <v>4.7156354454158667E-4</v>
      </c>
      <c r="BB414">
        <v>4.7143814530879541E-2</v>
      </c>
      <c r="BC414">
        <v>4.7824499096304374E-2</v>
      </c>
      <c r="BE414">
        <v>29759.304470806979</v>
      </c>
      <c r="BF414">
        <v>21.113154303594751</v>
      </c>
      <c r="BG414">
        <v>31743.24181392054</v>
      </c>
      <c r="BH414">
        <v>21.102567316121828</v>
      </c>
    </row>
    <row r="415" spans="3:60" x14ac:dyDescent="0.2">
      <c r="C415" s="138">
        <v>36156.706346102568</v>
      </c>
      <c r="D415" s="138">
        <v>21.539686679688145</v>
      </c>
      <c r="E415" s="138">
        <v>38728.781408654359</v>
      </c>
      <c r="F415" s="138">
        <v>21.533444697898251</v>
      </c>
      <c r="G415" s="138">
        <v>-2572.0750625517903</v>
      </c>
      <c r="H415" s="138">
        <v>6.2419817898948793E-3</v>
      </c>
      <c r="N415" s="138"/>
      <c r="O415" s="138"/>
      <c r="P415" s="138"/>
      <c r="R415">
        <v>145.96124391322024</v>
      </c>
      <c r="S415">
        <v>69.208456560103528</v>
      </c>
      <c r="T415">
        <v>198.7163822799522</v>
      </c>
      <c r="U415">
        <v>94.340128931152663</v>
      </c>
      <c r="X415">
        <v>0.74084004681222348</v>
      </c>
      <c r="Y415">
        <v>0.54025339276019324</v>
      </c>
      <c r="Z415">
        <v>0.79301640566497344</v>
      </c>
      <c r="AA415">
        <v>0.8403297754222655</v>
      </c>
      <c r="AB415">
        <v>0.79578741726499524</v>
      </c>
      <c r="AC415">
        <v>0.61609657481504276</v>
      </c>
      <c r="AD415">
        <v>0.69331992175370905</v>
      </c>
      <c r="AE415">
        <v>0.49302432917975236</v>
      </c>
      <c r="AH415">
        <v>5.9743161078274598E-2</v>
      </c>
      <c r="AI415">
        <v>6.3050799471309982E-2</v>
      </c>
      <c r="AJ415">
        <v>0.10623555315464783</v>
      </c>
      <c r="AK415">
        <v>0.11531819489173545</v>
      </c>
      <c r="AL415">
        <v>1.0091255976385938E-2</v>
      </c>
      <c r="AM415">
        <v>0.21667639180607789</v>
      </c>
      <c r="AN415">
        <v>0.16990258005436332</v>
      </c>
      <c r="AO415">
        <v>0.12016831115731574</v>
      </c>
      <c r="AR415">
        <v>8.4476472295283293E-4</v>
      </c>
      <c r="AS415">
        <v>4.7109735557222532E-3</v>
      </c>
      <c r="AT415">
        <v>0.10115204493601171</v>
      </c>
      <c r="AU415">
        <v>2.2269891706254707E-3</v>
      </c>
      <c r="AV415">
        <v>2.1219785495293353E-3</v>
      </c>
      <c r="AW415">
        <v>3.293628643454036E-3</v>
      </c>
      <c r="AX415">
        <v>3.13604353568692E-4</v>
      </c>
      <c r="AY415">
        <v>4.5016235318695585E-4</v>
      </c>
      <c r="BB415">
        <v>4.6042775208136412E-2</v>
      </c>
      <c r="BC415">
        <v>2.8362148916864251E-2</v>
      </c>
      <c r="BE415">
        <v>36156.706346102568</v>
      </c>
      <c r="BF415">
        <v>21.539686679688145</v>
      </c>
      <c r="BG415">
        <v>38728.781408654359</v>
      </c>
      <c r="BH415">
        <v>21.533444697898251</v>
      </c>
    </row>
    <row r="416" spans="3:60" x14ac:dyDescent="0.2">
      <c r="C416" s="138">
        <v>31861.690254464997</v>
      </c>
      <c r="D416" s="138">
        <v>20.728573302393396</v>
      </c>
      <c r="E416" s="138">
        <v>34103.639419799096</v>
      </c>
      <c r="F416" s="138">
        <v>20.703920583226655</v>
      </c>
      <c r="G416" s="138">
        <v>-2241.9491653340992</v>
      </c>
      <c r="H416" s="138">
        <v>2.4652719166741832E-2</v>
      </c>
      <c r="N416" s="138"/>
      <c r="O416" s="138"/>
      <c r="P416" s="138"/>
      <c r="R416">
        <v>298.23609410058208</v>
      </c>
      <c r="S416">
        <v>59.966583510475694</v>
      </c>
      <c r="T416">
        <v>246.91663093523138</v>
      </c>
      <c r="U416">
        <v>102.57351537109533</v>
      </c>
      <c r="X416">
        <v>0.89373092321584102</v>
      </c>
      <c r="Y416">
        <v>0.65787193668632726</v>
      </c>
      <c r="Z416">
        <v>0.8194425391482496</v>
      </c>
      <c r="AA416">
        <v>0.74934070774991801</v>
      </c>
      <c r="AB416">
        <v>0.5654831320447461</v>
      </c>
      <c r="AC416">
        <v>0.66424189882939144</v>
      </c>
      <c r="AD416">
        <v>0.83166235356333662</v>
      </c>
      <c r="AE416">
        <v>0.43296738882361241</v>
      </c>
      <c r="AH416">
        <v>0.13942066702276634</v>
      </c>
      <c r="AI416">
        <v>0.11380318784096566</v>
      </c>
      <c r="AJ416">
        <v>3.1003207400011945E-2</v>
      </c>
      <c r="AK416">
        <v>6.2489183757420186E-2</v>
      </c>
      <c r="AL416">
        <v>0.21832370874202889</v>
      </c>
      <c r="AM416">
        <v>0.16732160956443864</v>
      </c>
      <c r="AN416">
        <v>7.0636666200027065E-2</v>
      </c>
      <c r="AO416">
        <v>0.23820478365639985</v>
      </c>
      <c r="AR416">
        <v>9.8706318527930215E-4</v>
      </c>
      <c r="AS416">
        <v>4.4596280081818729E-3</v>
      </c>
      <c r="AT416">
        <v>0.10102889444672203</v>
      </c>
      <c r="AU416">
        <v>2.1875204179488961E-3</v>
      </c>
      <c r="AV416">
        <v>2.0194321207671617E-3</v>
      </c>
      <c r="AW416">
        <v>3.3833582615126812E-3</v>
      </c>
      <c r="AX416">
        <v>4.381051660244939E-4</v>
      </c>
      <c r="AY416">
        <v>4.5743416463828179E-4</v>
      </c>
      <c r="BB416">
        <v>5.298458925168259E-2</v>
      </c>
      <c r="BC416">
        <v>5.2107002436447836E-2</v>
      </c>
      <c r="BE416">
        <v>31861.690254464997</v>
      </c>
      <c r="BF416">
        <v>20.728573302393396</v>
      </c>
      <c r="BG416">
        <v>34103.639419799096</v>
      </c>
      <c r="BH416">
        <v>20.703920583226655</v>
      </c>
    </row>
    <row r="417" spans="3:60" x14ac:dyDescent="0.2">
      <c r="C417" s="138">
        <v>35251.070006543705</v>
      </c>
      <c r="D417" s="138">
        <v>20.252811672391328</v>
      </c>
      <c r="E417" s="138">
        <v>37337.107090399113</v>
      </c>
      <c r="F417" s="138">
        <v>20.281185515622958</v>
      </c>
      <c r="G417" s="138">
        <v>-2086.0370838554081</v>
      </c>
      <c r="H417" s="138">
        <v>-2.8373843231630502E-2</v>
      </c>
      <c r="N417" s="138"/>
      <c r="O417" s="138"/>
      <c r="P417" s="138"/>
      <c r="R417">
        <v>144.37328983100298</v>
      </c>
      <c r="S417">
        <v>68.438423688236014</v>
      </c>
      <c r="T417">
        <v>294.56751751290409</v>
      </c>
      <c r="U417">
        <v>96.235172777500921</v>
      </c>
      <c r="X417">
        <v>0.77240706596021291</v>
      </c>
      <c r="Y417">
        <v>0.83636077640712114</v>
      </c>
      <c r="Z417">
        <v>0.78537846939047673</v>
      </c>
      <c r="AA417">
        <v>0.63321353183382378</v>
      </c>
      <c r="AB417">
        <v>0.76251794535067896</v>
      </c>
      <c r="AC417">
        <v>0.95128505970690513</v>
      </c>
      <c r="AD417">
        <v>0.6443014540969757</v>
      </c>
      <c r="AE417">
        <v>0.7461633068618545</v>
      </c>
      <c r="AH417">
        <v>9.7084985788662426E-3</v>
      </c>
      <c r="AI417">
        <v>0.26568893503239832</v>
      </c>
      <c r="AJ417">
        <v>9.4905808848498419E-2</v>
      </c>
      <c r="AK417">
        <v>3.0989846052581815E-2</v>
      </c>
      <c r="AL417">
        <v>2.9018673290009511E-2</v>
      </c>
      <c r="AM417">
        <v>0.17964339031766319</v>
      </c>
      <c r="AN417">
        <v>8.0396407758199451E-2</v>
      </c>
      <c r="AO417">
        <v>3.837958577814593E-2</v>
      </c>
      <c r="AR417">
        <v>8.8210732586151879E-4</v>
      </c>
      <c r="AS417">
        <v>4.2179669660030207E-3</v>
      </c>
      <c r="AT417">
        <v>9.9296451135991004E-2</v>
      </c>
      <c r="AU417">
        <v>2.1550300561411495E-3</v>
      </c>
      <c r="AV417">
        <v>2.0532714935551644E-3</v>
      </c>
      <c r="AW417">
        <v>3.505109785098659E-3</v>
      </c>
      <c r="AX417">
        <v>2.7466545352659632E-4</v>
      </c>
      <c r="AY417">
        <v>4.4296403653169174E-4</v>
      </c>
      <c r="BB417">
        <v>5.5829924405359055E-2</v>
      </c>
      <c r="BC417">
        <v>5.4994077481921422E-2</v>
      </c>
      <c r="BE417">
        <v>35251.070006543705</v>
      </c>
      <c r="BF417">
        <v>20.252811672391328</v>
      </c>
      <c r="BG417">
        <v>37337.107090399113</v>
      </c>
      <c r="BH417">
        <v>20.281185515622958</v>
      </c>
    </row>
    <row r="418" spans="3:60" x14ac:dyDescent="0.2">
      <c r="C418" s="138">
        <v>33161.212106517487</v>
      </c>
      <c r="D418" s="138">
        <v>20.957128342089181</v>
      </c>
      <c r="E418" s="138">
        <v>35065.325569597044</v>
      </c>
      <c r="F418" s="138">
        <v>20.919149938035176</v>
      </c>
      <c r="G418" s="138">
        <v>-1904.1134630795568</v>
      </c>
      <c r="H418" s="138">
        <v>3.797840405400521E-2</v>
      </c>
      <c r="N418" s="138"/>
      <c r="O418" s="138"/>
      <c r="P418" s="138"/>
      <c r="R418">
        <v>242.03088491988973</v>
      </c>
      <c r="S418">
        <v>60.527002253849176</v>
      </c>
      <c r="T418">
        <v>205.95708944802499</v>
      </c>
      <c r="U418">
        <v>93.189932033347304</v>
      </c>
      <c r="X418">
        <v>0.802527277887497</v>
      </c>
      <c r="Y418">
        <v>0.68576115960026918</v>
      </c>
      <c r="Z418">
        <v>0.85604194138292944</v>
      </c>
      <c r="AA418">
        <v>0.71410882571100565</v>
      </c>
      <c r="AB418">
        <v>0.79866639423460795</v>
      </c>
      <c r="AC418">
        <v>0.70374455934699232</v>
      </c>
      <c r="AD418">
        <v>0.78961728019400068</v>
      </c>
      <c r="AE418">
        <v>0.71900514569749052</v>
      </c>
      <c r="AH418">
        <v>0.13816720916062031</v>
      </c>
      <c r="AI418">
        <v>6.5953240442510053E-3</v>
      </c>
      <c r="AJ418">
        <v>0.13665081168413296</v>
      </c>
      <c r="AK418">
        <v>1.7110200922231478E-2</v>
      </c>
      <c r="AL418">
        <v>0.11103677278762036</v>
      </c>
      <c r="AM418">
        <v>3.5536451182563988E-2</v>
      </c>
      <c r="AN418">
        <v>0.21373375509593662</v>
      </c>
      <c r="AO418">
        <v>4.272239649012266E-2</v>
      </c>
      <c r="AR418">
        <v>7.6681229850162767E-4</v>
      </c>
      <c r="AS418">
        <v>4.7553991312451194E-3</v>
      </c>
      <c r="AT418">
        <v>9.9875370772091437E-2</v>
      </c>
      <c r="AU418">
        <v>1.9666550014633935E-3</v>
      </c>
      <c r="AV418">
        <v>2.0687317933970606E-3</v>
      </c>
      <c r="AW418">
        <v>3.3401565793451131E-3</v>
      </c>
      <c r="AX418">
        <v>3.1152461501050913E-4</v>
      </c>
      <c r="AY418">
        <v>3.9337586060838166E-4</v>
      </c>
      <c r="BB418">
        <v>6.2157968050702617E-2</v>
      </c>
      <c r="BC418">
        <v>6.7028160832472539E-2</v>
      </c>
      <c r="BE418">
        <v>33161.212106517487</v>
      </c>
      <c r="BF418">
        <v>20.957128342089181</v>
      </c>
      <c r="BG418">
        <v>35065.325569597044</v>
      </c>
      <c r="BH418">
        <v>20.919149938035176</v>
      </c>
    </row>
    <row r="419" spans="3:60" x14ac:dyDescent="0.2">
      <c r="C419" s="138">
        <v>37105.962478605965</v>
      </c>
      <c r="D419" s="138">
        <v>21.080047818417441</v>
      </c>
      <c r="E419" s="138">
        <v>39104.345124384236</v>
      </c>
      <c r="F419" s="138">
        <v>21.049443469799584</v>
      </c>
      <c r="G419" s="138">
        <v>-1998.3826457782707</v>
      </c>
      <c r="H419" s="138">
        <v>3.0604348617856658E-2</v>
      </c>
      <c r="N419" s="138"/>
      <c r="O419" s="138"/>
      <c r="P419" s="138"/>
      <c r="R419">
        <v>370.33883841248405</v>
      </c>
      <c r="S419">
        <v>58.293876025067895</v>
      </c>
      <c r="T419">
        <v>243.78427936392077</v>
      </c>
      <c r="U419">
        <v>99.974735589892475</v>
      </c>
      <c r="X419">
        <v>0.5243100114210405</v>
      </c>
      <c r="Y419">
        <v>0.85315818883867367</v>
      </c>
      <c r="Z419">
        <v>0.77747554022318388</v>
      </c>
      <c r="AA419">
        <v>0.7233151582768832</v>
      </c>
      <c r="AB419">
        <v>0.5026376394686487</v>
      </c>
      <c r="AC419">
        <v>0.81566898701977042</v>
      </c>
      <c r="AD419">
        <v>0.84637427542284127</v>
      </c>
      <c r="AE419">
        <v>0.79113321059638997</v>
      </c>
      <c r="AH419">
        <v>0.16624163529509739</v>
      </c>
      <c r="AI419">
        <v>1.1724654086464614E-2</v>
      </c>
      <c r="AJ419">
        <v>0.14345849987823023</v>
      </c>
      <c r="AK419">
        <v>0.10148129019944296</v>
      </c>
      <c r="AL419">
        <v>0.33036363362274768</v>
      </c>
      <c r="AM419">
        <v>0.19740997494398305</v>
      </c>
      <c r="AN419">
        <v>0.12040302540299541</v>
      </c>
      <c r="AO419">
        <v>6.1375088638382147E-2</v>
      </c>
      <c r="AR419">
        <v>8.6047832096312091E-4</v>
      </c>
      <c r="AS419">
        <v>4.5350256790707144E-3</v>
      </c>
      <c r="AT419">
        <v>9.9374342142578551E-2</v>
      </c>
      <c r="AU419">
        <v>2.0486835059100317E-3</v>
      </c>
      <c r="AV419">
        <v>2.0828049368707413E-3</v>
      </c>
      <c r="AW419">
        <v>3.5103713557533833E-3</v>
      </c>
      <c r="AX419">
        <v>4.0775961991912357E-4</v>
      </c>
      <c r="AY419">
        <v>4.4885307081310444E-4</v>
      </c>
      <c r="BB419">
        <v>5.7432697258221088E-2</v>
      </c>
      <c r="BC419">
        <v>3.6951253483778701E-2</v>
      </c>
      <c r="BE419">
        <v>37105.962478605965</v>
      </c>
      <c r="BF419">
        <v>21.080047818417441</v>
      </c>
      <c r="BG419">
        <v>39104.345124384236</v>
      </c>
      <c r="BH419">
        <v>21.049443469799584</v>
      </c>
    </row>
    <row r="420" spans="3:60" x14ac:dyDescent="0.2">
      <c r="C420" s="138">
        <v>26734.182488561622</v>
      </c>
      <c r="D420" s="138">
        <v>21.219940711965144</v>
      </c>
      <c r="E420" s="138">
        <v>28795.011232775294</v>
      </c>
      <c r="F420" s="138">
        <v>21.198068378695805</v>
      </c>
      <c r="G420" s="138">
        <v>-2060.8287442136716</v>
      </c>
      <c r="H420" s="138">
        <v>2.187233326933935E-2</v>
      </c>
      <c r="N420" s="138"/>
      <c r="O420" s="138"/>
      <c r="P420" s="138"/>
      <c r="R420">
        <v>-10.336130864778681</v>
      </c>
      <c r="S420">
        <v>69.210020960504266</v>
      </c>
      <c r="T420">
        <v>296.15836246902512</v>
      </c>
      <c r="U420">
        <v>69.456971581254493</v>
      </c>
      <c r="X420">
        <v>0.60860727490248934</v>
      </c>
      <c r="Y420">
        <v>0.68165411321317493</v>
      </c>
      <c r="Z420">
        <v>0.72984133416086783</v>
      </c>
      <c r="AA420">
        <v>0.77953311371043355</v>
      </c>
      <c r="AB420">
        <v>0.77988054747690283</v>
      </c>
      <c r="AC420">
        <v>0.85907549733437116</v>
      </c>
      <c r="AD420">
        <v>0.72095659923646471</v>
      </c>
      <c r="AE420">
        <v>0.81659787049312993</v>
      </c>
      <c r="AH420">
        <v>5.1895712466956456E-2</v>
      </c>
      <c r="AI420">
        <v>8.8481891134540192E-2</v>
      </c>
      <c r="AJ420">
        <v>0.37425706608671361</v>
      </c>
      <c r="AK420">
        <v>4.6458329669467058E-2</v>
      </c>
      <c r="AL420">
        <v>9.4058624174883754E-2</v>
      </c>
      <c r="AM420">
        <v>0.28125379919945692</v>
      </c>
      <c r="AN420">
        <v>9.8625409861046509E-2</v>
      </c>
      <c r="AO420">
        <v>0.19953229914543769</v>
      </c>
      <c r="AR420">
        <v>1.0724587962229748E-3</v>
      </c>
      <c r="AS420">
        <v>4.2818302123964489E-3</v>
      </c>
      <c r="AT420">
        <v>9.9026847435568E-2</v>
      </c>
      <c r="AU420">
        <v>1.7874373502481924E-3</v>
      </c>
      <c r="AV420">
        <v>2.070215113783358E-3</v>
      </c>
      <c r="AW420">
        <v>3.2510704295685851E-3</v>
      </c>
      <c r="AX420">
        <v>5.0708270389465682E-4</v>
      </c>
      <c r="AY420">
        <v>5.5098112685225686E-4</v>
      </c>
      <c r="BB420">
        <v>5.6097784193730682E-2</v>
      </c>
      <c r="BC420">
        <v>2.2437277191992386E-2</v>
      </c>
      <c r="BE420">
        <v>26734.182488561622</v>
      </c>
      <c r="BF420">
        <v>21.219940711965144</v>
      </c>
      <c r="BG420">
        <v>28795.011232775294</v>
      </c>
      <c r="BH420">
        <v>21.198068378695805</v>
      </c>
    </row>
    <row r="421" spans="3:60" x14ac:dyDescent="0.2">
      <c r="C421" s="138">
        <v>25445.342812344563</v>
      </c>
      <c r="D421" s="138">
        <v>20.546294445430227</v>
      </c>
      <c r="E421" s="138">
        <v>27035.545366741935</v>
      </c>
      <c r="F421" s="138">
        <v>20.498653498171674</v>
      </c>
      <c r="G421" s="138">
        <v>-1590.2025543973723</v>
      </c>
      <c r="H421" s="138">
        <v>4.7640947258553723E-2</v>
      </c>
      <c r="N421" s="138"/>
      <c r="O421" s="138"/>
      <c r="P421" s="138"/>
      <c r="R421">
        <v>447.34964856793732</v>
      </c>
      <c r="S421">
        <v>65.748701634073257</v>
      </c>
      <c r="T421">
        <v>280.26645507314652</v>
      </c>
      <c r="U421">
        <v>95.65628788191799</v>
      </c>
      <c r="X421">
        <v>0.79970607538583494</v>
      </c>
      <c r="Y421">
        <v>0.83313456390537077</v>
      </c>
      <c r="Z421">
        <v>0.94823512694129541</v>
      </c>
      <c r="AA421">
        <v>0.74984335520838208</v>
      </c>
      <c r="AB421">
        <v>0.76681083906141345</v>
      </c>
      <c r="AC421">
        <v>0.93195523927357204</v>
      </c>
      <c r="AD421">
        <v>0.80068803522876197</v>
      </c>
      <c r="AE421">
        <v>0.89212005683501749</v>
      </c>
      <c r="AH421">
        <v>1.9566881386105406E-2</v>
      </c>
      <c r="AI421">
        <v>0.26288182821969075</v>
      </c>
      <c r="AJ421">
        <v>0.10695755109227167</v>
      </c>
      <c r="AK421">
        <v>0.14499191784602916</v>
      </c>
      <c r="AL421">
        <v>8.42012238205887E-2</v>
      </c>
      <c r="AM421">
        <v>0.31757830429325407</v>
      </c>
      <c r="AN421">
        <v>8.8070753832174553E-2</v>
      </c>
      <c r="AO421">
        <v>3.4484846183898021E-2</v>
      </c>
      <c r="AR421">
        <v>9.2599725557096502E-4</v>
      </c>
      <c r="AS421">
        <v>4.3984779569233795E-3</v>
      </c>
      <c r="AT421">
        <v>0.10036707715468396</v>
      </c>
      <c r="AU421">
        <v>1.8790949337820842E-3</v>
      </c>
      <c r="AV421">
        <v>2.0770606468670794E-3</v>
      </c>
      <c r="AW421">
        <v>3.5553634410445678E-3</v>
      </c>
      <c r="AX421">
        <v>3.9793312477431897E-4</v>
      </c>
      <c r="AY421">
        <v>5.4952302437105693E-4</v>
      </c>
      <c r="BB421">
        <v>5.4376772180974697E-2</v>
      </c>
      <c r="BC421">
        <v>4.2747320401365078E-2</v>
      </c>
      <c r="BE421">
        <v>25445.342812344563</v>
      </c>
      <c r="BF421">
        <v>20.546294445430227</v>
      </c>
      <c r="BG421">
        <v>27035.545366741935</v>
      </c>
      <c r="BH421">
        <v>20.498653498171674</v>
      </c>
    </row>
    <row r="422" spans="3:60" x14ac:dyDescent="0.2">
      <c r="C422" s="138">
        <v>35932.416746899537</v>
      </c>
      <c r="D422" s="138">
        <v>20.894600062508804</v>
      </c>
      <c r="E422" s="138">
        <v>37776.038346730813</v>
      </c>
      <c r="F422" s="138">
        <v>20.866647677402394</v>
      </c>
      <c r="G422" s="138">
        <v>-1843.6215998312764</v>
      </c>
      <c r="H422" s="138">
        <v>2.7952385106409849E-2</v>
      </c>
      <c r="N422" s="138"/>
      <c r="O422" s="138"/>
      <c r="P422" s="138"/>
      <c r="R422">
        <v>322.23376814535163</v>
      </c>
      <c r="S422">
        <v>59.669381941545161</v>
      </c>
      <c r="T422">
        <v>259.79624640840984</v>
      </c>
      <c r="U422">
        <v>95.855485467563625</v>
      </c>
      <c r="X422">
        <v>0.94565285635558438</v>
      </c>
      <c r="Y422">
        <v>0.86591815301404207</v>
      </c>
      <c r="Z422">
        <v>0.81094016161603033</v>
      </c>
      <c r="AA422">
        <v>0.52806195059203154</v>
      </c>
      <c r="AB422">
        <v>0.31963818462487337</v>
      </c>
      <c r="AC422">
        <v>0.73840538006985224</v>
      </c>
      <c r="AD422">
        <v>0.93392547631276468</v>
      </c>
      <c r="AE422">
        <v>0.75334547838274246</v>
      </c>
      <c r="AH422">
        <v>3.6128118138530563E-2</v>
      </c>
      <c r="AI422">
        <v>8.6403567644718127E-2</v>
      </c>
      <c r="AJ422">
        <v>0.27137009539174717</v>
      </c>
      <c r="AK422">
        <v>0.24789383113521213</v>
      </c>
      <c r="AL422">
        <v>8.941918997860665E-2</v>
      </c>
      <c r="AM422">
        <v>7.5782506838592334E-2</v>
      </c>
      <c r="AN422">
        <v>6.6283101945954881E-2</v>
      </c>
      <c r="AO422">
        <v>7.6910498009857831E-2</v>
      </c>
      <c r="AR422">
        <v>1.0254432533091107E-3</v>
      </c>
      <c r="AS422">
        <v>4.5889877693947589E-3</v>
      </c>
      <c r="AT422">
        <v>0.10102720922097819</v>
      </c>
      <c r="AU422">
        <v>2.3328423991104685E-3</v>
      </c>
      <c r="AV422">
        <v>1.9770498511804593E-3</v>
      </c>
      <c r="AW422">
        <v>3.3866098073939087E-3</v>
      </c>
      <c r="AX422">
        <v>3.4569358671204808E-4</v>
      </c>
      <c r="AY422">
        <v>5.9100401566880567E-4</v>
      </c>
      <c r="BB422">
        <v>5.4505722808604329E-2</v>
      </c>
      <c r="BC422">
        <v>4.9168613105698533E-2</v>
      </c>
      <c r="BE422">
        <v>35932.416746899537</v>
      </c>
      <c r="BF422">
        <v>20.894600062508804</v>
      </c>
      <c r="BG422">
        <v>37776.038346730813</v>
      </c>
      <c r="BH422">
        <v>20.866647677402394</v>
      </c>
    </row>
    <row r="423" spans="3:60" x14ac:dyDescent="0.2">
      <c r="C423" s="138">
        <v>31701.944143492354</v>
      </c>
      <c r="D423" s="138">
        <v>21.44677527126602</v>
      </c>
      <c r="E423" s="138">
        <v>33714.175960580826</v>
      </c>
      <c r="F423" s="138">
        <v>21.455452979306742</v>
      </c>
      <c r="G423" s="138">
        <v>-2012.2318170884719</v>
      </c>
      <c r="H423" s="138">
        <v>-8.6777080407216545E-3</v>
      </c>
      <c r="N423" s="138"/>
      <c r="O423" s="138"/>
      <c r="P423" s="138"/>
      <c r="R423">
        <v>252.2437470686065</v>
      </c>
      <c r="S423">
        <v>72.827937755399077</v>
      </c>
      <c r="T423">
        <v>220.99001587077623</v>
      </c>
      <c r="U423">
        <v>97.921698285146618</v>
      </c>
      <c r="X423">
        <v>0.83343525596502865</v>
      </c>
      <c r="Y423">
        <v>0.8549251295641388</v>
      </c>
      <c r="Z423">
        <v>0.64266499863056736</v>
      </c>
      <c r="AA423">
        <v>0.83732158850307026</v>
      </c>
      <c r="AB423">
        <v>0.60386610146595243</v>
      </c>
      <c r="AC423">
        <v>0.58505813840821241</v>
      </c>
      <c r="AD423">
        <v>0.78880779318272598</v>
      </c>
      <c r="AE423">
        <v>0.87788986576729189</v>
      </c>
      <c r="AH423">
        <v>1.0244837995149636E-2</v>
      </c>
      <c r="AI423">
        <v>9.7632478158262259E-2</v>
      </c>
      <c r="AJ423">
        <v>0.16578621406592176</v>
      </c>
      <c r="AK423">
        <v>6.6245459738298429E-2</v>
      </c>
      <c r="AL423">
        <v>7.1480341146645587E-2</v>
      </c>
      <c r="AM423">
        <v>0.24395864820793889</v>
      </c>
      <c r="AN423">
        <v>0.12097158791367824</v>
      </c>
      <c r="AO423">
        <v>0.21258022190836545</v>
      </c>
      <c r="AR423">
        <v>8.4608069550658519E-4</v>
      </c>
      <c r="AS423">
        <v>4.1732446025645378E-3</v>
      </c>
      <c r="AT423">
        <v>0.10087076297767339</v>
      </c>
      <c r="AU423">
        <v>1.9408163520469601E-3</v>
      </c>
      <c r="AV423">
        <v>2.2167467053466616E-3</v>
      </c>
      <c r="AW423">
        <v>3.4224881513360561E-3</v>
      </c>
      <c r="AX423">
        <v>3.7438797745896675E-4</v>
      </c>
      <c r="AY423">
        <v>4.1900687050892615E-4</v>
      </c>
      <c r="BB423">
        <v>4.8473284331535277E-2</v>
      </c>
      <c r="BC423">
        <v>5.9986120978695601E-2</v>
      </c>
      <c r="BE423">
        <v>31701.944143492354</v>
      </c>
      <c r="BF423">
        <v>21.44677527126602</v>
      </c>
      <c r="BG423">
        <v>33714.175960580826</v>
      </c>
      <c r="BH423">
        <v>21.455452979306742</v>
      </c>
    </row>
    <row r="424" spans="3:60" x14ac:dyDescent="0.2">
      <c r="C424" s="138">
        <v>33921.270078421716</v>
      </c>
      <c r="D424" s="138">
        <v>21.463423607902069</v>
      </c>
      <c r="E424" s="138">
        <v>35910.101837151691</v>
      </c>
      <c r="F424" s="138">
        <v>21.473717330954674</v>
      </c>
      <c r="G424" s="138">
        <v>-1988.8317587299753</v>
      </c>
      <c r="H424" s="138">
        <v>-1.029372305260523E-2</v>
      </c>
      <c r="N424" s="138"/>
      <c r="O424" s="138"/>
      <c r="P424" s="138"/>
      <c r="R424">
        <v>301.40458143546573</v>
      </c>
      <c r="S424">
        <v>63.149172588484404</v>
      </c>
      <c r="T424">
        <v>264.29783620126886</v>
      </c>
      <c r="U424">
        <v>104.79090950449898</v>
      </c>
      <c r="X424">
        <v>0.80183723659365813</v>
      </c>
      <c r="Y424">
        <v>0.88675663758107026</v>
      </c>
      <c r="Z424">
        <v>0.44733606177711988</v>
      </c>
      <c r="AA424">
        <v>0.73954358683608001</v>
      </c>
      <c r="AB424">
        <v>0.88057620220880617</v>
      </c>
      <c r="AC424">
        <v>0.70107680293867414</v>
      </c>
      <c r="AD424">
        <v>0.65120923939614361</v>
      </c>
      <c r="AE424">
        <v>0.809658010437735</v>
      </c>
      <c r="AH424">
        <v>6.3404305431920771E-2</v>
      </c>
      <c r="AI424">
        <v>4.217159565075268E-2</v>
      </c>
      <c r="AJ424">
        <v>0.18878633253429611</v>
      </c>
      <c r="AK424">
        <v>6.1319109049365661E-2</v>
      </c>
      <c r="AL424">
        <v>0.12630793748180735</v>
      </c>
      <c r="AM424">
        <v>1.825046345929926E-2</v>
      </c>
      <c r="AN424">
        <v>0.15430428215773462</v>
      </c>
      <c r="AO424">
        <v>8.7801798992577562E-2</v>
      </c>
      <c r="AR424">
        <v>9.863496761642887E-4</v>
      </c>
      <c r="AS424">
        <v>4.4662591717267563E-3</v>
      </c>
      <c r="AT424">
        <v>0.10023335281187973</v>
      </c>
      <c r="AU424">
        <v>2.1904289538479116E-3</v>
      </c>
      <c r="AV424">
        <v>1.7546238455369225E-3</v>
      </c>
      <c r="AW424">
        <v>3.6179957174575783E-3</v>
      </c>
      <c r="AX424">
        <v>4.2265837170907261E-4</v>
      </c>
      <c r="AY424">
        <v>3.8868602410035242E-4</v>
      </c>
      <c r="BB424">
        <v>4.1042558612542586E-2</v>
      </c>
      <c r="BC424">
        <v>3.2800235386140839E-2</v>
      </c>
      <c r="BE424">
        <v>33921.270078421716</v>
      </c>
      <c r="BF424">
        <v>21.463423607902069</v>
      </c>
      <c r="BG424">
        <v>35910.101837151691</v>
      </c>
      <c r="BH424">
        <v>21.473717330954674</v>
      </c>
    </row>
    <row r="425" spans="3:60" x14ac:dyDescent="0.2">
      <c r="C425" s="138">
        <v>30032.071922428455</v>
      </c>
      <c r="D425" s="138">
        <v>21.776679961252171</v>
      </c>
      <c r="E425" s="138">
        <v>32140.329669294548</v>
      </c>
      <c r="F425" s="138">
        <v>21.766321540216463</v>
      </c>
      <c r="G425" s="138">
        <v>-2108.2577468660929</v>
      </c>
      <c r="H425" s="138">
        <v>1.0358421035707721E-2</v>
      </c>
      <c r="N425" s="138"/>
      <c r="O425" s="138"/>
      <c r="P425" s="138"/>
      <c r="R425">
        <v>335.11709002359834</v>
      </c>
      <c r="S425">
        <v>63.894151405265639</v>
      </c>
      <c r="T425">
        <v>269.10641739333352</v>
      </c>
      <c r="U425">
        <v>94.309095540881756</v>
      </c>
      <c r="X425">
        <v>0.70199037331277991</v>
      </c>
      <c r="Y425">
        <v>0.70436166337933037</v>
      </c>
      <c r="Z425">
        <v>0.79148368507948186</v>
      </c>
      <c r="AA425">
        <v>0.72384596872758711</v>
      </c>
      <c r="AB425">
        <v>0.69620770161429624</v>
      </c>
      <c r="AC425">
        <v>0.81032915889060453</v>
      </c>
      <c r="AD425">
        <v>0.82807275757847443</v>
      </c>
      <c r="AE425">
        <v>0.80973101110367052</v>
      </c>
      <c r="AH425">
        <v>0.14699578693158777</v>
      </c>
      <c r="AI425">
        <v>8.3078357552982096E-2</v>
      </c>
      <c r="AJ425">
        <v>9.1546416565947752E-2</v>
      </c>
      <c r="AK425">
        <v>8.7715348431491091E-2</v>
      </c>
      <c r="AL425">
        <v>0.16246886995875653</v>
      </c>
      <c r="AM425">
        <v>4.2233484945548794E-2</v>
      </c>
      <c r="AN425">
        <v>0.16326287927211514</v>
      </c>
      <c r="AO425">
        <v>6.1192587118032438E-2</v>
      </c>
      <c r="AR425">
        <v>9.2186684285444631E-4</v>
      </c>
      <c r="AS425">
        <v>4.2885877177458401E-3</v>
      </c>
      <c r="AT425">
        <v>9.9105556132185663E-2</v>
      </c>
      <c r="AU425">
        <v>1.7890964261267151E-3</v>
      </c>
      <c r="AV425">
        <v>2.0639070026398088E-3</v>
      </c>
      <c r="AW425">
        <v>3.484787766978914E-3</v>
      </c>
      <c r="AX425">
        <v>5.4418932649069607E-4</v>
      </c>
      <c r="AY425">
        <v>4.2199957738346563E-4</v>
      </c>
      <c r="BB425">
        <v>4.7257783717783303E-2</v>
      </c>
      <c r="BC425">
        <v>0.11792436003434736</v>
      </c>
      <c r="BE425">
        <v>30032.071922428455</v>
      </c>
      <c r="BF425">
        <v>21.776679961252171</v>
      </c>
      <c r="BG425">
        <v>32140.329669294548</v>
      </c>
      <c r="BH425">
        <v>21.766321540216463</v>
      </c>
    </row>
    <row r="426" spans="3:60" x14ac:dyDescent="0.2">
      <c r="C426" s="138">
        <v>29407.167820365554</v>
      </c>
      <c r="D426" s="138">
        <v>21.52503364615243</v>
      </c>
      <c r="E426" s="138">
        <v>31981.495749277368</v>
      </c>
      <c r="F426" s="138">
        <v>21.504888209798036</v>
      </c>
      <c r="G426" s="138">
        <v>-2574.3279289118145</v>
      </c>
      <c r="H426" s="138">
        <v>2.0145436354393809E-2</v>
      </c>
      <c r="N426" s="138"/>
      <c r="O426" s="138"/>
      <c r="P426" s="138"/>
      <c r="R426">
        <v>293.89648695131552</v>
      </c>
      <c r="S426">
        <v>65.352013865269612</v>
      </c>
      <c r="T426">
        <v>250.59953689956583</v>
      </c>
      <c r="U426">
        <v>88.469808257970584</v>
      </c>
      <c r="X426">
        <v>0.76857632165963286</v>
      </c>
      <c r="Y426">
        <v>0.79780881441248941</v>
      </c>
      <c r="Z426">
        <v>0.70609469226237642</v>
      </c>
      <c r="AA426">
        <v>0.6949110792154255</v>
      </c>
      <c r="AB426">
        <v>0.70041775885257673</v>
      </c>
      <c r="AC426">
        <v>0.75624040273395332</v>
      </c>
      <c r="AD426">
        <v>0.75377627639891598</v>
      </c>
      <c r="AE426">
        <v>0.83457595105121229</v>
      </c>
      <c r="AH426">
        <v>0.1461959441353331</v>
      </c>
      <c r="AI426">
        <v>9.6323947963362411E-2</v>
      </c>
      <c r="AJ426">
        <v>9.2635827037899299E-2</v>
      </c>
      <c r="AK426">
        <v>0.14327122353785104</v>
      </c>
      <c r="AL426">
        <v>6.6444864040337115E-2</v>
      </c>
      <c r="AM426">
        <v>0.23680378441353223</v>
      </c>
      <c r="AN426">
        <v>0.17210662658983666</v>
      </c>
      <c r="AO426">
        <v>0.20474339937670083</v>
      </c>
      <c r="AR426">
        <v>1.1603695810279424E-3</v>
      </c>
      <c r="AS426">
        <v>4.7566094256313862E-3</v>
      </c>
      <c r="AT426">
        <v>9.9432298913482445E-2</v>
      </c>
      <c r="AU426">
        <v>1.9354127881497092E-3</v>
      </c>
      <c r="AV426">
        <v>2.1211630093526113E-3</v>
      </c>
      <c r="AW426">
        <v>2.983692099045978E-3</v>
      </c>
      <c r="AX426">
        <v>3.8558882595354847E-4</v>
      </c>
      <c r="AY426">
        <v>3.4438922420621887E-4</v>
      </c>
      <c r="BB426">
        <v>4.1652539128228951E-2</v>
      </c>
      <c r="BC426">
        <v>7.1615913290723143E-2</v>
      </c>
      <c r="BE426">
        <v>29407.167820365554</v>
      </c>
      <c r="BF426">
        <v>21.52503364615243</v>
      </c>
      <c r="BG426">
        <v>31981.495749277368</v>
      </c>
      <c r="BH426">
        <v>21.504888209798036</v>
      </c>
    </row>
    <row r="427" spans="3:60" x14ac:dyDescent="0.2">
      <c r="C427" s="138">
        <v>32833.033066389202</v>
      </c>
      <c r="D427" s="138">
        <v>20.213464036579996</v>
      </c>
      <c r="E427" s="138">
        <v>35025.609557569711</v>
      </c>
      <c r="F427" s="138">
        <v>20.157327027344689</v>
      </c>
      <c r="G427" s="138">
        <v>-2192.576491180509</v>
      </c>
      <c r="H427" s="138">
        <v>5.6137009235307289E-2</v>
      </c>
      <c r="N427" s="138"/>
      <c r="O427" s="138"/>
      <c r="P427" s="138"/>
      <c r="R427">
        <v>98.018224980665764</v>
      </c>
      <c r="S427">
        <v>58.940771907165342</v>
      </c>
      <c r="T427">
        <v>280.03786284163454</v>
      </c>
      <c r="U427">
        <v>80.604592376104264</v>
      </c>
      <c r="X427">
        <v>0.89464092624992031</v>
      </c>
      <c r="Y427">
        <v>0.62899509344519955</v>
      </c>
      <c r="Z427">
        <v>0.71329542352785991</v>
      </c>
      <c r="AA427">
        <v>0.67768313327523511</v>
      </c>
      <c r="AB427">
        <v>0.73524538575702658</v>
      </c>
      <c r="AC427">
        <v>0.43536924150356543</v>
      </c>
      <c r="AD427">
        <v>0.94391436673719653</v>
      </c>
      <c r="AE427">
        <v>0.60277807443749476</v>
      </c>
      <c r="AH427">
        <v>2.8195044629837129E-2</v>
      </c>
      <c r="AI427">
        <v>9.7114710054400755E-2</v>
      </c>
      <c r="AJ427">
        <v>0.1468698540203045</v>
      </c>
      <c r="AK427">
        <v>0.12348170286821281</v>
      </c>
      <c r="AL427">
        <v>8.7856333075732262E-2</v>
      </c>
      <c r="AM427">
        <v>3.5581946047608115E-2</v>
      </c>
      <c r="AN427">
        <v>0.14617506300160188</v>
      </c>
      <c r="AO427">
        <v>7.4760846805006498E-3</v>
      </c>
      <c r="AR427">
        <v>1.0091123642957944E-3</v>
      </c>
      <c r="AS427">
        <v>4.0165760798236694E-3</v>
      </c>
      <c r="AT427">
        <v>0.10010322846927611</v>
      </c>
      <c r="AU427">
        <v>2.0918695974504464E-3</v>
      </c>
      <c r="AV427">
        <v>2.193105088412417E-3</v>
      </c>
      <c r="AW427">
        <v>3.3815475335829881E-3</v>
      </c>
      <c r="AX427">
        <v>4.1381109766591706E-4</v>
      </c>
      <c r="AY427">
        <v>3.8392869519306426E-4</v>
      </c>
      <c r="BB427">
        <v>4.7187160767031992E-2</v>
      </c>
      <c r="BC427">
        <v>6.4503678857305347E-2</v>
      </c>
      <c r="BE427">
        <v>32833.033066389202</v>
      </c>
      <c r="BF427">
        <v>20.213464036579996</v>
      </c>
      <c r="BG427">
        <v>35025.609557569711</v>
      </c>
      <c r="BH427">
        <v>20.157327027344689</v>
      </c>
    </row>
    <row r="428" spans="3:60" x14ac:dyDescent="0.2">
      <c r="C428" s="138">
        <v>31422.671797375922</v>
      </c>
      <c r="D428" s="138">
        <v>20.641877049946448</v>
      </c>
      <c r="E428" s="138">
        <v>33894.839448561936</v>
      </c>
      <c r="F428" s="138">
        <v>20.591619154578886</v>
      </c>
      <c r="G428" s="138">
        <v>-2472.1676511860132</v>
      </c>
      <c r="H428" s="138">
        <v>5.0257895367561645E-2</v>
      </c>
      <c r="N428" s="138"/>
      <c r="O428" s="138"/>
      <c r="P428" s="138"/>
      <c r="R428">
        <v>279.94822071372238</v>
      </c>
      <c r="S428">
        <v>71.054134621807606</v>
      </c>
      <c r="T428">
        <v>238.58976957805245</v>
      </c>
      <c r="U428">
        <v>92.354856130001195</v>
      </c>
      <c r="X428">
        <v>0.93173697994433669</v>
      </c>
      <c r="Y428">
        <v>0.87153417566733826</v>
      </c>
      <c r="Z428">
        <v>0.69442573581538702</v>
      </c>
      <c r="AA428">
        <v>0.79174452502334725</v>
      </c>
      <c r="AB428">
        <v>0.60811046324542195</v>
      </c>
      <c r="AC428">
        <v>0.58336718277625499</v>
      </c>
      <c r="AD428">
        <v>0.55291304545148734</v>
      </c>
      <c r="AE428">
        <v>0.74085484581564787</v>
      </c>
      <c r="AH428">
        <v>9.4881960196582682E-2</v>
      </c>
      <c r="AI428">
        <v>6.0817667470848158E-2</v>
      </c>
      <c r="AJ428">
        <v>7.8214073490266767E-2</v>
      </c>
      <c r="AK428">
        <v>0.26641151293692034</v>
      </c>
      <c r="AL428">
        <v>6.7345732290823745E-2</v>
      </c>
      <c r="AM428">
        <v>0.17776847916608474</v>
      </c>
      <c r="AN428">
        <v>2.9271386078594031E-2</v>
      </c>
      <c r="AO428">
        <v>0.25630787180552728</v>
      </c>
      <c r="AR428">
        <v>8.2423036115387429E-4</v>
      </c>
      <c r="AS428">
        <v>4.5296266444077027E-3</v>
      </c>
      <c r="AT428">
        <v>9.9956808663280092E-2</v>
      </c>
      <c r="AU428">
        <v>2.1575738062740157E-3</v>
      </c>
      <c r="AV428">
        <v>2.0173322986335451E-3</v>
      </c>
      <c r="AW428">
        <v>3.4088217691227163E-3</v>
      </c>
      <c r="AX428">
        <v>3.3281816925365078E-4</v>
      </c>
      <c r="AY428">
        <v>5.6107884073752778E-4</v>
      </c>
      <c r="BB428">
        <v>5.8386662687716417E-2</v>
      </c>
      <c r="BC428">
        <v>4.231563179082775E-2</v>
      </c>
      <c r="BE428">
        <v>31422.671797375922</v>
      </c>
      <c r="BF428">
        <v>20.641877049946448</v>
      </c>
      <c r="BG428">
        <v>33894.839448561936</v>
      </c>
      <c r="BH428">
        <v>20.591619154578886</v>
      </c>
    </row>
    <row r="429" spans="3:60" x14ac:dyDescent="0.2">
      <c r="C429" s="138">
        <v>30496.701571264246</v>
      </c>
      <c r="D429" s="138">
        <v>21.380903920547645</v>
      </c>
      <c r="E429" s="138">
        <v>32469.800589853028</v>
      </c>
      <c r="F429" s="138">
        <v>21.384106001602746</v>
      </c>
      <c r="G429" s="138">
        <v>-1973.0990185887822</v>
      </c>
      <c r="H429" s="138">
        <v>-3.2020810551003365E-3</v>
      </c>
      <c r="N429" s="138"/>
      <c r="O429" s="138"/>
      <c r="P429" s="138"/>
      <c r="R429">
        <v>206.09446048799333</v>
      </c>
      <c r="S429">
        <v>63.009938731179794</v>
      </c>
      <c r="T429">
        <v>252.35585255936473</v>
      </c>
      <c r="U429">
        <v>80.370875030573117</v>
      </c>
      <c r="X429">
        <v>0.86459189599609143</v>
      </c>
      <c r="Y429">
        <v>0.81512654968177101</v>
      </c>
      <c r="Z429">
        <v>0.68798388675597089</v>
      </c>
      <c r="AA429">
        <v>0.78528390083190713</v>
      </c>
      <c r="AB429">
        <v>0.67063770862277872</v>
      </c>
      <c r="AC429">
        <v>0.61818099209373556</v>
      </c>
      <c r="AD429">
        <v>0.7841443696753283</v>
      </c>
      <c r="AE429">
        <v>0.91279888396524289</v>
      </c>
      <c r="AH429">
        <v>4.0820509587697895E-2</v>
      </c>
      <c r="AI429">
        <v>0.10626073858677021</v>
      </c>
      <c r="AJ429">
        <v>0.15512626431317533</v>
      </c>
      <c r="AK429">
        <v>0.10989446337015962</v>
      </c>
      <c r="AL429">
        <v>3.3819394924908375E-2</v>
      </c>
      <c r="AM429">
        <v>0.16812340662659742</v>
      </c>
      <c r="AN429">
        <v>0.27159536367654802</v>
      </c>
      <c r="AO429">
        <v>2.5823196060577591E-2</v>
      </c>
      <c r="AR429">
        <v>8.144529019344333E-4</v>
      </c>
      <c r="AS429">
        <v>4.4885605653247219E-3</v>
      </c>
      <c r="AT429">
        <v>0.10043306853863743</v>
      </c>
      <c r="AU429">
        <v>1.7786073298025934E-3</v>
      </c>
      <c r="AV429">
        <v>2.1003120457044888E-3</v>
      </c>
      <c r="AW429">
        <v>3.0678955424506865E-3</v>
      </c>
      <c r="AX429">
        <v>5.500960333905125E-4</v>
      </c>
      <c r="AY429">
        <v>4.294034238650498E-4</v>
      </c>
      <c r="BB429">
        <v>5.3682331382900572E-2</v>
      </c>
      <c r="BC429">
        <v>2.7355244935279379E-2</v>
      </c>
      <c r="BE429">
        <v>30496.701571264246</v>
      </c>
      <c r="BF429">
        <v>21.380903920547645</v>
      </c>
      <c r="BG429">
        <v>32469.800589853028</v>
      </c>
      <c r="BH429">
        <v>21.384106001602746</v>
      </c>
    </row>
    <row r="430" spans="3:60" x14ac:dyDescent="0.2">
      <c r="C430" s="138">
        <v>29115.84330350786</v>
      </c>
      <c r="D430" s="138">
        <v>20.776206279597439</v>
      </c>
      <c r="E430" s="138">
        <v>31393.245260456373</v>
      </c>
      <c r="F430" s="138">
        <v>20.727210520145448</v>
      </c>
      <c r="G430" s="138">
        <v>-2277.4019569485135</v>
      </c>
      <c r="H430" s="138">
        <v>4.899575945199075E-2</v>
      </c>
      <c r="N430" s="138"/>
      <c r="O430" s="138"/>
      <c r="P430" s="138"/>
      <c r="R430">
        <v>279.60471874711965</v>
      </c>
      <c r="S430">
        <v>59.18455970520364</v>
      </c>
      <c r="T430">
        <v>220.61955635643733</v>
      </c>
      <c r="U430">
        <v>120.85049200712697</v>
      </c>
      <c r="X430">
        <v>0.76162837249278525</v>
      </c>
      <c r="Y430">
        <v>0.87783751413277988</v>
      </c>
      <c r="Z430">
        <v>0.76343939864141541</v>
      </c>
      <c r="AA430">
        <v>0.88818707825105692</v>
      </c>
      <c r="AB430">
        <v>0.71223705438264107</v>
      </c>
      <c r="AC430">
        <v>0.76072529193606753</v>
      </c>
      <c r="AD430">
        <v>0.74735526921105355</v>
      </c>
      <c r="AE430">
        <v>0.706171462799562</v>
      </c>
      <c r="AH430">
        <v>0.19639797742956344</v>
      </c>
      <c r="AI430">
        <v>9.1550061257554827E-2</v>
      </c>
      <c r="AJ430">
        <v>0.2116736626448501</v>
      </c>
      <c r="AK430">
        <v>0.180630038810213</v>
      </c>
      <c r="AL430">
        <v>0.2025983304392045</v>
      </c>
      <c r="AM430">
        <v>5.7899687161043545E-2</v>
      </c>
      <c r="AN430">
        <v>0.14840491072482365</v>
      </c>
      <c r="AO430">
        <v>6.3743587301416049E-2</v>
      </c>
      <c r="AR430">
        <v>9.242986990926072E-4</v>
      </c>
      <c r="AS430">
        <v>4.4333137992686508E-3</v>
      </c>
      <c r="AT430">
        <v>0.10004221669904068</v>
      </c>
      <c r="AU430">
        <v>1.9975456275422854E-3</v>
      </c>
      <c r="AV430">
        <v>2.0770311601440161E-3</v>
      </c>
      <c r="AW430">
        <v>3.5810459467776612E-3</v>
      </c>
      <c r="AX430">
        <v>3.4001790974741111E-4</v>
      </c>
      <c r="AY430">
        <v>5.7074382475852392E-4</v>
      </c>
      <c r="BB430">
        <v>4.6196503724643095E-2</v>
      </c>
      <c r="BC430">
        <v>3.4093121221141803E-2</v>
      </c>
      <c r="BE430">
        <v>29115.84330350786</v>
      </c>
      <c r="BF430">
        <v>20.776206279597439</v>
      </c>
      <c r="BG430">
        <v>31393.245260456373</v>
      </c>
      <c r="BH430">
        <v>20.727210520145448</v>
      </c>
    </row>
    <row r="431" spans="3:60" x14ac:dyDescent="0.2">
      <c r="C431" s="138">
        <v>30876.973645135906</v>
      </c>
      <c r="D431" s="138">
        <v>21.378556687917076</v>
      </c>
      <c r="E431" s="138">
        <v>33011.288825505006</v>
      </c>
      <c r="F431" s="138">
        <v>21.353104938445412</v>
      </c>
      <c r="G431" s="138">
        <v>-2134.3151803690998</v>
      </c>
      <c r="H431" s="138">
        <v>2.5451749471663732E-2</v>
      </c>
      <c r="N431" s="138"/>
      <c r="O431" s="138"/>
      <c r="P431" s="138"/>
      <c r="R431">
        <v>168.8874592776304</v>
      </c>
      <c r="S431">
        <v>64.828403578991399</v>
      </c>
      <c r="T431">
        <v>286.54383981942931</v>
      </c>
      <c r="U431">
        <v>108.41424472008642</v>
      </c>
      <c r="X431">
        <v>0.70790205784481841</v>
      </c>
      <c r="Y431">
        <v>0.39808796816157993</v>
      </c>
      <c r="Z431">
        <v>0.8230474431512218</v>
      </c>
      <c r="AA431">
        <v>0.66214185985089868</v>
      </c>
      <c r="AB431">
        <v>0.6257788133223311</v>
      </c>
      <c r="AC431">
        <v>0.88246975411986894</v>
      </c>
      <c r="AD431">
        <v>0.63381801738833965</v>
      </c>
      <c r="AE431">
        <v>0.83650359415844744</v>
      </c>
      <c r="AH431">
        <v>9.7233347599955167E-2</v>
      </c>
      <c r="AI431">
        <v>4.349907423978705E-2</v>
      </c>
      <c r="AJ431">
        <v>8.1710230240267245E-2</v>
      </c>
      <c r="AK431">
        <v>7.6056091431872641E-2</v>
      </c>
      <c r="AL431">
        <v>0.20001654930520307</v>
      </c>
      <c r="AM431">
        <v>0.12541469782772008</v>
      </c>
      <c r="AN431">
        <v>7.5945254798107653E-2</v>
      </c>
      <c r="AO431">
        <v>9.1720398453664864E-2</v>
      </c>
      <c r="AR431">
        <v>8.512264303942831E-4</v>
      </c>
      <c r="AS431">
        <v>4.5932429753293702E-3</v>
      </c>
      <c r="AT431">
        <v>0.10033832346523031</v>
      </c>
      <c r="AU431">
        <v>2.2127310026438529E-3</v>
      </c>
      <c r="AV431">
        <v>2.2025864242666282E-3</v>
      </c>
      <c r="AW431">
        <v>3.3712244293935445E-3</v>
      </c>
      <c r="AX431">
        <v>3.8225250029033284E-4</v>
      </c>
      <c r="AY431">
        <v>4.5118850542880118E-4</v>
      </c>
      <c r="BB431">
        <v>4.7565038515193982E-2</v>
      </c>
      <c r="BC431">
        <v>8.2231418432914594E-2</v>
      </c>
      <c r="BE431">
        <v>30876.973645135906</v>
      </c>
      <c r="BF431">
        <v>21.378556687917076</v>
      </c>
      <c r="BG431">
        <v>33011.288825505006</v>
      </c>
      <c r="BH431">
        <v>21.353104938445412</v>
      </c>
    </row>
    <row r="432" spans="3:60" x14ac:dyDescent="0.2">
      <c r="C432" s="138">
        <v>33943.685727689801</v>
      </c>
      <c r="D432" s="138">
        <v>21.002346461925999</v>
      </c>
      <c r="E432" s="138">
        <v>36073.375445184065</v>
      </c>
      <c r="F432" s="138">
        <v>20.957077291047035</v>
      </c>
      <c r="G432" s="138">
        <v>-2129.6897174942642</v>
      </c>
      <c r="H432" s="138">
        <v>4.5269170878963649E-2</v>
      </c>
      <c r="N432" s="138"/>
      <c r="O432" s="138"/>
      <c r="P432" s="138"/>
      <c r="R432">
        <v>191.35370604709394</v>
      </c>
      <c r="S432">
        <v>62.491331401401169</v>
      </c>
      <c r="T432">
        <v>186.74907807853336</v>
      </c>
      <c r="U432">
        <v>98.977246757175948</v>
      </c>
      <c r="X432">
        <v>0.88246716628878663</v>
      </c>
      <c r="Y432">
        <v>0.67759996048176296</v>
      </c>
      <c r="Z432">
        <v>0.80440179689905333</v>
      </c>
      <c r="AA432">
        <v>0.96851919228241168</v>
      </c>
      <c r="AB432">
        <v>0.45384784159734187</v>
      </c>
      <c r="AC432">
        <v>0.82265722001917319</v>
      </c>
      <c r="AD432">
        <v>0.58539798113928476</v>
      </c>
      <c r="AE432">
        <v>0.65422096522131468</v>
      </c>
      <c r="AH432">
        <v>5.6162346898604554E-2</v>
      </c>
      <c r="AI432">
        <v>3.1479030002829034E-2</v>
      </c>
      <c r="AJ432">
        <v>6.7021798429305446E-2</v>
      </c>
      <c r="AK432">
        <v>0.10812028017795838</v>
      </c>
      <c r="AL432">
        <v>8.0221550283478105E-2</v>
      </c>
      <c r="AM432">
        <v>3.1207501584104347E-2</v>
      </c>
      <c r="AN432">
        <v>5.846468705978547E-2</v>
      </c>
      <c r="AO432">
        <v>3.0906103289345621E-2</v>
      </c>
      <c r="AR432">
        <v>7.4639938901832723E-4</v>
      </c>
      <c r="AS432">
        <v>4.4782576782332328E-3</v>
      </c>
      <c r="AT432">
        <v>9.8996324203470779E-2</v>
      </c>
      <c r="AU432">
        <v>2.2412016888535558E-3</v>
      </c>
      <c r="AV432">
        <v>2.0967830479104999E-3</v>
      </c>
      <c r="AW432">
        <v>3.6846818605671405E-3</v>
      </c>
      <c r="AX432">
        <v>3.9032670872584199E-4</v>
      </c>
      <c r="AY432">
        <v>4.854629493102891E-4</v>
      </c>
      <c r="BB432">
        <v>5.3701927675705585E-2</v>
      </c>
      <c r="BC432">
        <v>3.2901029572985963E-2</v>
      </c>
      <c r="BE432">
        <v>33943.685727689801</v>
      </c>
      <c r="BF432">
        <v>21.002346461925999</v>
      </c>
      <c r="BG432">
        <v>36073.375445184065</v>
      </c>
      <c r="BH432">
        <v>20.957077291047035</v>
      </c>
    </row>
    <row r="433" spans="3:60" x14ac:dyDescent="0.2">
      <c r="C433" s="138">
        <v>25759.934965806697</v>
      </c>
      <c r="D433" s="138">
        <v>19.668313942234537</v>
      </c>
      <c r="E433" s="138">
        <v>27775.620334409505</v>
      </c>
      <c r="F433" s="138">
        <v>19.585242764625416</v>
      </c>
      <c r="G433" s="138">
        <v>-2015.685368602808</v>
      </c>
      <c r="H433" s="138">
        <v>8.3071177609120639E-2</v>
      </c>
      <c r="N433" s="138"/>
      <c r="O433" s="138"/>
      <c r="P433" s="138"/>
      <c r="R433">
        <v>214.13690415244238</v>
      </c>
      <c r="S433">
        <v>71.95540249211588</v>
      </c>
      <c r="T433">
        <v>228.62699967449981</v>
      </c>
      <c r="U433">
        <v>95.074130788416355</v>
      </c>
      <c r="X433">
        <v>0.84914584529942061</v>
      </c>
      <c r="Y433">
        <v>0.83257783147217423</v>
      </c>
      <c r="Z433">
        <v>0.51449921940321564</v>
      </c>
      <c r="AA433">
        <v>0.85723649462766982</v>
      </c>
      <c r="AB433">
        <v>0.74876317382053847</v>
      </c>
      <c r="AC433">
        <v>0.68557696350611563</v>
      </c>
      <c r="AD433">
        <v>0.9242659298266459</v>
      </c>
      <c r="AE433">
        <v>0.7593127595329513</v>
      </c>
      <c r="AH433">
        <v>0.20631700260588248</v>
      </c>
      <c r="AI433">
        <v>0.16533983664759078</v>
      </c>
      <c r="AJ433">
        <v>0.1011216054031352</v>
      </c>
      <c r="AK433">
        <v>7.0914150655214225E-2</v>
      </c>
      <c r="AL433">
        <v>9.0836186858736179E-2</v>
      </c>
      <c r="AM433">
        <v>6.5062947312543473E-2</v>
      </c>
      <c r="AN433">
        <v>5.7174096206980218E-2</v>
      </c>
      <c r="AO433">
        <v>6.3188341411173021E-2</v>
      </c>
      <c r="AR433">
        <v>8.4037870211136473E-4</v>
      </c>
      <c r="AS433">
        <v>4.3638943705999701E-3</v>
      </c>
      <c r="AT433">
        <v>9.9224463989225284E-2</v>
      </c>
      <c r="AU433">
        <v>2.1061977680618682E-3</v>
      </c>
      <c r="AV433">
        <v>1.8406576475444166E-3</v>
      </c>
      <c r="AW433">
        <v>3.224505530391815E-3</v>
      </c>
      <c r="AX433">
        <v>4.0916921276645812E-4</v>
      </c>
      <c r="AY433">
        <v>4.1581795185563627E-4</v>
      </c>
      <c r="BB433">
        <v>5.2834985756552766E-2</v>
      </c>
      <c r="BC433">
        <v>2.8905712852514899E-2</v>
      </c>
      <c r="BE433">
        <v>25759.934965806697</v>
      </c>
      <c r="BF433">
        <v>19.668313942234537</v>
      </c>
      <c r="BG433">
        <v>27775.620334409505</v>
      </c>
      <c r="BH433">
        <v>19.585242764625416</v>
      </c>
    </row>
    <row r="434" spans="3:60" x14ac:dyDescent="0.2">
      <c r="C434" s="138">
        <v>36357.360440917502</v>
      </c>
      <c r="D434" s="138">
        <v>21.499967973219956</v>
      </c>
      <c r="E434" s="138">
        <v>38999.876481195497</v>
      </c>
      <c r="F434" s="138">
        <v>21.4674772065982</v>
      </c>
      <c r="G434" s="138">
        <v>-2642.5160402779948</v>
      </c>
      <c r="H434" s="138">
        <v>3.249076662175554E-2</v>
      </c>
      <c r="N434" s="138"/>
      <c r="O434" s="138"/>
      <c r="P434" s="138"/>
      <c r="R434">
        <v>336.11476782314105</v>
      </c>
      <c r="S434">
        <v>50.395086050052996</v>
      </c>
      <c r="T434">
        <v>195.43431917529773</v>
      </c>
      <c r="U434">
        <v>102.58547233202248</v>
      </c>
      <c r="X434">
        <v>0.80739625665145331</v>
      </c>
      <c r="Y434">
        <v>0.73233252388676895</v>
      </c>
      <c r="Z434">
        <v>0.76765488127879089</v>
      </c>
      <c r="AA434">
        <v>0.71236734939681134</v>
      </c>
      <c r="AB434">
        <v>0.76659509774782453</v>
      </c>
      <c r="AC434">
        <v>0.7743402377994355</v>
      </c>
      <c r="AD434">
        <v>0.87400687110436981</v>
      </c>
      <c r="AE434">
        <v>0.85631075887681407</v>
      </c>
      <c r="AH434">
        <v>7.6671955099669509E-2</v>
      </c>
      <c r="AI434">
        <v>0.12319232164653726</v>
      </c>
      <c r="AJ434">
        <v>0.12027845127202708</v>
      </c>
      <c r="AK434">
        <v>0.14653431606426737</v>
      </c>
      <c r="AL434">
        <v>0.14653410510466713</v>
      </c>
      <c r="AM434">
        <v>1.1100750502709644E-2</v>
      </c>
      <c r="AN434">
        <v>0.12566386639204519</v>
      </c>
      <c r="AO434">
        <v>0.25178941377612241</v>
      </c>
      <c r="AR434">
        <v>9.1999588789604125E-4</v>
      </c>
      <c r="AS434">
        <v>4.6966697730090878E-3</v>
      </c>
      <c r="AT434">
        <v>0.101383900146919</v>
      </c>
      <c r="AU434">
        <v>2.2835295914866993E-3</v>
      </c>
      <c r="AV434">
        <v>2.0089537429863746E-3</v>
      </c>
      <c r="AW434">
        <v>3.3506213770356855E-3</v>
      </c>
      <c r="AX434">
        <v>3.5783830221291965E-4</v>
      </c>
      <c r="AY434">
        <v>3.5401284294215164E-4</v>
      </c>
      <c r="BB434">
        <v>5.3043969923427525E-2</v>
      </c>
      <c r="BC434">
        <v>4.0374487587379056E-2</v>
      </c>
      <c r="BE434">
        <v>36357.360440917502</v>
      </c>
      <c r="BF434">
        <v>21.499967973219956</v>
      </c>
      <c r="BG434">
        <v>38999.876481195497</v>
      </c>
      <c r="BH434">
        <v>21.4674772065982</v>
      </c>
    </row>
    <row r="435" spans="3:60" x14ac:dyDescent="0.2">
      <c r="C435" s="138">
        <v>29062.311913852496</v>
      </c>
      <c r="D435" s="138">
        <v>20.407925042929055</v>
      </c>
      <c r="E435" s="138">
        <v>31568.05041900204</v>
      </c>
      <c r="F435" s="138">
        <v>20.340392536027551</v>
      </c>
      <c r="G435" s="138">
        <v>-2505.7385051495439</v>
      </c>
      <c r="H435" s="138">
        <v>6.7532506901503808E-2</v>
      </c>
      <c r="N435" s="138"/>
      <c r="O435" s="138"/>
      <c r="P435" s="138"/>
      <c r="R435">
        <v>253.36163051942995</v>
      </c>
      <c r="S435">
        <v>70.430185033830938</v>
      </c>
      <c r="T435">
        <v>210.65061121793283</v>
      </c>
      <c r="U435">
        <v>73.320201413561563</v>
      </c>
      <c r="X435">
        <v>0.79280131431624024</v>
      </c>
      <c r="Y435">
        <v>0.6834104917542877</v>
      </c>
      <c r="Z435">
        <v>0.83477542472538402</v>
      </c>
      <c r="AA435">
        <v>0.74441012334080858</v>
      </c>
      <c r="AB435">
        <v>0.95768420701367352</v>
      </c>
      <c r="AC435">
        <v>0.58876707273223861</v>
      </c>
      <c r="AD435">
        <v>0.78530128636423158</v>
      </c>
      <c r="AE435">
        <v>0.69167257454823383</v>
      </c>
      <c r="AH435">
        <v>3.9070374756997373E-2</v>
      </c>
      <c r="AI435">
        <v>0.21949298455812782</v>
      </c>
      <c r="AJ435">
        <v>0.18340035113159847</v>
      </c>
      <c r="AK435">
        <v>0.14683026989676407</v>
      </c>
      <c r="AL435">
        <v>0.16192624987254678</v>
      </c>
      <c r="AM435">
        <v>0.20122389548073683</v>
      </c>
      <c r="AN435">
        <v>0.20990883261634041</v>
      </c>
      <c r="AO435">
        <v>5.5105606407185648E-2</v>
      </c>
      <c r="AR435">
        <v>8.1108929407455429E-4</v>
      </c>
      <c r="AS435">
        <v>4.3937034477623746E-3</v>
      </c>
      <c r="AT435">
        <v>9.9089109992646446E-2</v>
      </c>
      <c r="AU435">
        <v>2.096010175037244E-3</v>
      </c>
      <c r="AV435">
        <v>2.2200530718460287E-3</v>
      </c>
      <c r="AW435">
        <v>3.4807575997510831E-3</v>
      </c>
      <c r="AX435">
        <v>4.9281227782904669E-4</v>
      </c>
      <c r="AY435">
        <v>5.1507069550149609E-4</v>
      </c>
      <c r="BB435">
        <v>5.8848033845387948E-2</v>
      </c>
      <c r="BC435">
        <v>3.400313220876576E-2</v>
      </c>
      <c r="BE435">
        <v>29062.311913852496</v>
      </c>
      <c r="BF435">
        <v>20.407925042929055</v>
      </c>
      <c r="BG435">
        <v>31568.05041900204</v>
      </c>
      <c r="BH435">
        <v>20.340392536027551</v>
      </c>
    </row>
    <row r="436" spans="3:60" x14ac:dyDescent="0.2">
      <c r="C436" s="138">
        <v>34968.821210930975</v>
      </c>
      <c r="D436" s="138">
        <v>21.402381782204319</v>
      </c>
      <c r="E436" s="138">
        <v>37518.363277884266</v>
      </c>
      <c r="F436" s="138">
        <v>21.375302706043925</v>
      </c>
      <c r="G436" s="138">
        <v>-2549.5420669532905</v>
      </c>
      <c r="H436" s="138">
        <v>2.7079076160394067E-2</v>
      </c>
      <c r="N436" s="138"/>
      <c r="O436" s="138"/>
      <c r="P436" s="138"/>
      <c r="R436">
        <v>93.716014958416679</v>
      </c>
      <c r="S436">
        <v>66.597604074625323</v>
      </c>
      <c r="T436">
        <v>210.57560223210146</v>
      </c>
      <c r="U436">
        <v>91.290713523884094</v>
      </c>
      <c r="X436">
        <v>0.78389667411443498</v>
      </c>
      <c r="Y436">
        <v>0.74958647054050487</v>
      </c>
      <c r="Z436">
        <v>0.79555643725348046</v>
      </c>
      <c r="AA436">
        <v>0.46035652462349824</v>
      </c>
      <c r="AB436">
        <v>0.66268043680779298</v>
      </c>
      <c r="AC436">
        <v>0.81114055508291605</v>
      </c>
      <c r="AD436">
        <v>0.55105931124900576</v>
      </c>
      <c r="AE436">
        <v>0.66047931457776243</v>
      </c>
      <c r="AH436">
        <v>8.3144113797428032E-2</v>
      </c>
      <c r="AI436">
        <v>5.8749364844370877E-2</v>
      </c>
      <c r="AJ436">
        <v>0.19292787128584921</v>
      </c>
      <c r="AK436">
        <v>3.0417330761454253E-2</v>
      </c>
      <c r="AL436">
        <v>0.21326979941204238</v>
      </c>
      <c r="AM436">
        <v>9.7511224702110155E-2</v>
      </c>
      <c r="AN436">
        <v>3.8799700359849143E-2</v>
      </c>
      <c r="AO436">
        <v>6.142071845837993E-2</v>
      </c>
      <c r="AR436">
        <v>9.7131362773483776E-4</v>
      </c>
      <c r="AS436">
        <v>4.6691731234362877E-3</v>
      </c>
      <c r="AT436">
        <v>9.9862456281127998E-2</v>
      </c>
      <c r="AU436">
        <v>1.9766512895905437E-3</v>
      </c>
      <c r="AV436">
        <v>2.0787090818850107E-3</v>
      </c>
      <c r="AW436">
        <v>3.3356661680498129E-3</v>
      </c>
      <c r="AX436">
        <v>3.4709169890407985E-4</v>
      </c>
      <c r="AY436">
        <v>4.0161641878544402E-4</v>
      </c>
      <c r="BB436">
        <v>4.3751827503353991E-2</v>
      </c>
      <c r="BC436">
        <v>5.1700947334058611E-2</v>
      </c>
      <c r="BE436">
        <v>34968.821210930975</v>
      </c>
      <c r="BF436">
        <v>21.402381782204319</v>
      </c>
      <c r="BG436">
        <v>37518.363277884266</v>
      </c>
      <c r="BH436">
        <v>21.375302706043925</v>
      </c>
    </row>
    <row r="437" spans="3:60" x14ac:dyDescent="0.2">
      <c r="C437" s="138">
        <v>30110.940319468915</v>
      </c>
      <c r="D437" s="138">
        <v>21.240880387660855</v>
      </c>
      <c r="E437" s="138">
        <v>32066.2850368455</v>
      </c>
      <c r="F437" s="138">
        <v>21.233048818381093</v>
      </c>
      <c r="G437" s="138">
        <v>-1955.3447173765853</v>
      </c>
      <c r="H437" s="138">
        <v>7.8315692797623626E-3</v>
      </c>
      <c r="N437" s="138"/>
      <c r="O437" s="138"/>
      <c r="P437" s="138"/>
      <c r="R437">
        <v>320.29696394148016</v>
      </c>
      <c r="S437">
        <v>61.520725763606364</v>
      </c>
      <c r="T437">
        <v>284.55120615222302</v>
      </c>
      <c r="U437">
        <v>102.4987677736262</v>
      </c>
      <c r="X437">
        <v>0.61052943775826463</v>
      </c>
      <c r="Y437">
        <v>0.83681557368263626</v>
      </c>
      <c r="Z437">
        <v>0.73371067024373426</v>
      </c>
      <c r="AA437">
        <v>0.66948654830464094</v>
      </c>
      <c r="AB437">
        <v>0.77189627432623942</v>
      </c>
      <c r="AC437">
        <v>0.84196605913572298</v>
      </c>
      <c r="AD437">
        <v>0.6341065683104874</v>
      </c>
      <c r="AE437">
        <v>0.87162646914775066</v>
      </c>
      <c r="AH437">
        <v>5.9490343216043851E-2</v>
      </c>
      <c r="AI437">
        <v>0.14265356967915965</v>
      </c>
      <c r="AJ437">
        <v>4.5422494789096768E-2</v>
      </c>
      <c r="AK437">
        <v>8.0164737672929531E-2</v>
      </c>
      <c r="AL437">
        <v>0.11876420023966194</v>
      </c>
      <c r="AM437">
        <v>0.12725859455705812</v>
      </c>
      <c r="AN437">
        <v>2.1088180955981084E-2</v>
      </c>
      <c r="AO437">
        <v>7.6211664825195036E-2</v>
      </c>
      <c r="AR437">
        <v>7.121495923448479E-4</v>
      </c>
      <c r="AS437">
        <v>4.3710984005665412E-3</v>
      </c>
      <c r="AT437">
        <v>0.10011516501380324</v>
      </c>
      <c r="AU437">
        <v>1.8883673224959503E-3</v>
      </c>
      <c r="AV437">
        <v>2.2782113491196521E-3</v>
      </c>
      <c r="AW437">
        <v>3.3047940556508696E-3</v>
      </c>
      <c r="AX437">
        <v>4.1094545636299884E-4</v>
      </c>
      <c r="AY437">
        <v>3.7590973264299972E-4</v>
      </c>
      <c r="BB437">
        <v>5.1401004081027879E-2</v>
      </c>
      <c r="BC437">
        <v>4.1866554814635561E-2</v>
      </c>
      <c r="BE437">
        <v>30110.940319468915</v>
      </c>
      <c r="BF437">
        <v>21.240880387660855</v>
      </c>
      <c r="BG437">
        <v>32066.2850368455</v>
      </c>
      <c r="BH437">
        <v>21.233048818381093</v>
      </c>
    </row>
    <row r="438" spans="3:60" x14ac:dyDescent="0.2">
      <c r="C438" s="138">
        <v>33109.222177995332</v>
      </c>
      <c r="D438" s="138">
        <v>21.157585393015676</v>
      </c>
      <c r="E438" s="138">
        <v>35325.045397510003</v>
      </c>
      <c r="F438" s="138">
        <v>21.15131317467581</v>
      </c>
      <c r="G438" s="138">
        <v>-2215.8232195146702</v>
      </c>
      <c r="H438" s="138">
        <v>6.2722183398662423E-3</v>
      </c>
      <c r="N438" s="138"/>
      <c r="O438" s="138"/>
      <c r="P438" s="138"/>
      <c r="R438">
        <v>159.88963513994989</v>
      </c>
      <c r="S438">
        <v>57.266974457141835</v>
      </c>
      <c r="T438">
        <v>274.99003557139991</v>
      </c>
      <c r="U438">
        <v>106.4561581429648</v>
      </c>
      <c r="X438">
        <v>0.68061660057251683</v>
      </c>
      <c r="Y438">
        <v>0.91824002905069491</v>
      </c>
      <c r="Z438">
        <v>0.63056289023361611</v>
      </c>
      <c r="AA438">
        <v>0.97094239450189068</v>
      </c>
      <c r="AB438">
        <v>0.72086822189307975</v>
      </c>
      <c r="AC438">
        <v>0.76479672038907576</v>
      </c>
      <c r="AD438">
        <v>0.83015212894017532</v>
      </c>
      <c r="AE438">
        <v>0.90114498101439433</v>
      </c>
      <c r="AH438">
        <v>0.1121392913014051</v>
      </c>
      <c r="AI438">
        <v>1.0017282136729921E-2</v>
      </c>
      <c r="AJ438">
        <v>0.16737212708622828</v>
      </c>
      <c r="AK438">
        <v>7.4149948932900722E-2</v>
      </c>
      <c r="AL438">
        <v>0.12662038051618996</v>
      </c>
      <c r="AM438">
        <v>0.42807204551187172</v>
      </c>
      <c r="AN438">
        <v>0.2597555707957977</v>
      </c>
      <c r="AO438">
        <v>8.9211952279825812E-2</v>
      </c>
      <c r="AR438">
        <v>9.9605568056992944E-4</v>
      </c>
      <c r="AS438">
        <v>4.6377618875295124E-3</v>
      </c>
      <c r="AT438">
        <v>9.9537810748855635E-2</v>
      </c>
      <c r="AU438">
        <v>1.9798784196747351E-3</v>
      </c>
      <c r="AV438">
        <v>2.1105792428882664E-3</v>
      </c>
      <c r="AW438">
        <v>3.3795008965505514E-3</v>
      </c>
      <c r="AX438">
        <v>4.6906545211244932E-4</v>
      </c>
      <c r="AY438">
        <v>4.7567154427896607E-4</v>
      </c>
      <c r="BB438">
        <v>4.4694296582322997E-2</v>
      </c>
      <c r="BC438">
        <v>3.4211266521921462E-2</v>
      </c>
      <c r="BE438">
        <v>33109.222177995332</v>
      </c>
      <c r="BF438">
        <v>21.157585393015676</v>
      </c>
      <c r="BG438">
        <v>35325.045397510003</v>
      </c>
      <c r="BH438">
        <v>21.15131317467581</v>
      </c>
    </row>
    <row r="439" spans="3:60" x14ac:dyDescent="0.2">
      <c r="C439" s="138">
        <v>25749.04761673044</v>
      </c>
      <c r="D439" s="138">
        <v>20.136091264544394</v>
      </c>
      <c r="E439" s="138">
        <v>27668.769713837602</v>
      </c>
      <c r="F439" s="138">
        <v>20.094617997285344</v>
      </c>
      <c r="G439" s="138">
        <v>-1919.722097107162</v>
      </c>
      <c r="H439" s="138">
        <v>4.1473267259050317E-2</v>
      </c>
      <c r="N439" s="138"/>
      <c r="O439" s="138"/>
      <c r="P439" s="138"/>
      <c r="R439">
        <v>197.86835758907006</v>
      </c>
      <c r="S439">
        <v>65.750962285873996</v>
      </c>
      <c r="T439">
        <v>202.75872557972426</v>
      </c>
      <c r="U439">
        <v>89.863829843342643</v>
      </c>
      <c r="X439">
        <v>0.75492569092388173</v>
      </c>
      <c r="Y439">
        <v>0.861392500100578</v>
      </c>
      <c r="Z439">
        <v>0.85821936926244113</v>
      </c>
      <c r="AA439">
        <v>0.61541321184606046</v>
      </c>
      <c r="AB439">
        <v>0.8576652517426524</v>
      </c>
      <c r="AC439">
        <v>0.65961027925220783</v>
      </c>
      <c r="AD439">
        <v>0.6904498672129058</v>
      </c>
      <c r="AE439">
        <v>0.87544635421771666</v>
      </c>
      <c r="AH439">
        <v>6.7556083465445838E-2</v>
      </c>
      <c r="AI439">
        <v>6.5589195608042772E-2</v>
      </c>
      <c r="AJ439">
        <v>8.196408614273154E-2</v>
      </c>
      <c r="AK439">
        <v>2.8539593842368927E-2</v>
      </c>
      <c r="AL439">
        <v>8.4796775407647851E-2</v>
      </c>
      <c r="AM439">
        <v>3.7919743430371522E-2</v>
      </c>
      <c r="AN439">
        <v>2.5561589741068369E-2</v>
      </c>
      <c r="AO439">
        <v>0.20439616089133261</v>
      </c>
      <c r="AR439">
        <v>1.019669767466036E-3</v>
      </c>
      <c r="AS439">
        <v>4.6481031873474299E-3</v>
      </c>
      <c r="AT439">
        <v>9.9476557853676845E-2</v>
      </c>
      <c r="AU439">
        <v>1.7307895084484194E-3</v>
      </c>
      <c r="AV439">
        <v>2.1312346226904921E-3</v>
      </c>
      <c r="AW439">
        <v>3.2247633276250107E-3</v>
      </c>
      <c r="AX439">
        <v>2.853136758081424E-4</v>
      </c>
      <c r="AY439">
        <v>4.2163245846241139E-4</v>
      </c>
      <c r="BB439">
        <v>4.8874294234421224E-2</v>
      </c>
      <c r="BC439">
        <v>3.8266775935262294E-2</v>
      </c>
      <c r="BE439">
        <v>25749.04761673044</v>
      </c>
      <c r="BF439">
        <v>20.136091264544394</v>
      </c>
      <c r="BG439">
        <v>27668.769713837602</v>
      </c>
      <c r="BH439">
        <v>20.094617997285344</v>
      </c>
    </row>
    <row r="440" spans="3:60" x14ac:dyDescent="0.2">
      <c r="C440" s="138">
        <v>30658.756848029654</v>
      </c>
      <c r="D440" s="138">
        <v>20.39397770160139</v>
      </c>
      <c r="E440" s="138">
        <v>32685.336895816992</v>
      </c>
      <c r="F440" s="138">
        <v>20.358494031033921</v>
      </c>
      <c r="G440" s="138">
        <v>-2026.5800477873381</v>
      </c>
      <c r="H440" s="138">
        <v>3.5483670567469261E-2</v>
      </c>
      <c r="N440" s="138"/>
      <c r="O440" s="138"/>
      <c r="P440" s="138"/>
      <c r="R440">
        <v>141.59257715717993</v>
      </c>
      <c r="S440">
        <v>54.159541741974266</v>
      </c>
      <c r="T440">
        <v>257.08737201544164</v>
      </c>
      <c r="U440">
        <v>110.65244533194434</v>
      </c>
      <c r="X440">
        <v>0.75149387550816549</v>
      </c>
      <c r="Y440">
        <v>0.68637807669768924</v>
      </c>
      <c r="Z440">
        <v>0.88662357256640045</v>
      </c>
      <c r="AA440">
        <v>0.93924144066597148</v>
      </c>
      <c r="AB440">
        <v>0.78686416556262495</v>
      </c>
      <c r="AC440">
        <v>0.81464139168610283</v>
      </c>
      <c r="AD440">
        <v>0.87056053880456652</v>
      </c>
      <c r="AE440">
        <v>0.88353209938774546</v>
      </c>
      <c r="AH440">
        <v>7.2496737995040972E-2</v>
      </c>
      <c r="AI440">
        <v>0.10820942731975458</v>
      </c>
      <c r="AJ440">
        <v>0.30530514001603504</v>
      </c>
      <c r="AK440">
        <v>5.6198571354382665E-2</v>
      </c>
      <c r="AL440">
        <v>7.41284381884173E-2</v>
      </c>
      <c r="AM440">
        <v>0.16591549472905187</v>
      </c>
      <c r="AN440">
        <v>3.5416821478729377E-2</v>
      </c>
      <c r="AO440">
        <v>0.221802491642627</v>
      </c>
      <c r="AR440">
        <v>9.421919823571212E-4</v>
      </c>
      <c r="AS440">
        <v>4.3492242485003441E-3</v>
      </c>
      <c r="AT440">
        <v>9.9512646934211718E-2</v>
      </c>
      <c r="AU440">
        <v>1.8616967039236725E-3</v>
      </c>
      <c r="AV440">
        <v>2.1191820171243547E-3</v>
      </c>
      <c r="AW440">
        <v>3.835390740785205E-3</v>
      </c>
      <c r="AX440">
        <v>3.2375435636118822E-4</v>
      </c>
      <c r="AY440">
        <v>4.1139780692121662E-4</v>
      </c>
      <c r="BB440">
        <v>6.035448017297107E-2</v>
      </c>
      <c r="BC440">
        <v>3.0119377311935338E-2</v>
      </c>
      <c r="BE440">
        <v>30658.756848029654</v>
      </c>
      <c r="BF440">
        <v>20.39397770160139</v>
      </c>
      <c r="BG440">
        <v>32685.336895816992</v>
      </c>
      <c r="BH440">
        <v>20.358494031033921</v>
      </c>
    </row>
    <row r="441" spans="3:60" x14ac:dyDescent="0.2">
      <c r="C441" s="138">
        <v>31952.387947063842</v>
      </c>
      <c r="D441" s="138">
        <v>20.759026805622913</v>
      </c>
      <c r="E441" s="138">
        <v>34068.127845618175</v>
      </c>
      <c r="F441" s="138">
        <v>20.735794136702268</v>
      </c>
      <c r="G441" s="138">
        <v>-2115.7398985543332</v>
      </c>
      <c r="H441" s="138">
        <v>2.3232668920645239E-2</v>
      </c>
      <c r="N441" s="138"/>
      <c r="O441" s="138"/>
      <c r="P441" s="138"/>
      <c r="R441">
        <v>135.13667792681616</v>
      </c>
      <c r="S441">
        <v>65.175367896174663</v>
      </c>
      <c r="T441">
        <v>289.17450692816413</v>
      </c>
      <c r="U441">
        <v>73.617344767612238</v>
      </c>
      <c r="X441">
        <v>0.70520091219592218</v>
      </c>
      <c r="Y441">
        <v>0.47498904502605782</v>
      </c>
      <c r="Z441">
        <v>0.83198017830307736</v>
      </c>
      <c r="AA441">
        <v>0.83302471968318526</v>
      </c>
      <c r="AB441">
        <v>0.85756869418938264</v>
      </c>
      <c r="AC441">
        <v>0.52641418625571701</v>
      </c>
      <c r="AD441">
        <v>0.75619225932044021</v>
      </c>
      <c r="AE441">
        <v>0.59654199879188008</v>
      </c>
      <c r="AH441">
        <v>1.7163423895973584E-2</v>
      </c>
      <c r="AI441">
        <v>4.3035624359690106E-2</v>
      </c>
      <c r="AJ441">
        <v>0.30794182806740422</v>
      </c>
      <c r="AK441">
        <v>0.10176724477573085</v>
      </c>
      <c r="AL441">
        <v>4.5126072763087333E-2</v>
      </c>
      <c r="AM441">
        <v>7.7074936495017399E-2</v>
      </c>
      <c r="AN441">
        <v>3.1942367864485122E-2</v>
      </c>
      <c r="AO441">
        <v>0.13977130609327215</v>
      </c>
      <c r="AR441">
        <v>1.0154388661891556E-3</v>
      </c>
      <c r="AS441">
        <v>4.8574661330488267E-3</v>
      </c>
      <c r="AT441">
        <v>9.8427561978902511E-2</v>
      </c>
      <c r="AU441">
        <v>1.9461640163589756E-3</v>
      </c>
      <c r="AV441">
        <v>1.8952634018605534E-3</v>
      </c>
      <c r="AW441">
        <v>3.5695132392337126E-3</v>
      </c>
      <c r="AX441">
        <v>2.8389692716611733E-4</v>
      </c>
      <c r="AY441">
        <v>4.156428780182534E-4</v>
      </c>
      <c r="BB441">
        <v>5.1799039178746509E-2</v>
      </c>
      <c r="BC441">
        <v>8.3207120902327996E-3</v>
      </c>
      <c r="BE441">
        <v>31952.387947063842</v>
      </c>
      <c r="BF441">
        <v>20.759026805622913</v>
      </c>
      <c r="BG441">
        <v>34068.127845618175</v>
      </c>
      <c r="BH441">
        <v>20.735794136702268</v>
      </c>
    </row>
    <row r="442" spans="3:60" x14ac:dyDescent="0.2">
      <c r="C442" s="138">
        <v>33546.257989376718</v>
      </c>
      <c r="D442" s="138">
        <v>20.763254801988303</v>
      </c>
      <c r="E442" s="138">
        <v>35414.985935425218</v>
      </c>
      <c r="F442" s="138">
        <v>20.727517971290997</v>
      </c>
      <c r="G442" s="138">
        <v>-1868.7279460485006</v>
      </c>
      <c r="H442" s="138">
        <v>3.5736830697306488E-2</v>
      </c>
      <c r="N442" s="138"/>
      <c r="O442" s="138"/>
      <c r="P442" s="138"/>
      <c r="R442">
        <v>351.73667806807032</v>
      </c>
      <c r="S442">
        <v>71.194447928556883</v>
      </c>
      <c r="T442">
        <v>249.04851541356214</v>
      </c>
      <c r="U442">
        <v>109.31928589343987</v>
      </c>
      <c r="X442">
        <v>0.76055908783304238</v>
      </c>
      <c r="Y442">
        <v>0.63748170207560428</v>
      </c>
      <c r="Z442">
        <v>0.52520756866419294</v>
      </c>
      <c r="AA442">
        <v>0.68880016576321068</v>
      </c>
      <c r="AB442">
        <v>0.70469524840653153</v>
      </c>
      <c r="AC442">
        <v>0.66916628670748679</v>
      </c>
      <c r="AD442">
        <v>0.81369576915746766</v>
      </c>
      <c r="AE442">
        <v>0.60514731653258647</v>
      </c>
      <c r="AH442">
        <v>0.13218135183940116</v>
      </c>
      <c r="AI442">
        <v>4.2419223243730819E-2</v>
      </c>
      <c r="AJ442">
        <v>0.12940722411510597</v>
      </c>
      <c r="AK442">
        <v>0.19775551919605716</v>
      </c>
      <c r="AL442">
        <v>0.15179575573315596</v>
      </c>
      <c r="AM442">
        <v>0.17665635676157887</v>
      </c>
      <c r="AN442">
        <v>7.6681626690231042E-2</v>
      </c>
      <c r="AO442">
        <v>0.15428391824306464</v>
      </c>
      <c r="AR442">
        <v>8.203507634954978E-4</v>
      </c>
      <c r="AS442">
        <v>4.5922725071692039E-3</v>
      </c>
      <c r="AT442">
        <v>9.9268800131840043E-2</v>
      </c>
      <c r="AU442">
        <v>1.9101470612864508E-3</v>
      </c>
      <c r="AV442">
        <v>1.8597896717879991E-3</v>
      </c>
      <c r="AW442">
        <v>3.1384467743465439E-3</v>
      </c>
      <c r="AX442">
        <v>4.8661792603377219E-4</v>
      </c>
      <c r="AY442">
        <v>4.4879519468865592E-4</v>
      </c>
      <c r="BB442">
        <v>6.0002082855290406E-2</v>
      </c>
      <c r="BC442">
        <v>3.8102219435693092E-2</v>
      </c>
      <c r="BE442">
        <v>33546.257989376718</v>
      </c>
      <c r="BF442">
        <v>20.763254801988303</v>
      </c>
      <c r="BG442">
        <v>35414.985935425218</v>
      </c>
      <c r="BH442">
        <v>20.727517971290997</v>
      </c>
    </row>
    <row r="443" spans="3:60" x14ac:dyDescent="0.2">
      <c r="C443" s="138">
        <v>33252.902107875154</v>
      </c>
      <c r="D443" s="138">
        <v>20.508269199618194</v>
      </c>
      <c r="E443" s="138">
        <v>35678.038752956956</v>
      </c>
      <c r="F443" s="138">
        <v>20.456931328696907</v>
      </c>
      <c r="G443" s="138">
        <v>-2425.1366450818023</v>
      </c>
      <c r="H443" s="138">
        <v>5.1337870921287276E-2</v>
      </c>
      <c r="N443" s="138"/>
      <c r="O443" s="138"/>
      <c r="P443" s="138"/>
      <c r="R443">
        <v>103.98427912846833</v>
      </c>
      <c r="S443">
        <v>53.399033874387911</v>
      </c>
      <c r="T443">
        <v>231.61077351503667</v>
      </c>
      <c r="U443">
        <v>98.814874454049431</v>
      </c>
      <c r="X443">
        <v>0.72186690718355573</v>
      </c>
      <c r="Y443">
        <v>0.69035839996693571</v>
      </c>
      <c r="Z443">
        <v>0.73956549007812289</v>
      </c>
      <c r="AA443">
        <v>0.72674757331710793</v>
      </c>
      <c r="AB443">
        <v>0.69571307640976576</v>
      </c>
      <c r="AC443">
        <v>0.80220538115571938</v>
      </c>
      <c r="AD443">
        <v>0.71624553319541329</v>
      </c>
      <c r="AE443">
        <v>0.85507580082926271</v>
      </c>
      <c r="AH443">
        <v>8.1488494809877743E-2</v>
      </c>
      <c r="AI443">
        <v>9.6809872356388049E-2</v>
      </c>
      <c r="AJ443">
        <v>0.10270563315161718</v>
      </c>
      <c r="AK443">
        <v>0.33140165764334162</v>
      </c>
      <c r="AL443">
        <v>0.10162160583557112</v>
      </c>
      <c r="AM443">
        <v>7.8179946036545434E-2</v>
      </c>
      <c r="AN443">
        <v>4.8323602952204059E-2</v>
      </c>
      <c r="AO443">
        <v>9.8089526909521552E-2</v>
      </c>
      <c r="AR443">
        <v>9.3654788950292556E-4</v>
      </c>
      <c r="AS443">
        <v>4.4460905720955296E-3</v>
      </c>
      <c r="AT443">
        <v>9.910235392685976E-2</v>
      </c>
      <c r="AU443">
        <v>2.1277611812475783E-3</v>
      </c>
      <c r="AV443">
        <v>2.014403795344788E-3</v>
      </c>
      <c r="AW443">
        <v>3.3158532134802154E-3</v>
      </c>
      <c r="AX443">
        <v>3.5744785150964236E-4</v>
      </c>
      <c r="AY443">
        <v>3.9278308128632133E-4</v>
      </c>
      <c r="BB443">
        <v>5.2962172268782082E-2</v>
      </c>
      <c r="BC443">
        <v>6.4278226613026401E-2</v>
      </c>
      <c r="BE443">
        <v>33252.902107875154</v>
      </c>
      <c r="BF443">
        <v>20.508269199618194</v>
      </c>
      <c r="BG443">
        <v>35678.038752956956</v>
      </c>
      <c r="BH443">
        <v>20.456931328696907</v>
      </c>
    </row>
    <row r="444" spans="3:60" x14ac:dyDescent="0.2">
      <c r="C444" s="138">
        <v>28035.341033531222</v>
      </c>
      <c r="D444" s="138">
        <v>21.187734359494286</v>
      </c>
      <c r="E444" s="138">
        <v>29913.71791455365</v>
      </c>
      <c r="F444" s="138">
        <v>21.163357006631315</v>
      </c>
      <c r="G444" s="138">
        <v>-1878.3768810224283</v>
      </c>
      <c r="H444" s="138">
        <v>2.437735286297027E-2</v>
      </c>
      <c r="N444" s="138"/>
      <c r="O444" s="138"/>
      <c r="P444" s="138"/>
      <c r="R444">
        <v>141.923646762288</v>
      </c>
      <c r="S444">
        <v>79.217435369630834</v>
      </c>
      <c r="T444">
        <v>285.03083702617658</v>
      </c>
      <c r="U444">
        <v>111.61300719599905</v>
      </c>
      <c r="X444">
        <v>0.83358198810772843</v>
      </c>
      <c r="Y444">
        <v>0.74034623098541119</v>
      </c>
      <c r="Z444">
        <v>0.73354452959792593</v>
      </c>
      <c r="AA444">
        <v>0.732927245072031</v>
      </c>
      <c r="AB444">
        <v>0.72355957147237437</v>
      </c>
      <c r="AC444">
        <v>0.79521880080594398</v>
      </c>
      <c r="AD444">
        <v>0.67048120890498097</v>
      </c>
      <c r="AE444">
        <v>0.78197482407338625</v>
      </c>
      <c r="AH444">
        <v>0.19304037824719367</v>
      </c>
      <c r="AI444">
        <v>3.5562720891418653E-2</v>
      </c>
      <c r="AJ444">
        <v>3.0668337012684788E-2</v>
      </c>
      <c r="AK444">
        <v>6.3763259107724624E-2</v>
      </c>
      <c r="AL444">
        <v>0.10715780569118105</v>
      </c>
      <c r="AM444">
        <v>0.19251225448929454</v>
      </c>
      <c r="AN444">
        <v>9.8196257931727926E-2</v>
      </c>
      <c r="AO444">
        <v>6.3527492228587001E-2</v>
      </c>
      <c r="AR444">
        <v>7.8775613804242929E-4</v>
      </c>
      <c r="AS444">
        <v>4.5916571464332812E-3</v>
      </c>
      <c r="AT444">
        <v>9.9303481981627903E-2</v>
      </c>
      <c r="AU444">
        <v>2.0528825607306622E-3</v>
      </c>
      <c r="AV444">
        <v>1.9411987162439766E-3</v>
      </c>
      <c r="AW444">
        <v>3.13991688252386E-3</v>
      </c>
      <c r="AX444">
        <v>4.1312746733046524E-4</v>
      </c>
      <c r="AY444">
        <v>6.2309263136162141E-4</v>
      </c>
      <c r="BB444">
        <v>4.4463635393459718E-2</v>
      </c>
      <c r="BC444">
        <v>4.1254088418600322E-2</v>
      </c>
      <c r="BE444">
        <v>28035.341033531222</v>
      </c>
      <c r="BF444">
        <v>21.187734359494286</v>
      </c>
      <c r="BG444">
        <v>29913.71791455365</v>
      </c>
      <c r="BH444">
        <v>21.163357006631315</v>
      </c>
    </row>
    <row r="445" spans="3:60" x14ac:dyDescent="0.2">
      <c r="C445" s="138">
        <v>33962.310746257564</v>
      </c>
      <c r="D445" s="138">
        <v>20.702426110160559</v>
      </c>
      <c r="E445" s="138">
        <v>36164.895729634351</v>
      </c>
      <c r="F445" s="138">
        <v>20.653838178194924</v>
      </c>
      <c r="G445" s="138">
        <v>-2202.5849833767861</v>
      </c>
      <c r="H445" s="138">
        <v>4.8587931965634823E-2</v>
      </c>
      <c r="N445" s="138"/>
      <c r="O445" s="138"/>
      <c r="P445" s="138"/>
      <c r="R445">
        <v>217.87675697394872</v>
      </c>
      <c r="S445">
        <v>58.620260723344735</v>
      </c>
      <c r="T445">
        <v>242.52274401090557</v>
      </c>
      <c r="U445">
        <v>97.167455741896063</v>
      </c>
      <c r="X445">
        <v>0.88084715539086011</v>
      </c>
      <c r="Y445">
        <v>0.53020971682933216</v>
      </c>
      <c r="Z445">
        <v>0.80455460905130083</v>
      </c>
      <c r="AA445">
        <v>0.78144630721925223</v>
      </c>
      <c r="AB445">
        <v>0.89235304830619488</v>
      </c>
      <c r="AC445">
        <v>0.60094116103594497</v>
      </c>
      <c r="AD445">
        <v>0.83252031409020566</v>
      </c>
      <c r="AE445">
        <v>0.62344291346806036</v>
      </c>
      <c r="AH445">
        <v>0.17444951818396259</v>
      </c>
      <c r="AI445">
        <v>0.16817904457555322</v>
      </c>
      <c r="AJ445">
        <v>2.1062522787109517E-2</v>
      </c>
      <c r="AK445">
        <v>5.9273960404550463E-2</v>
      </c>
      <c r="AL445">
        <v>0.23199024445087024</v>
      </c>
      <c r="AM445">
        <v>0.17080056461938942</v>
      </c>
      <c r="AN445">
        <v>0.16012648556310438</v>
      </c>
      <c r="AO445">
        <v>8.6799449430326581E-2</v>
      </c>
      <c r="AR445">
        <v>1.0400538769477219E-3</v>
      </c>
      <c r="AS445">
        <v>4.5165970273310929E-3</v>
      </c>
      <c r="AT445">
        <v>0.10023778666678418</v>
      </c>
      <c r="AU445">
        <v>1.8935884705068304E-3</v>
      </c>
      <c r="AV445">
        <v>1.9775292294964835E-3</v>
      </c>
      <c r="AW445">
        <v>3.3980753727947347E-3</v>
      </c>
      <c r="AX445">
        <v>3.5210196059090614E-4</v>
      </c>
      <c r="AY445">
        <v>4.6262340690950143E-4</v>
      </c>
      <c r="BB445">
        <v>5.054003547049446E-2</v>
      </c>
      <c r="BC445">
        <v>5.9231878393015247E-2</v>
      </c>
      <c r="BE445">
        <v>33962.310746257564</v>
      </c>
      <c r="BF445">
        <v>20.702426110160559</v>
      </c>
      <c r="BG445">
        <v>36164.895729634351</v>
      </c>
      <c r="BH445">
        <v>20.653838178194924</v>
      </c>
    </row>
    <row r="446" spans="3:60" x14ac:dyDescent="0.2">
      <c r="C446" s="138">
        <v>32633.143732210418</v>
      </c>
      <c r="D446" s="138">
        <v>21.039552824198907</v>
      </c>
      <c r="E446" s="138">
        <v>35492.269794894179</v>
      </c>
      <c r="F446" s="138">
        <v>20.99466176472383</v>
      </c>
      <c r="G446" s="138">
        <v>-2859.1260626837611</v>
      </c>
      <c r="H446" s="138">
        <v>4.48910594750771E-2</v>
      </c>
      <c r="N446" s="138"/>
      <c r="O446" s="138"/>
      <c r="P446" s="138"/>
      <c r="R446">
        <v>204.91504523291729</v>
      </c>
      <c r="S446">
        <v>52.056547437092448</v>
      </c>
      <c r="T446">
        <v>250.38835536482725</v>
      </c>
      <c r="U446">
        <v>98.795770187133726</v>
      </c>
      <c r="X446">
        <v>0.73004449150363948</v>
      </c>
      <c r="Y446">
        <v>0.67881167229381745</v>
      </c>
      <c r="Z446">
        <v>0.91346605490078936</v>
      </c>
      <c r="AA446">
        <v>0.84217344645382552</v>
      </c>
      <c r="AB446">
        <v>0.46819964555723786</v>
      </c>
      <c r="AC446">
        <v>0.56040781599856071</v>
      </c>
      <c r="AD446">
        <v>0.8845113173955147</v>
      </c>
      <c r="AE446">
        <v>0.63324839052821147</v>
      </c>
      <c r="AH446">
        <v>0.13538128220720247</v>
      </c>
      <c r="AI446">
        <v>0.10246866852073533</v>
      </c>
      <c r="AJ446">
        <v>8.8111210602920043E-2</v>
      </c>
      <c r="AK446">
        <v>0.1263319944200747</v>
      </c>
      <c r="AL446">
        <v>3.1367132762437189E-2</v>
      </c>
      <c r="AM446">
        <v>9.6668968470879246E-2</v>
      </c>
      <c r="AN446">
        <v>0.10585988784767075</v>
      </c>
      <c r="AO446">
        <v>4.8263953615876432E-2</v>
      </c>
      <c r="AR446">
        <v>8.7868585738334166E-4</v>
      </c>
      <c r="AS446">
        <v>4.1911973527326233E-3</v>
      </c>
      <c r="AT446">
        <v>0.10012616391658025</v>
      </c>
      <c r="AU446">
        <v>1.9872096923722591E-3</v>
      </c>
      <c r="AV446">
        <v>2.0538764269120158E-3</v>
      </c>
      <c r="AW446">
        <v>3.3125088554053104E-3</v>
      </c>
      <c r="AX446">
        <v>4.0605927463177593E-4</v>
      </c>
      <c r="AY446">
        <v>3.6489355723011413E-4</v>
      </c>
      <c r="BB446">
        <v>5.2035074601912257E-2</v>
      </c>
      <c r="BC446">
        <v>6.1104323421052653E-2</v>
      </c>
      <c r="BE446">
        <v>32633.143732210418</v>
      </c>
      <c r="BF446">
        <v>21.039552824198907</v>
      </c>
      <c r="BG446">
        <v>35492.269794894179</v>
      </c>
      <c r="BH446">
        <v>20.99466176472383</v>
      </c>
    </row>
    <row r="447" spans="3:60" x14ac:dyDescent="0.2">
      <c r="C447" s="138">
        <v>31253.392911481897</v>
      </c>
      <c r="D447" s="138">
        <v>21.502491806636552</v>
      </c>
      <c r="E447" s="138">
        <v>32961.774712145227</v>
      </c>
      <c r="F447" s="138">
        <v>21.473330288596248</v>
      </c>
      <c r="G447" s="138">
        <v>-1708.3818006633301</v>
      </c>
      <c r="H447" s="138">
        <v>2.9161518040304202E-2</v>
      </c>
      <c r="N447" s="138"/>
      <c r="O447" s="138"/>
      <c r="P447" s="138"/>
      <c r="R447">
        <v>466.7065657105183</v>
      </c>
      <c r="S447">
        <v>76.471251364740695</v>
      </c>
      <c r="T447">
        <v>245.32470408003971</v>
      </c>
      <c r="U447">
        <v>108.07604381838485</v>
      </c>
      <c r="X447">
        <v>0.88216457523521685</v>
      </c>
      <c r="Y447">
        <v>0.61050800601779143</v>
      </c>
      <c r="Z447">
        <v>0.75090902902257728</v>
      </c>
      <c r="AA447">
        <v>0.86524099714517089</v>
      </c>
      <c r="AB447">
        <v>0.49860943173702038</v>
      </c>
      <c r="AC447">
        <v>0.58967114267351195</v>
      </c>
      <c r="AD447">
        <v>0.8565309312878413</v>
      </c>
      <c r="AE447">
        <v>0.79459336912543665</v>
      </c>
      <c r="AH447">
        <v>0.12925169206621656</v>
      </c>
      <c r="AI447">
        <v>0.18886033052437812</v>
      </c>
      <c r="AJ447">
        <v>2.5078847493786749E-2</v>
      </c>
      <c r="AK447">
        <v>6.3491967356022583E-2</v>
      </c>
      <c r="AL447">
        <v>0.17407911588941749</v>
      </c>
      <c r="AM447">
        <v>0.10994505659089482</v>
      </c>
      <c r="AN447">
        <v>5.773824250552384E-2</v>
      </c>
      <c r="AO447">
        <v>0.28157757197349487</v>
      </c>
      <c r="AR447">
        <v>9.4275128727139279E-4</v>
      </c>
      <c r="AS447">
        <v>4.7232130051400034E-3</v>
      </c>
      <c r="AT447">
        <v>0.10006449479882917</v>
      </c>
      <c r="AU447">
        <v>1.9324843475400082E-3</v>
      </c>
      <c r="AV447">
        <v>1.7234610114812935E-3</v>
      </c>
      <c r="AW447">
        <v>3.6218927346741703E-3</v>
      </c>
      <c r="AX447">
        <v>3.439887672729208E-4</v>
      </c>
      <c r="AY447">
        <v>3.7596947044550588E-4</v>
      </c>
      <c r="BB447">
        <v>5.7846525215495048E-2</v>
      </c>
      <c r="BC447">
        <v>4.1391541135279084E-2</v>
      </c>
      <c r="BE447">
        <v>31253.392911481897</v>
      </c>
      <c r="BF447">
        <v>21.502491806636552</v>
      </c>
      <c r="BG447">
        <v>32961.774712145227</v>
      </c>
      <c r="BH447">
        <v>21.473330288596248</v>
      </c>
    </row>
    <row r="448" spans="3:60" x14ac:dyDescent="0.2">
      <c r="C448" s="138">
        <v>29020.938358074498</v>
      </c>
      <c r="D448" s="138">
        <v>20.700702692846598</v>
      </c>
      <c r="E448" s="138">
        <v>30971.615901786936</v>
      </c>
      <c r="F448" s="138">
        <v>20.692479399551829</v>
      </c>
      <c r="G448" s="138">
        <v>-1950.6775437124379</v>
      </c>
      <c r="H448" s="138">
        <v>8.2232932947690074E-3</v>
      </c>
      <c r="N448" s="138"/>
      <c r="O448" s="138"/>
      <c r="P448" s="138"/>
      <c r="R448">
        <v>257.15504199107892</v>
      </c>
      <c r="S448">
        <v>49.479485075497934</v>
      </c>
      <c r="T448">
        <v>262.82616342859507</v>
      </c>
      <c r="U448">
        <v>91.618564477189494</v>
      </c>
      <c r="X448">
        <v>0.78382647202451594</v>
      </c>
      <c r="Y448">
        <v>0.68165181148474907</v>
      </c>
      <c r="Z448">
        <v>0.76039204951705375</v>
      </c>
      <c r="AA448">
        <v>0.89215232323234372</v>
      </c>
      <c r="AB448">
        <v>0.79231592917372251</v>
      </c>
      <c r="AC448">
        <v>0.85235979800524642</v>
      </c>
      <c r="AD448">
        <v>0.89887218859569451</v>
      </c>
      <c r="AE448">
        <v>0.93865497316933466</v>
      </c>
      <c r="AH448">
        <v>4.1754611506106043E-2</v>
      </c>
      <c r="AI448">
        <v>4.8280460907223377E-2</v>
      </c>
      <c r="AJ448">
        <v>0.3071635337112818</v>
      </c>
      <c r="AK448">
        <v>0.21444354960550582</v>
      </c>
      <c r="AL448">
        <v>0.10000645502424388</v>
      </c>
      <c r="AM448">
        <v>5.2937945863731128E-2</v>
      </c>
      <c r="AN448">
        <v>8.6863881690930289E-2</v>
      </c>
      <c r="AO448">
        <v>0.11508724689476657</v>
      </c>
      <c r="AR448">
        <v>7.2557020154569976E-4</v>
      </c>
      <c r="AS448">
        <v>4.6045525803829479E-3</v>
      </c>
      <c r="AT448">
        <v>9.9425662926682687E-2</v>
      </c>
      <c r="AU448">
        <v>1.8385582427410461E-3</v>
      </c>
      <c r="AV448">
        <v>1.9957793227202438E-3</v>
      </c>
      <c r="AW448">
        <v>3.3304648562181064E-3</v>
      </c>
      <c r="AX448">
        <v>4.9541139757502961E-4</v>
      </c>
      <c r="AY448">
        <v>4.4598500537993514E-4</v>
      </c>
      <c r="BB448">
        <v>5.3001555691962077E-2</v>
      </c>
      <c r="BC448">
        <v>5.5215955194179434E-2</v>
      </c>
      <c r="BE448">
        <v>29020.938358074498</v>
      </c>
      <c r="BF448">
        <v>20.700702692846598</v>
      </c>
      <c r="BG448">
        <v>30971.615901786936</v>
      </c>
      <c r="BH448">
        <v>20.692479399551829</v>
      </c>
    </row>
    <row r="449" spans="3:60" x14ac:dyDescent="0.2">
      <c r="C449" s="138">
        <v>29503.160949181238</v>
      </c>
      <c r="D449" s="138">
        <v>21.24092039651276</v>
      </c>
      <c r="E449" s="138">
        <v>31689.485096826313</v>
      </c>
      <c r="F449" s="138">
        <v>21.215717626813017</v>
      </c>
      <c r="G449" s="138">
        <v>-2186.3241476450748</v>
      </c>
      <c r="H449" s="138">
        <v>2.5202769699742333E-2</v>
      </c>
      <c r="N449" s="138"/>
      <c r="O449" s="138"/>
      <c r="P449" s="138"/>
      <c r="R449">
        <v>158.82871326826719</v>
      </c>
      <c r="S449">
        <v>55.05521963411956</v>
      </c>
      <c r="T449">
        <v>199.5082538328283</v>
      </c>
      <c r="U449">
        <v>100.01186155257368</v>
      </c>
      <c r="X449">
        <v>0.70187133284713776</v>
      </c>
      <c r="Y449">
        <v>0.67175178970576066</v>
      </c>
      <c r="Z449">
        <v>0.71475992287846024</v>
      </c>
      <c r="AA449">
        <v>0.6348076076747029</v>
      </c>
      <c r="AB449">
        <v>0.77685970437663443</v>
      </c>
      <c r="AC449">
        <v>0.73987051462217646</v>
      </c>
      <c r="AD449">
        <v>0.92118780137854217</v>
      </c>
      <c r="AE449">
        <v>0.8658509134508986</v>
      </c>
      <c r="AH449">
        <v>0.21041367022960988</v>
      </c>
      <c r="AI449">
        <v>6.6797139268793493E-2</v>
      </c>
      <c r="AJ449">
        <v>0.28475326602097639</v>
      </c>
      <c r="AK449">
        <v>0.10228076518836848</v>
      </c>
      <c r="AL449">
        <v>0.15752413425653433</v>
      </c>
      <c r="AM449">
        <v>0.36801284359892361</v>
      </c>
      <c r="AN449">
        <v>5.6044376489041703E-2</v>
      </c>
      <c r="AO449">
        <v>0.10704272197620257</v>
      </c>
      <c r="AR449">
        <v>8.4055259095305792E-4</v>
      </c>
      <c r="AS449">
        <v>4.4047540066561404E-3</v>
      </c>
      <c r="AT449">
        <v>9.9092755851272182E-2</v>
      </c>
      <c r="AU449">
        <v>1.8592190953394157E-3</v>
      </c>
      <c r="AV449">
        <v>2.1431534607617708E-3</v>
      </c>
      <c r="AW449">
        <v>3.6827399512801007E-3</v>
      </c>
      <c r="AX449">
        <v>3.5444457267486828E-4</v>
      </c>
      <c r="AY449">
        <v>4.221599113519586E-4</v>
      </c>
      <c r="BB449">
        <v>4.2901022848484162E-2</v>
      </c>
      <c r="BC449">
        <v>8.1415310046594302E-2</v>
      </c>
      <c r="BE449">
        <v>29503.160949181238</v>
      </c>
      <c r="BF449">
        <v>21.24092039651276</v>
      </c>
      <c r="BG449">
        <v>31689.485096826313</v>
      </c>
      <c r="BH449">
        <v>21.215717626813017</v>
      </c>
    </row>
    <row r="450" spans="3:60" x14ac:dyDescent="0.2">
      <c r="C450" s="138">
        <v>38503.225403094591</v>
      </c>
      <c r="D450" s="138">
        <v>20.912515204949919</v>
      </c>
      <c r="E450" s="138">
        <v>40655.905708532438</v>
      </c>
      <c r="F450" s="138">
        <v>20.88116273729058</v>
      </c>
      <c r="G450" s="138">
        <v>-2152.680305437847</v>
      </c>
      <c r="H450" s="138">
        <v>3.1352467659338856E-2</v>
      </c>
      <c r="N450" s="138"/>
      <c r="O450" s="138"/>
      <c r="P450" s="138"/>
      <c r="R450">
        <v>323.58807323737295</v>
      </c>
      <c r="S450">
        <v>64.339790073565837</v>
      </c>
      <c r="T450">
        <v>227.58540498087038</v>
      </c>
      <c r="U450">
        <v>84.985797560291061</v>
      </c>
      <c r="X450">
        <v>0.64881114175913845</v>
      </c>
      <c r="Y450">
        <v>0.86158314073416598</v>
      </c>
      <c r="Z450">
        <v>0.73561250598529448</v>
      </c>
      <c r="AA450">
        <v>0.69643729720391101</v>
      </c>
      <c r="AB450">
        <v>0.74084577178204392</v>
      </c>
      <c r="AC450">
        <v>0.73009109668217997</v>
      </c>
      <c r="AD450">
        <v>0.57974162851894739</v>
      </c>
      <c r="AE450">
        <v>0.66003430523185624</v>
      </c>
      <c r="AH450">
        <v>7.4102325783598211E-2</v>
      </c>
      <c r="AI450">
        <v>0.13069828539660133</v>
      </c>
      <c r="AJ450">
        <v>3.7797906189115826E-2</v>
      </c>
      <c r="AK450">
        <v>0.11635124370867511</v>
      </c>
      <c r="AL450">
        <v>0.10447261797533891</v>
      </c>
      <c r="AM450">
        <v>1.3097032850042822E-2</v>
      </c>
      <c r="AN450">
        <v>0.22137844102900306</v>
      </c>
      <c r="AO450">
        <v>0.12367535260706031</v>
      </c>
      <c r="AR450">
        <v>1.0045896144311728E-3</v>
      </c>
      <c r="AS450">
        <v>4.3566878974177518E-3</v>
      </c>
      <c r="AT450">
        <v>0.10158500784913349</v>
      </c>
      <c r="AU450">
        <v>2.1275226684231985E-3</v>
      </c>
      <c r="AV450">
        <v>1.9594069417446479E-3</v>
      </c>
      <c r="AW450">
        <v>3.7259293345731637E-3</v>
      </c>
      <c r="AX450">
        <v>2.8767835329526439E-4</v>
      </c>
      <c r="AY450">
        <v>3.6434837247400619E-4</v>
      </c>
      <c r="BB450">
        <v>5.1685572183128636E-2</v>
      </c>
      <c r="BC450">
        <v>0.11585378146408853</v>
      </c>
      <c r="BE450">
        <v>38503.225403094591</v>
      </c>
      <c r="BF450">
        <v>20.912515204949919</v>
      </c>
      <c r="BG450">
        <v>40655.905708532438</v>
      </c>
      <c r="BH450">
        <v>20.88116273729058</v>
      </c>
    </row>
    <row r="451" spans="3:60" x14ac:dyDescent="0.2">
      <c r="C451" s="138">
        <v>30406.822575885973</v>
      </c>
      <c r="D451" s="138">
        <v>19.680692257885827</v>
      </c>
      <c r="E451" s="138">
        <v>32810.513684966514</v>
      </c>
      <c r="F451" s="138">
        <v>19.634250214126293</v>
      </c>
      <c r="G451" s="138">
        <v>-2403.6911090805406</v>
      </c>
      <c r="H451" s="138">
        <v>4.6442043759533647E-2</v>
      </c>
      <c r="N451" s="138"/>
      <c r="O451" s="138"/>
      <c r="P451" s="138"/>
      <c r="R451">
        <v>187.07178675557907</v>
      </c>
      <c r="S451">
        <v>61.896645475440558</v>
      </c>
      <c r="T451">
        <v>245.71514737890351</v>
      </c>
      <c r="U451">
        <v>85.1933126051172</v>
      </c>
      <c r="X451">
        <v>0.81189864762513531</v>
      </c>
      <c r="Y451">
        <v>0.85341726998548251</v>
      </c>
      <c r="Z451">
        <v>0.59905883763501055</v>
      </c>
      <c r="AA451">
        <v>0.64387533052446599</v>
      </c>
      <c r="AB451">
        <v>0.77695079384942056</v>
      </c>
      <c r="AC451">
        <v>0.59111350639104021</v>
      </c>
      <c r="AD451">
        <v>0.83558123465877743</v>
      </c>
      <c r="AE451">
        <v>0.77800441900069117</v>
      </c>
      <c r="AH451">
        <v>0.48856526432093428</v>
      </c>
      <c r="AI451">
        <v>0.24860542035614508</v>
      </c>
      <c r="AJ451">
        <v>9.7770974996934212E-2</v>
      </c>
      <c r="AK451">
        <v>0.16442274506090138</v>
      </c>
      <c r="AL451">
        <v>0.10864349891432645</v>
      </c>
      <c r="AM451">
        <v>7.0829184904718678E-2</v>
      </c>
      <c r="AN451">
        <v>0.25907755648837649</v>
      </c>
      <c r="AO451">
        <v>3.0876382987224504E-2</v>
      </c>
      <c r="AR451">
        <v>6.9532682216927116E-4</v>
      </c>
      <c r="AS451">
        <v>4.3411196849711311E-3</v>
      </c>
      <c r="AT451">
        <v>9.8884521864851457E-2</v>
      </c>
      <c r="AU451">
        <v>2.0949284521855072E-3</v>
      </c>
      <c r="AV451">
        <v>2.0250102009304882E-3</v>
      </c>
      <c r="AW451">
        <v>3.4846355931283934E-3</v>
      </c>
      <c r="AX451">
        <v>3.9807232423894057E-4</v>
      </c>
      <c r="AY451">
        <v>4.5303042288313833E-4</v>
      </c>
      <c r="BB451">
        <v>5.1581693172782717E-2</v>
      </c>
      <c r="BC451">
        <v>6.0318114430630732E-2</v>
      </c>
      <c r="BE451">
        <v>30406.822575885973</v>
      </c>
      <c r="BF451">
        <v>19.680692257885827</v>
      </c>
      <c r="BG451">
        <v>32810.513684966514</v>
      </c>
      <c r="BH451">
        <v>19.634250214126293</v>
      </c>
    </row>
    <row r="452" spans="3:60" x14ac:dyDescent="0.2">
      <c r="C452" s="138">
        <v>34338.123541056564</v>
      </c>
      <c r="D452" s="138">
        <v>19.834638077542213</v>
      </c>
      <c r="E452" s="138">
        <v>36236.0835574011</v>
      </c>
      <c r="F452" s="138">
        <v>19.779551570001221</v>
      </c>
      <c r="G452" s="138">
        <v>-1897.9600163445357</v>
      </c>
      <c r="H452" s="138">
        <v>5.5086507540991647E-2</v>
      </c>
      <c r="N452" s="138"/>
      <c r="O452" s="138"/>
      <c r="P452" s="138"/>
      <c r="R452">
        <v>365.94887077212587</v>
      </c>
      <c r="S452">
        <v>55.403846517128052</v>
      </c>
      <c r="T452">
        <v>262.57741332297519</v>
      </c>
      <c r="U452">
        <v>91.403447392898073</v>
      </c>
      <c r="X452">
        <v>0.68098621983102914</v>
      </c>
      <c r="Y452">
        <v>0.64192212107104096</v>
      </c>
      <c r="Z452">
        <v>0.69782521473770542</v>
      </c>
      <c r="AA452">
        <v>0.48992240638536211</v>
      </c>
      <c r="AB452">
        <v>0.66350825298753147</v>
      </c>
      <c r="AC452">
        <v>0.71056672763366258</v>
      </c>
      <c r="AD452">
        <v>0.36800772010932425</v>
      </c>
      <c r="AE452">
        <v>0.4618268360579279</v>
      </c>
      <c r="AH452">
        <v>7.4296043534732403E-2</v>
      </c>
      <c r="AI452">
        <v>1.4898140048495323E-2</v>
      </c>
      <c r="AJ452">
        <v>2.8658045236383822E-2</v>
      </c>
      <c r="AK452">
        <v>3.5413648835767031E-2</v>
      </c>
      <c r="AL452">
        <v>0.14097723285961672</v>
      </c>
      <c r="AM452">
        <v>0.34793834208225682</v>
      </c>
      <c r="AN452">
        <v>0.17763692563224853</v>
      </c>
      <c r="AO452">
        <v>2.5813870833932828E-2</v>
      </c>
      <c r="AR452">
        <v>9.525126406795259E-4</v>
      </c>
      <c r="AS452">
        <v>4.6189093965611772E-3</v>
      </c>
      <c r="AT452">
        <v>0.1005077866623092</v>
      </c>
      <c r="AU452">
        <v>1.8305230555258592E-3</v>
      </c>
      <c r="AV452">
        <v>2.1641175508401167E-3</v>
      </c>
      <c r="AW452">
        <v>3.6967687305152763E-3</v>
      </c>
      <c r="AX452">
        <v>4.3545080614215692E-4</v>
      </c>
      <c r="AY452">
        <v>2.829078905494817E-4</v>
      </c>
      <c r="BB452">
        <v>4.7116738528455319E-2</v>
      </c>
      <c r="BC452">
        <v>5.5213734759181898E-2</v>
      </c>
      <c r="BE452">
        <v>34338.123541056564</v>
      </c>
      <c r="BF452">
        <v>19.834638077542213</v>
      </c>
      <c r="BG452">
        <v>36236.0835574011</v>
      </c>
      <c r="BH452">
        <v>19.779551570001221</v>
      </c>
    </row>
    <row r="453" spans="3:60" x14ac:dyDescent="0.2">
      <c r="C453" s="138">
        <v>29829.637887585301</v>
      </c>
      <c r="D453" s="138">
        <v>19.117478008558901</v>
      </c>
      <c r="E453" s="138">
        <v>31854.792563644194</v>
      </c>
      <c r="F453" s="138">
        <v>19.001122409119393</v>
      </c>
      <c r="G453" s="138">
        <v>-2025.1546760588935</v>
      </c>
      <c r="H453" s="138">
        <v>0.11635559943950824</v>
      </c>
      <c r="N453" s="138"/>
      <c r="O453" s="138"/>
      <c r="P453" s="138"/>
      <c r="R453">
        <v>165.25409411008675</v>
      </c>
      <c r="S453">
        <v>62.570839734730235</v>
      </c>
      <c r="T453">
        <v>265.03477126140422</v>
      </c>
      <c r="U453">
        <v>104.12435665527993</v>
      </c>
      <c r="X453">
        <v>0.80158433198408297</v>
      </c>
      <c r="Y453">
        <v>0.85578524930847988</v>
      </c>
      <c r="Z453">
        <v>0.7941399435466745</v>
      </c>
      <c r="AA453">
        <v>0.53165590539282148</v>
      </c>
      <c r="AB453">
        <v>0.89447502048884531</v>
      </c>
      <c r="AC453">
        <v>0.89109883642069221</v>
      </c>
      <c r="AD453">
        <v>0.71624337044430975</v>
      </c>
      <c r="AE453">
        <v>0.6199466082961318</v>
      </c>
      <c r="AH453">
        <v>9.9592111341744061E-2</v>
      </c>
      <c r="AI453">
        <v>5.1603842564777347E-2</v>
      </c>
      <c r="AJ453">
        <v>7.1824337625378654E-2</v>
      </c>
      <c r="AK453">
        <v>5.1844757587924173E-2</v>
      </c>
      <c r="AL453">
        <v>0.19453864125657305</v>
      </c>
      <c r="AM453">
        <v>2.9906990472520545E-2</v>
      </c>
      <c r="AN453">
        <v>0.11425082869074066</v>
      </c>
      <c r="AO453">
        <v>6.1212393340348226E-2</v>
      </c>
      <c r="AR453">
        <v>8.257289476946019E-4</v>
      </c>
      <c r="AS453">
        <v>4.3240644237542251E-3</v>
      </c>
      <c r="AT453">
        <v>0.10051428344924807</v>
      </c>
      <c r="AU453">
        <v>1.8987571889945737E-3</v>
      </c>
      <c r="AV453">
        <v>2.13264011214509E-3</v>
      </c>
      <c r="AW453">
        <v>3.4242172573065721E-3</v>
      </c>
      <c r="AX453">
        <v>3.5284206567770256E-4</v>
      </c>
      <c r="AY453">
        <v>4.0319775239023935E-4</v>
      </c>
      <c r="BB453">
        <v>4.8299654031882897E-2</v>
      </c>
      <c r="BC453">
        <v>7.5360603497412026E-2</v>
      </c>
      <c r="BE453">
        <v>29829.637887585301</v>
      </c>
      <c r="BF453">
        <v>19.117478008558901</v>
      </c>
      <c r="BG453">
        <v>31854.792563644194</v>
      </c>
      <c r="BH453">
        <v>19.001122409119393</v>
      </c>
    </row>
    <row r="454" spans="3:60" x14ac:dyDescent="0.2">
      <c r="C454" s="138">
        <v>35191.569731737931</v>
      </c>
      <c r="D454" s="138">
        <v>20.967499151905329</v>
      </c>
      <c r="E454" s="138">
        <v>37111.813568309619</v>
      </c>
      <c r="F454" s="138">
        <v>20.949029124176612</v>
      </c>
      <c r="G454" s="138">
        <v>-1920.243836571688</v>
      </c>
      <c r="H454" s="138">
        <v>1.8470027728717753E-2</v>
      </c>
      <c r="N454" s="138"/>
      <c r="O454" s="138"/>
      <c r="P454" s="138"/>
      <c r="R454">
        <v>365.36836352222645</v>
      </c>
      <c r="S454">
        <v>60.841544473870854</v>
      </c>
      <c r="T454">
        <v>247.38485123656449</v>
      </c>
      <c r="U454">
        <v>113.24311830152067</v>
      </c>
      <c r="X454">
        <v>0.7043200533325471</v>
      </c>
      <c r="Y454">
        <v>0.55806603689442014</v>
      </c>
      <c r="Z454">
        <v>0.8100471037729654</v>
      </c>
      <c r="AA454">
        <v>0.70511567999467673</v>
      </c>
      <c r="AB454">
        <v>0.60337894459608943</v>
      </c>
      <c r="AC454">
        <v>0.59632462884242765</v>
      </c>
      <c r="AD454">
        <v>0.90936674418205699</v>
      </c>
      <c r="AE454">
        <v>0.75025258349465318</v>
      </c>
      <c r="AH454">
        <v>0.16726710251269605</v>
      </c>
      <c r="AI454">
        <v>2.8691593143288729E-2</v>
      </c>
      <c r="AJ454">
        <v>0.13027110215132465</v>
      </c>
      <c r="AK454">
        <v>4.2028378903413377E-2</v>
      </c>
      <c r="AL454">
        <v>0.17590757394993983</v>
      </c>
      <c r="AM454">
        <v>0.15839752887029535</v>
      </c>
      <c r="AN454">
        <v>0.17037121535194999</v>
      </c>
      <c r="AO454">
        <v>4.9815537146364997E-2</v>
      </c>
      <c r="AR454">
        <v>8.7156752395141043E-4</v>
      </c>
      <c r="AS454">
        <v>4.2736730399659294E-3</v>
      </c>
      <c r="AT454">
        <v>0.10094035770253584</v>
      </c>
      <c r="AU454">
        <v>1.9778254340509904E-3</v>
      </c>
      <c r="AV454">
        <v>1.9212613112125614E-3</v>
      </c>
      <c r="AW454">
        <v>3.2419767473412281E-3</v>
      </c>
      <c r="AX454">
        <v>3.0405548877848851E-4</v>
      </c>
      <c r="AY454">
        <v>5.6306039906539596E-4</v>
      </c>
      <c r="BB454">
        <v>5.4863020307385546E-2</v>
      </c>
      <c r="BC454">
        <v>6.7347870928680109E-2</v>
      </c>
      <c r="BE454">
        <v>35191.569731737931</v>
      </c>
      <c r="BF454">
        <v>20.967499151905329</v>
      </c>
      <c r="BG454">
        <v>37111.813568309619</v>
      </c>
      <c r="BH454">
        <v>20.949029124176612</v>
      </c>
    </row>
    <row r="455" spans="3:60" x14ac:dyDescent="0.2">
      <c r="C455" s="138">
        <v>28707.918482604142</v>
      </c>
      <c r="D455" s="138">
        <v>20.931116711790203</v>
      </c>
      <c r="E455" s="138">
        <v>30560.015416863207</v>
      </c>
      <c r="F455" s="138">
        <v>20.934966782416861</v>
      </c>
      <c r="G455" s="138">
        <v>-1852.0969342590652</v>
      </c>
      <c r="H455" s="138">
        <v>-3.8500706266582085E-3</v>
      </c>
      <c r="N455" s="138"/>
      <c r="O455" s="138"/>
      <c r="P455" s="138"/>
      <c r="R455">
        <v>319.62945219571577</v>
      </c>
      <c r="S455">
        <v>72.598149879504149</v>
      </c>
      <c r="T455">
        <v>225.30788668553859</v>
      </c>
      <c r="U455">
        <v>93.616489868357704</v>
      </c>
      <c r="X455">
        <v>0.79597462417771403</v>
      </c>
      <c r="Y455">
        <v>0.73203174265173809</v>
      </c>
      <c r="Z455">
        <v>0.74749098874488318</v>
      </c>
      <c r="AA455">
        <v>0.81753645103825379</v>
      </c>
      <c r="AB455">
        <v>0.78305403152872977</v>
      </c>
      <c r="AC455">
        <v>0.88746712494163427</v>
      </c>
      <c r="AD455">
        <v>0.37808769349032911</v>
      </c>
      <c r="AE455">
        <v>0.91943101744629807</v>
      </c>
      <c r="AH455">
        <v>0.10079603285475269</v>
      </c>
      <c r="AI455">
        <v>0.12772032361683949</v>
      </c>
      <c r="AJ455">
        <v>0.10294728688740173</v>
      </c>
      <c r="AK455">
        <v>0.102017874454847</v>
      </c>
      <c r="AL455">
        <v>9.8855270040825616E-2</v>
      </c>
      <c r="AM455">
        <v>0.11234847388167224</v>
      </c>
      <c r="AN455">
        <v>0.14889363840820813</v>
      </c>
      <c r="AO455">
        <v>9.708268323220004E-2</v>
      </c>
      <c r="AR455">
        <v>8.5394259267679523E-4</v>
      </c>
      <c r="AS455">
        <v>4.3300796711335911E-3</v>
      </c>
      <c r="AT455">
        <v>0.1003704338718292</v>
      </c>
      <c r="AU455">
        <v>2.1402918143840211E-3</v>
      </c>
      <c r="AV455">
        <v>1.9056843174175074E-3</v>
      </c>
      <c r="AW455">
        <v>3.23819540483152E-3</v>
      </c>
      <c r="AX455">
        <v>3.7068729488230474E-4</v>
      </c>
      <c r="AY455">
        <v>3.7886812741798218E-4</v>
      </c>
      <c r="BB455">
        <v>4.1827433122477997E-2</v>
      </c>
      <c r="BC455">
        <v>3.0747482618765715E-2</v>
      </c>
      <c r="BE455">
        <v>28707.918482604142</v>
      </c>
      <c r="BF455">
        <v>20.931116711790203</v>
      </c>
      <c r="BG455">
        <v>30560.015416863207</v>
      </c>
      <c r="BH455">
        <v>20.934966782416861</v>
      </c>
    </row>
    <row r="456" spans="3:60" x14ac:dyDescent="0.2">
      <c r="C456" s="138">
        <v>32795.409147900798</v>
      </c>
      <c r="D456" s="138">
        <v>20.550485082240268</v>
      </c>
      <c r="E456" s="138">
        <v>34865.257904481201</v>
      </c>
      <c r="F456" s="138">
        <v>20.523373577152753</v>
      </c>
      <c r="G456" s="138">
        <v>-2069.8487565804026</v>
      </c>
      <c r="H456" s="138">
        <v>2.7111505087514587E-2</v>
      </c>
      <c r="N456" s="138"/>
      <c r="O456" s="138"/>
      <c r="P456" s="138"/>
      <c r="R456">
        <v>295.74538863589424</v>
      </c>
      <c r="S456">
        <v>50.669762767913426</v>
      </c>
      <c r="T456">
        <v>262.24317934946129</v>
      </c>
      <c r="U456">
        <v>86.192926278454308</v>
      </c>
      <c r="X456">
        <v>0.80848070667386063</v>
      </c>
      <c r="Y456">
        <v>0.74481615940310208</v>
      </c>
      <c r="Z456">
        <v>0.77746802622754285</v>
      </c>
      <c r="AA456">
        <v>0.79165754117563203</v>
      </c>
      <c r="AB456">
        <v>0.70993416593142278</v>
      </c>
      <c r="AC456">
        <v>0.72882653029222555</v>
      </c>
      <c r="AD456">
        <v>0.93104538838608231</v>
      </c>
      <c r="AE456">
        <v>0.93344586495959669</v>
      </c>
      <c r="AH456">
        <v>0.13586642426208173</v>
      </c>
      <c r="AI456">
        <v>1.4899002657487892E-2</v>
      </c>
      <c r="AJ456">
        <v>0.33572378712338669</v>
      </c>
      <c r="AK456">
        <v>2.4834294962404968E-2</v>
      </c>
      <c r="AL456">
        <v>0.22798062324264523</v>
      </c>
      <c r="AM456">
        <v>0.18871512561369963</v>
      </c>
      <c r="AN456">
        <v>0.20731680258803953</v>
      </c>
      <c r="AO456">
        <v>0.32416126673922774</v>
      </c>
      <c r="AR456">
        <v>8.917327479123216E-4</v>
      </c>
      <c r="AS456">
        <v>4.67212944797879E-3</v>
      </c>
      <c r="AT456">
        <v>0.10126150096416286</v>
      </c>
      <c r="AU456">
        <v>2.1174797344413188E-3</v>
      </c>
      <c r="AV456">
        <v>2.0527877437083175E-3</v>
      </c>
      <c r="AW456">
        <v>3.419181927676318E-3</v>
      </c>
      <c r="AX456">
        <v>3.5938789953092974E-4</v>
      </c>
      <c r="AY456">
        <v>4.5096882262130045E-4</v>
      </c>
      <c r="BB456">
        <v>6.0331050211578363E-2</v>
      </c>
      <c r="BC456">
        <v>4.3789031145722523E-2</v>
      </c>
      <c r="BE456">
        <v>32795.409147900798</v>
      </c>
      <c r="BF456">
        <v>20.550485082240268</v>
      </c>
      <c r="BG456">
        <v>34865.257904481201</v>
      </c>
      <c r="BH456">
        <v>20.523373577152753</v>
      </c>
    </row>
    <row r="457" spans="3:60" x14ac:dyDescent="0.2">
      <c r="C457" s="138">
        <v>28451.771087557732</v>
      </c>
      <c r="D457" s="138">
        <v>20.583711929690118</v>
      </c>
      <c r="E457" s="138">
        <v>30337.59123055789</v>
      </c>
      <c r="F457" s="138">
        <v>20.548174916814578</v>
      </c>
      <c r="G457" s="138">
        <v>-1885.8201430001573</v>
      </c>
      <c r="H457" s="138">
        <v>3.5537012875540341E-2</v>
      </c>
      <c r="N457" s="138"/>
      <c r="O457" s="138"/>
      <c r="P457" s="138"/>
      <c r="R457">
        <v>390.55583855913665</v>
      </c>
      <c r="S457">
        <v>73.741267229025368</v>
      </c>
      <c r="T457">
        <v>202.37725782279745</v>
      </c>
      <c r="U457">
        <v>85.718192741852363</v>
      </c>
      <c r="X457">
        <v>0.91598070067348414</v>
      </c>
      <c r="Y457">
        <v>0.69003194859334582</v>
      </c>
      <c r="Z457">
        <v>0.62158604388639771</v>
      </c>
      <c r="AA457">
        <v>0.57027368897766262</v>
      </c>
      <c r="AB457">
        <v>0.69735987644920294</v>
      </c>
      <c r="AC457">
        <v>0.59918450059357176</v>
      </c>
      <c r="AD457">
        <v>0.87423042388475025</v>
      </c>
      <c r="AE457">
        <v>0.70442531990443757</v>
      </c>
      <c r="AH457">
        <v>0.11713906539607977</v>
      </c>
      <c r="AI457">
        <v>6.2674646513614096E-3</v>
      </c>
      <c r="AJ457">
        <v>6.1809748549856991E-2</v>
      </c>
      <c r="AK457">
        <v>7.0738942478373867E-2</v>
      </c>
      <c r="AL457">
        <v>0.15117985558688496</v>
      </c>
      <c r="AM457">
        <v>6.7570942421347535E-2</v>
      </c>
      <c r="AN457">
        <v>0.17551527775890186</v>
      </c>
      <c r="AO457">
        <v>2.179576812215489E-2</v>
      </c>
      <c r="AR457">
        <v>9.2836448019761875E-4</v>
      </c>
      <c r="AS457">
        <v>4.4542205349572496E-3</v>
      </c>
      <c r="AT457">
        <v>0.10172867823421172</v>
      </c>
      <c r="AU457">
        <v>1.776466708503984E-3</v>
      </c>
      <c r="AV457">
        <v>2.4225791247350914E-3</v>
      </c>
      <c r="AW457">
        <v>3.6216712115224592E-3</v>
      </c>
      <c r="AX457">
        <v>4.6462008132530652E-4</v>
      </c>
      <c r="AY457">
        <v>4.2562784020106127E-4</v>
      </c>
      <c r="BB457">
        <v>4.6845869371894146E-2</v>
      </c>
      <c r="BC457">
        <v>6.2597469969041031E-2</v>
      </c>
      <c r="BE457">
        <v>28451.771087557732</v>
      </c>
      <c r="BF457">
        <v>20.583711929690118</v>
      </c>
      <c r="BG457">
        <v>30337.59123055789</v>
      </c>
      <c r="BH457">
        <v>20.548174916814578</v>
      </c>
    </row>
    <row r="458" spans="3:60" x14ac:dyDescent="0.2">
      <c r="C458" s="138">
        <v>29554.590415955183</v>
      </c>
      <c r="D458" s="138">
        <v>20.565243873901977</v>
      </c>
      <c r="E458" s="138">
        <v>31692.600011610393</v>
      </c>
      <c r="F458" s="138">
        <v>20.541618194791827</v>
      </c>
      <c r="G458" s="138">
        <v>-2138.0095956552104</v>
      </c>
      <c r="H458" s="138">
        <v>2.3625679110150344E-2</v>
      </c>
      <c r="N458" s="138"/>
      <c r="O458" s="138"/>
      <c r="P458" s="138"/>
      <c r="R458">
        <v>305.20725249974942</v>
      </c>
      <c r="S458">
        <v>65.371010678232381</v>
      </c>
      <c r="T458">
        <v>266.53915427534474</v>
      </c>
      <c r="U458">
        <v>95.212598555032372</v>
      </c>
      <c r="X458">
        <v>0.86793681751346163</v>
      </c>
      <c r="Y458">
        <v>0.84953037847666812</v>
      </c>
      <c r="Z458">
        <v>0.93264556532645271</v>
      </c>
      <c r="AA458">
        <v>0.73309674800457059</v>
      </c>
      <c r="AB458">
        <v>0.81879033215765773</v>
      </c>
      <c r="AC458">
        <v>0.75601807193825865</v>
      </c>
      <c r="AD458">
        <v>0.69977717542472528</v>
      </c>
      <c r="AE458">
        <v>0.7580706373682955</v>
      </c>
      <c r="AH458">
        <v>0.23446574010371135</v>
      </c>
      <c r="AI458">
        <v>4.2813914015103927E-2</v>
      </c>
      <c r="AJ458">
        <v>0.11964607984330411</v>
      </c>
      <c r="AK458">
        <v>8.794926972102779E-2</v>
      </c>
      <c r="AL458">
        <v>0.16770950190823519</v>
      </c>
      <c r="AM458">
        <v>6.0070393237225295E-2</v>
      </c>
      <c r="AN458">
        <v>0.16718975782165668</v>
      </c>
      <c r="AO458">
        <v>7.1427198413051896E-2</v>
      </c>
      <c r="AR458">
        <v>9.1768564273253528E-4</v>
      </c>
      <c r="AS458">
        <v>4.3708489252533506E-3</v>
      </c>
      <c r="AT458">
        <v>0.1000112316171109</v>
      </c>
      <c r="AU458">
        <v>2.0656735897371936E-3</v>
      </c>
      <c r="AV458">
        <v>1.846229286473303E-3</v>
      </c>
      <c r="AW458">
        <v>3.6068479053823488E-3</v>
      </c>
      <c r="AX458">
        <v>4.1830199283510172E-4</v>
      </c>
      <c r="AY458">
        <v>5.0248159553423211E-4</v>
      </c>
      <c r="BB458">
        <v>4.5325022095398612E-2</v>
      </c>
      <c r="BC458">
        <v>3.1986854009165275E-2</v>
      </c>
      <c r="BE458">
        <v>29554.590415955183</v>
      </c>
      <c r="BF458">
        <v>20.565243873901977</v>
      </c>
      <c r="BG458">
        <v>31692.600011610393</v>
      </c>
      <c r="BH458">
        <v>20.541618194791827</v>
      </c>
    </row>
    <row r="459" spans="3:60" x14ac:dyDescent="0.2">
      <c r="C459" s="138">
        <v>25164.89988594727</v>
      </c>
      <c r="D459" s="138">
        <v>20.997383206984193</v>
      </c>
      <c r="E459" s="138">
        <v>26534.37496014627</v>
      </c>
      <c r="F459" s="138">
        <v>20.957459033792553</v>
      </c>
      <c r="G459" s="138">
        <v>-1369.4750741989992</v>
      </c>
      <c r="H459" s="138">
        <v>3.9924173191639767E-2</v>
      </c>
      <c r="N459" s="138"/>
      <c r="O459" s="138"/>
      <c r="P459" s="138"/>
      <c r="R459">
        <v>472.40884220908282</v>
      </c>
      <c r="S459">
        <v>60.329690930395891</v>
      </c>
      <c r="T459">
        <v>300.55425709837772</v>
      </c>
      <c r="U459">
        <v>98.197792136740389</v>
      </c>
      <c r="X459">
        <v>0.83763117557397559</v>
      </c>
      <c r="Y459">
        <v>0.85193232646866168</v>
      </c>
      <c r="Z459">
        <v>0.76754784371784246</v>
      </c>
      <c r="AA459">
        <v>0.93428387205842078</v>
      </c>
      <c r="AB459">
        <v>0.76262421423870708</v>
      </c>
      <c r="AC459">
        <v>0.71850482691653406</v>
      </c>
      <c r="AD459">
        <v>0.60759405636541497</v>
      </c>
      <c r="AE459">
        <v>0.8002380887810312</v>
      </c>
      <c r="AH459">
        <v>0.12413323871974391</v>
      </c>
      <c r="AI459">
        <v>0.14501577411660171</v>
      </c>
      <c r="AJ459">
        <v>0.32759500091957316</v>
      </c>
      <c r="AK459">
        <v>2.1779872000108336E-2</v>
      </c>
      <c r="AL459">
        <v>0.16950299709107752</v>
      </c>
      <c r="AM459">
        <v>4.7097998991972201E-2</v>
      </c>
      <c r="AN459">
        <v>9.5794790955077591E-2</v>
      </c>
      <c r="AO459">
        <v>6.5632624967644881E-2</v>
      </c>
      <c r="AR459">
        <v>8.3974505634492127E-4</v>
      </c>
      <c r="AS459">
        <v>4.1260042138138832E-3</v>
      </c>
      <c r="AT459">
        <v>9.9369340100427306E-2</v>
      </c>
      <c r="AU459">
        <v>2.2057817953680114E-3</v>
      </c>
      <c r="AV459">
        <v>1.864864482247682E-3</v>
      </c>
      <c r="AW459">
        <v>3.6377272134980876E-3</v>
      </c>
      <c r="AX459">
        <v>4.1718099238874373E-4</v>
      </c>
      <c r="AY459">
        <v>3.31966891965267E-4</v>
      </c>
      <c r="BB459">
        <v>5.5409170608730518E-2</v>
      </c>
      <c r="BC459">
        <v>8.01790597243488E-2</v>
      </c>
      <c r="BE459">
        <v>25164.89988594727</v>
      </c>
      <c r="BF459">
        <v>20.997383206984193</v>
      </c>
      <c r="BG459">
        <v>26534.37496014627</v>
      </c>
      <c r="BH459">
        <v>20.957459033792553</v>
      </c>
    </row>
    <row r="460" spans="3:60" x14ac:dyDescent="0.2">
      <c r="C460" s="138">
        <v>33943.990454554412</v>
      </c>
      <c r="D460" s="138">
        <v>20.76816401899471</v>
      </c>
      <c r="E460" s="138">
        <v>36719.036138673342</v>
      </c>
      <c r="F460" s="138">
        <v>20.741012112536268</v>
      </c>
      <c r="G460" s="138">
        <v>-2775.0456841189298</v>
      </c>
      <c r="H460" s="138">
        <v>2.7151906458442454E-2</v>
      </c>
      <c r="N460" s="138"/>
      <c r="O460" s="138"/>
      <c r="P460" s="138"/>
      <c r="R460">
        <v>137.39000798578846</v>
      </c>
      <c r="S460">
        <v>71.523335274149801</v>
      </c>
      <c r="T460">
        <v>210.45129062586429</v>
      </c>
      <c r="U460">
        <v>90.957651305288323</v>
      </c>
      <c r="X460">
        <v>0.6388363821732963</v>
      </c>
      <c r="Y460">
        <v>0.75254646353536936</v>
      </c>
      <c r="Z460">
        <v>0.77391730624749377</v>
      </c>
      <c r="AA460">
        <v>0.89371643658842292</v>
      </c>
      <c r="AB460">
        <v>0.5782141742572503</v>
      </c>
      <c r="AC460">
        <v>0.7637545628933764</v>
      </c>
      <c r="AD460">
        <v>0.89817964765508429</v>
      </c>
      <c r="AE460">
        <v>0.76968862159938167</v>
      </c>
      <c r="AH460">
        <v>7.0486966236969817E-2</v>
      </c>
      <c r="AI460">
        <v>0.12834528959546732</v>
      </c>
      <c r="AJ460">
        <v>0.23477609828996548</v>
      </c>
      <c r="AK460">
        <v>3.9432322403740949E-2</v>
      </c>
      <c r="AL460">
        <v>6.7451058238325867E-2</v>
      </c>
      <c r="AM460">
        <v>0.10373177545791212</v>
      </c>
      <c r="AN460">
        <v>6.9712939850502975E-2</v>
      </c>
      <c r="AO460">
        <v>0.24837409047016634</v>
      </c>
      <c r="AR460">
        <v>1.0047514949615977E-3</v>
      </c>
      <c r="AS460">
        <v>4.5259736667266903E-3</v>
      </c>
      <c r="AT460">
        <v>0.10139596846768817</v>
      </c>
      <c r="AU460">
        <v>1.8859569435683236E-3</v>
      </c>
      <c r="AV460">
        <v>2.0424539412940979E-3</v>
      </c>
      <c r="AW460">
        <v>3.2645991722598756E-3</v>
      </c>
      <c r="AX460">
        <v>3.6082143860311411E-4</v>
      </c>
      <c r="AY460">
        <v>4.6206753651367727E-4</v>
      </c>
      <c r="BB460">
        <v>4.3492127798370535E-2</v>
      </c>
      <c r="BC460">
        <v>8.5636801770287319E-2</v>
      </c>
      <c r="BE460">
        <v>33943.990454554412</v>
      </c>
      <c r="BF460">
        <v>20.76816401899471</v>
      </c>
      <c r="BG460">
        <v>36719.036138673342</v>
      </c>
      <c r="BH460">
        <v>20.741012112536268</v>
      </c>
    </row>
    <row r="461" spans="3:60" x14ac:dyDescent="0.2">
      <c r="C461" s="138">
        <v>29932.709580690644</v>
      </c>
      <c r="D461" s="138">
        <v>21.195073010631603</v>
      </c>
      <c r="E461" s="138">
        <v>31693.988830459981</v>
      </c>
      <c r="F461" s="138">
        <v>21.185509631493836</v>
      </c>
      <c r="G461" s="138">
        <v>-1761.2792497693372</v>
      </c>
      <c r="H461" s="138">
        <v>9.5633791377665034E-3</v>
      </c>
      <c r="N461" s="138"/>
      <c r="O461" s="138"/>
      <c r="P461" s="138"/>
      <c r="R461">
        <v>398.41332569146823</v>
      </c>
      <c r="S461">
        <v>51.808604421515412</v>
      </c>
      <c r="T461">
        <v>292.37961277587283</v>
      </c>
      <c r="U461">
        <v>95.386375802550859</v>
      </c>
      <c r="X461">
        <v>0.63062699660754917</v>
      </c>
      <c r="Y461">
        <v>0.91206032589314712</v>
      </c>
      <c r="Z461">
        <v>0.36074835602679861</v>
      </c>
      <c r="AA461">
        <v>0.81353532194870115</v>
      </c>
      <c r="AB461">
        <v>0.79292921775295488</v>
      </c>
      <c r="AC461">
        <v>0.87556148528751032</v>
      </c>
      <c r="AD461">
        <v>0.70454400798469352</v>
      </c>
      <c r="AE461">
        <v>0.69453891775979826</v>
      </c>
      <c r="AH461">
        <v>0.38795262267390762</v>
      </c>
      <c r="AI461">
        <v>1.0287531448021303E-2</v>
      </c>
      <c r="AJ461">
        <v>5.3894872477060263E-2</v>
      </c>
      <c r="AK461">
        <v>6.9786548214123778E-2</v>
      </c>
      <c r="AL461">
        <v>0.19567184487351819</v>
      </c>
      <c r="AM461">
        <v>0.11612944868625164</v>
      </c>
      <c r="AN461">
        <v>0.16613020523607491</v>
      </c>
      <c r="AO461">
        <v>3.0367890255321051E-2</v>
      </c>
      <c r="AR461">
        <v>7.9924921237147341E-4</v>
      </c>
      <c r="AS461">
        <v>4.6886820246188066E-3</v>
      </c>
      <c r="AT461">
        <v>0.10051713420389874</v>
      </c>
      <c r="AU461">
        <v>1.5578007726973603E-3</v>
      </c>
      <c r="AV461">
        <v>1.893653507476974E-3</v>
      </c>
      <c r="AW461">
        <v>3.3159778973093595E-3</v>
      </c>
      <c r="AX461">
        <v>4.302641651340311E-4</v>
      </c>
      <c r="AY461">
        <v>5.1755388942154035E-4</v>
      </c>
      <c r="BB461">
        <v>4.1598792175019314E-2</v>
      </c>
      <c r="BC461">
        <v>2.6170689686334188E-2</v>
      </c>
      <c r="BE461">
        <v>29932.709580690644</v>
      </c>
      <c r="BF461">
        <v>21.195073010631603</v>
      </c>
      <c r="BG461">
        <v>31693.988830459981</v>
      </c>
      <c r="BH461">
        <v>21.185509631493836</v>
      </c>
    </row>
    <row r="462" spans="3:60" x14ac:dyDescent="0.2">
      <c r="C462" s="138">
        <v>33988.571788737703</v>
      </c>
      <c r="D462" s="138">
        <v>20.455534732156686</v>
      </c>
      <c r="E462" s="138">
        <v>36204.468188907929</v>
      </c>
      <c r="F462" s="138">
        <v>20.405347965475606</v>
      </c>
      <c r="G462" s="138">
        <v>-2215.8964001702261</v>
      </c>
      <c r="H462" s="138">
        <v>5.0186766681079575E-2</v>
      </c>
      <c r="N462" s="138"/>
      <c r="O462" s="138"/>
      <c r="P462" s="138"/>
      <c r="R462">
        <v>112.38317003899348</v>
      </c>
      <c r="S462">
        <v>70.875910754696406</v>
      </c>
      <c r="T462">
        <v>217.98620942278379</v>
      </c>
      <c r="U462">
        <v>91.205229596249836</v>
      </c>
      <c r="X462">
        <v>0.5868312257822963</v>
      </c>
      <c r="Y462">
        <v>0.92055621918984865</v>
      </c>
      <c r="Z462">
        <v>0.73110374844708836</v>
      </c>
      <c r="AA462">
        <v>0.79633645998685409</v>
      </c>
      <c r="AB462">
        <v>0.86710477039818956</v>
      </c>
      <c r="AC462">
        <v>0.78842575958514027</v>
      </c>
      <c r="AD462">
        <v>0.67815933773006665</v>
      </c>
      <c r="AE462">
        <v>0.38543914436516608</v>
      </c>
      <c r="AH462">
        <v>0.11857538779078614</v>
      </c>
      <c r="AI462">
        <v>0.31676062408631356</v>
      </c>
      <c r="AJ462">
        <v>9.4581177430463903E-2</v>
      </c>
      <c r="AK462">
        <v>0.19244236404844151</v>
      </c>
      <c r="AL462">
        <v>0.11144590860017456</v>
      </c>
      <c r="AM462">
        <v>1.8920524687315088E-2</v>
      </c>
      <c r="AN462">
        <v>0.15385231319366288</v>
      </c>
      <c r="AO462">
        <v>0.13447282813263051</v>
      </c>
      <c r="AR462">
        <v>9.2313949750977287E-4</v>
      </c>
      <c r="AS462">
        <v>4.6954886315296873E-3</v>
      </c>
      <c r="AT462">
        <v>0.10030146729653566</v>
      </c>
      <c r="AU462">
        <v>2.0235154107779429E-3</v>
      </c>
      <c r="AV462">
        <v>2.1568919872566594E-3</v>
      </c>
      <c r="AW462">
        <v>3.7480139708464533E-3</v>
      </c>
      <c r="AX462">
        <v>4.0044299070507439E-4</v>
      </c>
      <c r="AY462">
        <v>5.2920158830815911E-4</v>
      </c>
      <c r="BB462">
        <v>5.6660563999798352E-2</v>
      </c>
      <c r="BC462">
        <v>4.1974588529228869E-2</v>
      </c>
      <c r="BE462">
        <v>33988.571788737703</v>
      </c>
      <c r="BF462">
        <v>20.455534732156686</v>
      </c>
      <c r="BG462">
        <v>36204.468188907929</v>
      </c>
      <c r="BH462">
        <v>20.405347965475606</v>
      </c>
    </row>
    <row r="463" spans="3:60" x14ac:dyDescent="0.2">
      <c r="C463" s="138">
        <v>30373.981886801754</v>
      </c>
      <c r="D463" s="138">
        <v>20.944889400157894</v>
      </c>
      <c r="E463" s="138">
        <v>31991.567713541743</v>
      </c>
      <c r="F463" s="138">
        <v>20.956613214813284</v>
      </c>
      <c r="G463" s="138">
        <v>-1617.585826739989</v>
      </c>
      <c r="H463" s="138">
        <v>-1.1723814655390186E-2</v>
      </c>
      <c r="N463" s="138"/>
      <c r="O463" s="138"/>
      <c r="P463" s="138"/>
      <c r="R463">
        <v>320.00885908183091</v>
      </c>
      <c r="S463">
        <v>55.265652202702142</v>
      </c>
      <c r="T463">
        <v>249.31719607894789</v>
      </c>
      <c r="U463">
        <v>92.112594487052661</v>
      </c>
      <c r="X463">
        <v>0.83118296540910352</v>
      </c>
      <c r="Y463">
        <v>0.66822363224139858</v>
      </c>
      <c r="Z463">
        <v>0.82101552630102226</v>
      </c>
      <c r="AA463">
        <v>0.7099710672142715</v>
      </c>
      <c r="AB463">
        <v>0.90877139100187121</v>
      </c>
      <c r="AC463">
        <v>0.45725557519968824</v>
      </c>
      <c r="AD463">
        <v>0.64866460216893074</v>
      </c>
      <c r="AE463">
        <v>0.89473616975932768</v>
      </c>
      <c r="AH463">
        <v>5.9742308942886568E-2</v>
      </c>
      <c r="AI463">
        <v>3.5599992887281218E-2</v>
      </c>
      <c r="AJ463">
        <v>2.3523607084327658E-2</v>
      </c>
      <c r="AK463">
        <v>0.11631990492467503</v>
      </c>
      <c r="AL463">
        <v>0.27188431770912114</v>
      </c>
      <c r="AM463">
        <v>6.2861888688085621E-2</v>
      </c>
      <c r="AN463">
        <v>8.6862941020146911E-2</v>
      </c>
      <c r="AO463">
        <v>5.7285431300916678E-2</v>
      </c>
      <c r="AR463">
        <v>8.0849077927693327E-4</v>
      </c>
      <c r="AS463">
        <v>4.415156542032431E-3</v>
      </c>
      <c r="AT463">
        <v>9.9677179443578109E-2</v>
      </c>
      <c r="AU463">
        <v>1.6884803697782575E-3</v>
      </c>
      <c r="AV463">
        <v>2.0716315611576386E-3</v>
      </c>
      <c r="AW463">
        <v>3.2601389371179883E-3</v>
      </c>
      <c r="AX463">
        <v>4.6727174107008551E-4</v>
      </c>
      <c r="AY463">
        <v>5.1113982040573713E-4</v>
      </c>
      <c r="BB463">
        <v>5.0820395505301152E-2</v>
      </c>
      <c r="BC463">
        <v>5.3909028834728145E-2</v>
      </c>
      <c r="BE463">
        <v>30373.981886801754</v>
      </c>
      <c r="BF463">
        <v>20.944889400157894</v>
      </c>
      <c r="BG463">
        <v>31991.567713541743</v>
      </c>
      <c r="BH463">
        <v>20.956613214813284</v>
      </c>
    </row>
    <row r="464" spans="3:60" x14ac:dyDescent="0.2">
      <c r="C464" s="138">
        <v>35117.96999372237</v>
      </c>
      <c r="D464" s="138">
        <v>19.969127006546657</v>
      </c>
      <c r="E464" s="138">
        <v>37378.525564893971</v>
      </c>
      <c r="F464" s="138">
        <v>19.89858679429954</v>
      </c>
      <c r="G464" s="138">
        <v>-2260.5555711716006</v>
      </c>
      <c r="H464" s="138">
        <v>7.054021224711704E-2</v>
      </c>
      <c r="N464" s="138"/>
      <c r="O464" s="138"/>
      <c r="P464" s="138"/>
      <c r="R464">
        <v>184.70488551834714</v>
      </c>
      <c r="S464">
        <v>58.131532928456267</v>
      </c>
      <c r="T464">
        <v>239.27531835672491</v>
      </c>
      <c r="U464">
        <v>95.845380686160453</v>
      </c>
      <c r="X464">
        <v>0.9268717109415604</v>
      </c>
      <c r="Y464">
        <v>0.90790898791965791</v>
      </c>
      <c r="Z464">
        <v>0.46615984754152762</v>
      </c>
      <c r="AA464">
        <v>0.90016326264832824</v>
      </c>
      <c r="AB464">
        <v>0.73373821804591144</v>
      </c>
      <c r="AC464">
        <v>0.55364313475249338</v>
      </c>
      <c r="AD464">
        <v>0.77049023334101507</v>
      </c>
      <c r="AE464">
        <v>0.72668202744950039</v>
      </c>
      <c r="AH464">
        <v>8.9090194552708835E-2</v>
      </c>
      <c r="AI464">
        <v>0.1365561259372533</v>
      </c>
      <c r="AJ464">
        <v>0.34687465100885106</v>
      </c>
      <c r="AK464">
        <v>2.9726745505790797E-2</v>
      </c>
      <c r="AL464">
        <v>0.16105763302978404</v>
      </c>
      <c r="AM464">
        <v>9.7276521368135138E-2</v>
      </c>
      <c r="AN464">
        <v>2.8035354004531943E-2</v>
      </c>
      <c r="AO464">
        <v>5.8576312877930192E-2</v>
      </c>
      <c r="AR464">
        <v>8.9443530956734296E-4</v>
      </c>
      <c r="AS464">
        <v>4.6222620709770457E-3</v>
      </c>
      <c r="AT464">
        <v>9.8063432493817715E-2</v>
      </c>
      <c r="AU464">
        <v>1.8345483808702881E-3</v>
      </c>
      <c r="AV464">
        <v>1.9131685443719557E-3</v>
      </c>
      <c r="AW464">
        <v>3.5958116381219485E-3</v>
      </c>
      <c r="AX464">
        <v>3.7478912873178136E-4</v>
      </c>
      <c r="AY464">
        <v>4.0652298115276638E-4</v>
      </c>
      <c r="BB464">
        <v>5.6555718793616983E-2</v>
      </c>
      <c r="BC464">
        <v>3.1384654884281021E-2</v>
      </c>
      <c r="BE464">
        <v>35117.96999372237</v>
      </c>
      <c r="BF464">
        <v>19.969127006546657</v>
      </c>
      <c r="BG464">
        <v>37378.525564893971</v>
      </c>
      <c r="BH464">
        <v>19.89858679429954</v>
      </c>
    </row>
    <row r="465" spans="3:60" x14ac:dyDescent="0.2">
      <c r="C465" s="138">
        <v>36904.744337126853</v>
      </c>
      <c r="D465" s="138">
        <v>20.859428086152345</v>
      </c>
      <c r="E465" s="138">
        <v>39033.037420605513</v>
      </c>
      <c r="F465" s="138">
        <v>20.846305008039689</v>
      </c>
      <c r="G465" s="138">
        <v>-2128.2930834786603</v>
      </c>
      <c r="H465" s="138">
        <v>1.3123078112656117E-2</v>
      </c>
      <c r="N465" s="138"/>
      <c r="O465" s="138"/>
      <c r="P465" s="138"/>
      <c r="R465">
        <v>267.57020675045277</v>
      </c>
      <c r="S465">
        <v>61.224188584030777</v>
      </c>
      <c r="T465">
        <v>211.16637320258653</v>
      </c>
      <c r="U465">
        <v>78.981199133974769</v>
      </c>
      <c r="X465">
        <v>0.89289368723454499</v>
      </c>
      <c r="Y465">
        <v>0.70734496130083335</v>
      </c>
      <c r="Z465">
        <v>0.80732561622921084</v>
      </c>
      <c r="AA465">
        <v>0.82677274189957606</v>
      </c>
      <c r="AB465">
        <v>0.54242426689939527</v>
      </c>
      <c r="AC465">
        <v>0.3807633304369118</v>
      </c>
      <c r="AD465">
        <v>0.67610246123327511</v>
      </c>
      <c r="AE465">
        <v>0.74851889160879426</v>
      </c>
      <c r="AH465">
        <v>0.11495801529722882</v>
      </c>
      <c r="AI465">
        <v>0.24290421576264409</v>
      </c>
      <c r="AJ465">
        <v>8.2009715147397078E-2</v>
      </c>
      <c r="AK465">
        <v>1.4643027072332004E-2</v>
      </c>
      <c r="AL465">
        <v>0.12881978817092254</v>
      </c>
      <c r="AM465">
        <v>0.1371492626491887</v>
      </c>
      <c r="AN465">
        <v>0.26615278284004751</v>
      </c>
      <c r="AO465">
        <v>7.1771440383466389E-2</v>
      </c>
      <c r="AR465">
        <v>8.0217232880947507E-4</v>
      </c>
      <c r="AS465">
        <v>4.2197510515329757E-3</v>
      </c>
      <c r="AT465">
        <v>9.9673090185722166E-2</v>
      </c>
      <c r="AU465">
        <v>1.9732667385301173E-3</v>
      </c>
      <c r="AV465">
        <v>1.9013050541614319E-3</v>
      </c>
      <c r="AW465">
        <v>3.3242047404118155E-3</v>
      </c>
      <c r="AX465">
        <v>4.197279015545341E-4</v>
      </c>
      <c r="AY465">
        <v>5.5430323595961895E-4</v>
      </c>
      <c r="BB465">
        <v>5.6382674281703293E-2</v>
      </c>
      <c r="BC465">
        <v>2.9046762902293115E-2</v>
      </c>
      <c r="BE465">
        <v>36904.744337126853</v>
      </c>
      <c r="BF465">
        <v>20.859428086152345</v>
      </c>
      <c r="BG465">
        <v>39033.037420605513</v>
      </c>
      <c r="BH465">
        <v>20.846305008039689</v>
      </c>
    </row>
    <row r="466" spans="3:60" x14ac:dyDescent="0.2">
      <c r="C466" s="138">
        <v>25489.256716394288</v>
      </c>
      <c r="D466" s="138">
        <v>21.068315317852679</v>
      </c>
      <c r="E466" s="138">
        <v>27992.403819012266</v>
      </c>
      <c r="F466" s="138">
        <v>21.051804079657213</v>
      </c>
      <c r="G466" s="138">
        <v>-2503.1471026179788</v>
      </c>
      <c r="H466" s="138">
        <v>1.6511238195466404E-2</v>
      </c>
      <c r="N466" s="138"/>
      <c r="O466" s="138"/>
      <c r="P466" s="138"/>
      <c r="R466">
        <v>90.20954627668948</v>
      </c>
      <c r="S466">
        <v>54.433283418774828</v>
      </c>
      <c r="T466">
        <v>227.72650511297184</v>
      </c>
      <c r="U466">
        <v>100.74367037432941</v>
      </c>
      <c r="X466">
        <v>0.43847900874121765</v>
      </c>
      <c r="Y466">
        <v>0.86429503148862774</v>
      </c>
      <c r="Z466">
        <v>0.62818245125278449</v>
      </c>
      <c r="AA466">
        <v>0.83632464028846143</v>
      </c>
      <c r="AB466">
        <v>0.63757404602457612</v>
      </c>
      <c r="AC466">
        <v>0.67002317453887938</v>
      </c>
      <c r="AD466">
        <v>0.81725884019983597</v>
      </c>
      <c r="AE466">
        <v>0.63192733859792949</v>
      </c>
      <c r="AH466">
        <v>0.15051445159751686</v>
      </c>
      <c r="AI466">
        <v>2.477597415138022E-2</v>
      </c>
      <c r="AJ466">
        <v>0.26662185911844372</v>
      </c>
      <c r="AK466">
        <v>4.9137028328817278E-2</v>
      </c>
      <c r="AL466">
        <v>0.2874686387689489</v>
      </c>
      <c r="AM466">
        <v>6.4098926251428212E-2</v>
      </c>
      <c r="AN466">
        <v>5.577194755554471E-2</v>
      </c>
      <c r="AO466">
        <v>1.7212340891074707E-2</v>
      </c>
      <c r="AR466">
        <v>8.4227666836612133E-4</v>
      </c>
      <c r="AS466">
        <v>4.7196438269461183E-3</v>
      </c>
      <c r="AT466">
        <v>0.10054802688969455</v>
      </c>
      <c r="AU466">
        <v>1.7678495702086925E-3</v>
      </c>
      <c r="AV466">
        <v>2.0953999436471582E-3</v>
      </c>
      <c r="AW466">
        <v>3.3147774956031515E-3</v>
      </c>
      <c r="AX466">
        <v>4.9245843336986894E-4</v>
      </c>
      <c r="AY466">
        <v>6.5090882878737766E-4</v>
      </c>
      <c r="BB466">
        <v>4.6552297330285104E-2</v>
      </c>
      <c r="BC466">
        <v>3.738001055726925E-2</v>
      </c>
      <c r="BE466">
        <v>25489.256716394288</v>
      </c>
      <c r="BF466">
        <v>21.068315317852679</v>
      </c>
      <c r="BG466">
        <v>27992.403819012266</v>
      </c>
      <c r="BH466">
        <v>21.051804079657213</v>
      </c>
    </row>
    <row r="467" spans="3:60" x14ac:dyDescent="0.2">
      <c r="C467" s="138">
        <v>34808.58306827621</v>
      </c>
      <c r="D467" s="138">
        <v>21.374602114292902</v>
      </c>
      <c r="E467" s="138">
        <v>36714.670499817912</v>
      </c>
      <c r="F467" s="138">
        <v>21.366241259604418</v>
      </c>
      <c r="G467" s="138">
        <v>-1906.0874315417022</v>
      </c>
      <c r="H467" s="138">
        <v>8.3608546884832435E-3</v>
      </c>
      <c r="N467" s="138"/>
      <c r="O467" s="138"/>
      <c r="P467" s="138"/>
      <c r="R467">
        <v>307.88526322771219</v>
      </c>
      <c r="S467">
        <v>51.188330171377345</v>
      </c>
      <c r="T467">
        <v>307.64450851244311</v>
      </c>
      <c r="U467">
        <v>108.26200924161006</v>
      </c>
      <c r="X467">
        <v>0.55699246427290083</v>
      </c>
      <c r="Y467">
        <v>0.84847914978961403</v>
      </c>
      <c r="Z467">
        <v>0.80972994531793774</v>
      </c>
      <c r="AA467">
        <v>0.68742629851391035</v>
      </c>
      <c r="AB467">
        <v>0.79231345643685303</v>
      </c>
      <c r="AC467">
        <v>0.90978312920319315</v>
      </c>
      <c r="AD467">
        <v>0.78653828729510145</v>
      </c>
      <c r="AE467">
        <v>0.65673386584923232</v>
      </c>
      <c r="AH467">
        <v>0.21447829834480447</v>
      </c>
      <c r="AI467">
        <v>0.27294504614694703</v>
      </c>
      <c r="AJ467">
        <v>7.0129006331467458E-3</v>
      </c>
      <c r="AK467">
        <v>4.340835072372462E-2</v>
      </c>
      <c r="AL467">
        <v>0.14205830238906814</v>
      </c>
      <c r="AM467">
        <v>0.11802177793318225</v>
      </c>
      <c r="AN467">
        <v>2.3814110181829662E-2</v>
      </c>
      <c r="AO467">
        <v>6.0732657094332065E-2</v>
      </c>
      <c r="AR467">
        <v>7.5392296893910047E-4</v>
      </c>
      <c r="AS467">
        <v>4.8738031575911167E-3</v>
      </c>
      <c r="AT467">
        <v>9.9071111975583784E-2</v>
      </c>
      <c r="AU467">
        <v>1.8948959578940301E-3</v>
      </c>
      <c r="AV467">
        <v>1.9728745890017453E-3</v>
      </c>
      <c r="AW467">
        <v>3.2930144937741161E-3</v>
      </c>
      <c r="AX467">
        <v>4.0003488686568556E-4</v>
      </c>
      <c r="AY467">
        <v>4.9795338788205523E-4</v>
      </c>
      <c r="BB467">
        <v>5.7289119969762714E-2</v>
      </c>
      <c r="BC467">
        <v>2.2082375961582697E-2</v>
      </c>
      <c r="BE467">
        <v>34808.58306827621</v>
      </c>
      <c r="BF467">
        <v>21.374602114292902</v>
      </c>
      <c r="BG467">
        <v>36714.670499817912</v>
      </c>
      <c r="BH467">
        <v>21.366241259604418</v>
      </c>
    </row>
    <row r="468" spans="3:60" x14ac:dyDescent="0.2">
      <c r="C468" s="138">
        <v>38525.856294026067</v>
      </c>
      <c r="D468" s="138">
        <v>20.198135187612788</v>
      </c>
      <c r="E468" s="138">
        <v>40805.644674375391</v>
      </c>
      <c r="F468" s="138">
        <v>20.149505050154165</v>
      </c>
      <c r="G468" s="138">
        <v>-2279.7883803493241</v>
      </c>
      <c r="H468" s="138">
        <v>4.8630137458623324E-2</v>
      </c>
      <c r="N468" s="138"/>
      <c r="O468" s="138"/>
      <c r="P468" s="138"/>
      <c r="R468">
        <v>194.90773510138916</v>
      </c>
      <c r="S468">
        <v>57.111039800113538</v>
      </c>
      <c r="T468">
        <v>250.7575594965642</v>
      </c>
      <c r="U468">
        <v>86.723122030383166</v>
      </c>
      <c r="X468">
        <v>0.64816910011710771</v>
      </c>
      <c r="Y468">
        <v>0.89853149172558289</v>
      </c>
      <c r="Z468">
        <v>0.83917442305690693</v>
      </c>
      <c r="AA468">
        <v>0.81258519670433127</v>
      </c>
      <c r="AB468">
        <v>0.82815914836173254</v>
      </c>
      <c r="AC468">
        <v>0.83755640010428345</v>
      </c>
      <c r="AD468">
        <v>0.75606255205213069</v>
      </c>
      <c r="AE468">
        <v>0.54561510107408095</v>
      </c>
      <c r="AH468">
        <v>6.2862743761297302E-2</v>
      </c>
      <c r="AI468">
        <v>9.5786443891518358E-2</v>
      </c>
      <c r="AJ468">
        <v>0.1652380718505565</v>
      </c>
      <c r="AK468">
        <v>0.19421785046019191</v>
      </c>
      <c r="AL468">
        <v>9.9055814130269981E-2</v>
      </c>
      <c r="AM468">
        <v>0.14858498075123494</v>
      </c>
      <c r="AN468">
        <v>5.1127579276221358E-2</v>
      </c>
      <c r="AO468">
        <v>7.5677288460800018E-2</v>
      </c>
      <c r="AR468">
        <v>9.7556004046028821E-4</v>
      </c>
      <c r="AS468">
        <v>4.6709518306262687E-3</v>
      </c>
      <c r="AT468">
        <v>0.10014740892797669</v>
      </c>
      <c r="AU468">
        <v>2.0478082278108101E-3</v>
      </c>
      <c r="AV468">
        <v>2.0247356546524431E-3</v>
      </c>
      <c r="AW468">
        <v>3.5017436355696541E-3</v>
      </c>
      <c r="AX468">
        <v>3.7971214612841751E-4</v>
      </c>
      <c r="AY468">
        <v>4.0490753540830681E-4</v>
      </c>
      <c r="BB468">
        <v>5.0167268358608519E-2</v>
      </c>
      <c r="BC468">
        <v>4.518556767938605E-2</v>
      </c>
      <c r="BE468">
        <v>38525.856294026067</v>
      </c>
      <c r="BF468">
        <v>20.198135187612788</v>
      </c>
      <c r="BG468">
        <v>40805.644674375391</v>
      </c>
      <c r="BH468">
        <v>20.149505050154165</v>
      </c>
    </row>
    <row r="469" spans="3:60" x14ac:dyDescent="0.2">
      <c r="C469" s="138">
        <v>31661.045635057548</v>
      </c>
      <c r="D469" s="138">
        <v>21.236878551886281</v>
      </c>
      <c r="E469" s="138">
        <v>33726.783168600174</v>
      </c>
      <c r="F469" s="138">
        <v>21.214635000301133</v>
      </c>
      <c r="G469" s="138">
        <v>-2065.7375335426259</v>
      </c>
      <c r="H469" s="138">
        <v>2.224355158514868E-2</v>
      </c>
      <c r="N469" s="138"/>
      <c r="O469" s="138"/>
      <c r="P469" s="138"/>
      <c r="R469">
        <v>208.91248170979372</v>
      </c>
      <c r="S469">
        <v>62.039139480612839</v>
      </c>
      <c r="T469">
        <v>250.83246689642502</v>
      </c>
      <c r="U469">
        <v>72.45020660462805</v>
      </c>
      <c r="X469">
        <v>0.66278562340141678</v>
      </c>
      <c r="Y469">
        <v>0.60914247924314002</v>
      </c>
      <c r="Z469">
        <v>0.84621591610243485</v>
      </c>
      <c r="AA469">
        <v>0.775416544676099</v>
      </c>
      <c r="AB469">
        <v>0.90123838539960188</v>
      </c>
      <c r="AC469">
        <v>0.89450266149616486</v>
      </c>
      <c r="AD469">
        <v>0.84225963309146246</v>
      </c>
      <c r="AE469">
        <v>0.78347496334550637</v>
      </c>
      <c r="AH469">
        <v>1.756432023707355E-2</v>
      </c>
      <c r="AI469">
        <v>0.18781031665844017</v>
      </c>
      <c r="AJ469">
        <v>0.20232984616514027</v>
      </c>
      <c r="AK469">
        <v>5.6294822580284287E-2</v>
      </c>
      <c r="AL469">
        <v>1.6393717494530335E-2</v>
      </c>
      <c r="AM469">
        <v>0.276503663297055</v>
      </c>
      <c r="AN469">
        <v>1.6153126682485919E-2</v>
      </c>
      <c r="AO469">
        <v>4.7137662170955164E-3</v>
      </c>
      <c r="AR469">
        <v>8.8449080379346227E-4</v>
      </c>
      <c r="AS469">
        <v>4.3145742327572734E-3</v>
      </c>
      <c r="AT469">
        <v>0.10074400558755503</v>
      </c>
      <c r="AU469">
        <v>2.1555211476701475E-3</v>
      </c>
      <c r="AV469">
        <v>2.2228312025768249E-3</v>
      </c>
      <c r="AW469">
        <v>3.4880366459331125E-3</v>
      </c>
      <c r="AX469">
        <v>3.5247275070394502E-4</v>
      </c>
      <c r="AY469">
        <v>4.0521671025563422E-4</v>
      </c>
      <c r="BB469">
        <v>4.9640332318189026E-2</v>
      </c>
      <c r="BC469">
        <v>8.847989513852228E-2</v>
      </c>
      <c r="BE469">
        <v>31661.045635057548</v>
      </c>
      <c r="BF469">
        <v>21.236878551886281</v>
      </c>
      <c r="BG469">
        <v>33726.783168600174</v>
      </c>
      <c r="BH469">
        <v>21.214635000301133</v>
      </c>
    </row>
    <row r="470" spans="3:60" x14ac:dyDescent="0.2">
      <c r="C470" s="138">
        <v>33540.269594186844</v>
      </c>
      <c r="D470">
        <v>20.60206370925895</v>
      </c>
      <c r="E470" s="138">
        <v>35890.69197932665</v>
      </c>
      <c r="F470" s="138">
        <v>20.596805833989134</v>
      </c>
      <c r="G470" s="138">
        <v>-2350.4223851398056</v>
      </c>
      <c r="H470" s="138">
        <v>5.2578752698160258E-3</v>
      </c>
      <c r="N470" s="138"/>
      <c r="O470" s="138"/>
      <c r="P470" s="138"/>
      <c r="R470">
        <v>287.75357537988589</v>
      </c>
      <c r="S470">
        <v>55.370718268450617</v>
      </c>
      <c r="T470">
        <v>238.49602010788772</v>
      </c>
      <c r="U470">
        <v>87.150623897966227</v>
      </c>
      <c r="X470">
        <v>0.88124202561802101</v>
      </c>
      <c r="Y470">
        <v>0.55509937092191497</v>
      </c>
      <c r="Z470">
        <v>0.72253180187230914</v>
      </c>
      <c r="AA470">
        <v>0.79955729924661989</v>
      </c>
      <c r="AB470">
        <v>0.74833284158230007</v>
      </c>
      <c r="AC470">
        <v>0.65142946294672621</v>
      </c>
      <c r="AD470">
        <v>0.39733512798786097</v>
      </c>
      <c r="AE470">
        <v>0.59531542889040578</v>
      </c>
      <c r="AH470">
        <v>2.4738378435735786E-2</v>
      </c>
      <c r="AI470">
        <v>6.9628148346290386E-2</v>
      </c>
      <c r="AJ470">
        <v>5.0957575438286273E-2</v>
      </c>
      <c r="AK470">
        <v>0.18344082836681586</v>
      </c>
      <c r="AL470">
        <v>0.18027879277015091</v>
      </c>
      <c r="AM470">
        <v>0.1684537220824005</v>
      </c>
      <c r="AN470">
        <v>0.19878673161121563</v>
      </c>
      <c r="AO470">
        <v>8.7763268693130336E-2</v>
      </c>
      <c r="AR470">
        <v>9.0774806141247222E-4</v>
      </c>
      <c r="AS470">
        <v>4.4984458806319738E-3</v>
      </c>
      <c r="AT470">
        <v>0.10075785439740204</v>
      </c>
      <c r="AU470">
        <v>1.9547224718968275E-3</v>
      </c>
      <c r="AV470">
        <v>2.1063120785321798E-3</v>
      </c>
      <c r="AW470">
        <v>3.4396222750524563E-3</v>
      </c>
      <c r="AX470">
        <v>4.2294016535748824E-4</v>
      </c>
      <c r="AY470">
        <v>7.2819698245052411E-4</v>
      </c>
      <c r="BB470">
        <v>4.6217937601559789E-2</v>
      </c>
      <c r="BC470">
        <v>2.7643404186435436E-2</v>
      </c>
      <c r="BE470">
        <v>33540.269594186844</v>
      </c>
      <c r="BF470">
        <v>20.60206370925895</v>
      </c>
      <c r="BG470">
        <v>35890.69197932665</v>
      </c>
      <c r="BH470">
        <v>20.596805833989134</v>
      </c>
    </row>
    <row r="471" spans="3:60" x14ac:dyDescent="0.2">
      <c r="C471" s="138">
        <v>38283.325185130379</v>
      </c>
      <c r="D471">
        <v>20.842689027844646</v>
      </c>
      <c r="E471" s="138">
        <v>40310.153441238253</v>
      </c>
      <c r="F471" s="138">
        <v>20.795643481786271</v>
      </c>
      <c r="G471" s="138">
        <v>-2026.828256107874</v>
      </c>
      <c r="H471" s="138">
        <v>4.7045546058374299E-2</v>
      </c>
      <c r="N471" s="138"/>
      <c r="O471" s="138"/>
      <c r="P471" s="138"/>
      <c r="R471">
        <v>400.46188842244999</v>
      </c>
      <c r="S471">
        <v>46.407981529708081</v>
      </c>
      <c r="T471">
        <v>237.70819696556293</v>
      </c>
      <c r="U471">
        <v>87.563192327830023</v>
      </c>
      <c r="X471">
        <v>0.85179294014022844</v>
      </c>
      <c r="Y471">
        <v>0.71399865244271654</v>
      </c>
      <c r="Z471">
        <v>0.64492448291937665</v>
      </c>
      <c r="AA471">
        <v>0.77793574096293105</v>
      </c>
      <c r="AB471">
        <v>0.69290957554868748</v>
      </c>
      <c r="AC471">
        <v>0.73708829181345181</v>
      </c>
      <c r="AD471">
        <v>0.77213150897790039</v>
      </c>
      <c r="AE471">
        <v>0.38210827787017437</v>
      </c>
      <c r="AH471">
        <v>0.2249813920891891</v>
      </c>
      <c r="AI471">
        <v>3.2432744329446428E-2</v>
      </c>
      <c r="AJ471">
        <v>2.6828671640724333E-2</v>
      </c>
      <c r="AK471">
        <v>1.3309879424278193E-2</v>
      </c>
      <c r="AL471">
        <v>8.5893061980161889E-2</v>
      </c>
      <c r="AM471">
        <v>0.15810530370524278</v>
      </c>
      <c r="AN471">
        <v>0.2833434402152627</v>
      </c>
      <c r="AO471">
        <v>0.21616568157423255</v>
      </c>
      <c r="AR471">
        <v>8.7945262288070033E-4</v>
      </c>
      <c r="AS471">
        <v>4.5726277500794943E-3</v>
      </c>
      <c r="AT471">
        <v>0.10132472824415351</v>
      </c>
      <c r="AU471">
        <v>2.1590715416078821E-3</v>
      </c>
      <c r="AV471">
        <v>1.9932553634797972E-3</v>
      </c>
      <c r="AW471">
        <v>3.3818532780747739E-3</v>
      </c>
      <c r="AX471">
        <v>3.6397110782200885E-4</v>
      </c>
      <c r="AY471">
        <v>5.5873909377113229E-4</v>
      </c>
      <c r="BB471">
        <v>4.4244417155923511E-2</v>
      </c>
      <c r="BC471">
        <v>7.4531491888726542E-2</v>
      </c>
      <c r="BE471">
        <v>38283.325185130379</v>
      </c>
      <c r="BF471">
        <v>20.842689027844646</v>
      </c>
      <c r="BG471">
        <v>40310.153441238253</v>
      </c>
      <c r="BH471">
        <v>20.795643481786271</v>
      </c>
    </row>
    <row r="472" spans="3:60" x14ac:dyDescent="0.2">
      <c r="C472" s="138">
        <v>31467.39724411425</v>
      </c>
      <c r="D472">
        <v>21.760089969687627</v>
      </c>
      <c r="E472" s="138">
        <v>33462.390056599259</v>
      </c>
      <c r="F472" s="138">
        <v>21.76182537788219</v>
      </c>
      <c r="G472" s="138">
        <v>-1994.9928124850085</v>
      </c>
      <c r="H472" s="138">
        <v>-1.7354081945626376E-3</v>
      </c>
      <c r="N472" s="138"/>
      <c r="O472" s="138"/>
      <c r="P472" s="138"/>
      <c r="R472">
        <v>346.4110841416674</v>
      </c>
      <c r="S472">
        <v>62.735679367106684</v>
      </c>
      <c r="T472">
        <v>252.18565730080354</v>
      </c>
      <c r="U472">
        <v>95.255596246040056</v>
      </c>
      <c r="X472">
        <v>0.76616331557230766</v>
      </c>
      <c r="Y472">
        <v>0.63288952191194714</v>
      </c>
      <c r="Z472">
        <v>0.65189638250073434</v>
      </c>
      <c r="AA472">
        <v>0.70703929346956507</v>
      </c>
      <c r="AB472">
        <v>0.67174839151384791</v>
      </c>
      <c r="AC472">
        <v>0.69273114332343144</v>
      </c>
      <c r="AD472">
        <v>0.66840112302429522</v>
      </c>
      <c r="AE472">
        <v>0.52743936906025302</v>
      </c>
      <c r="AH472">
        <v>0.22142517521211813</v>
      </c>
      <c r="AI472">
        <v>0.12861925396290663</v>
      </c>
      <c r="AJ472">
        <v>7.5735136481329124E-2</v>
      </c>
      <c r="AK472">
        <v>7.0093272765219372E-2</v>
      </c>
      <c r="AL472">
        <v>8.0423944694428373E-2</v>
      </c>
      <c r="AM472">
        <v>8.6028312447785638E-2</v>
      </c>
      <c r="AN472">
        <v>8.3984035442615346E-2</v>
      </c>
      <c r="AO472">
        <v>8.4341813224824591E-2</v>
      </c>
      <c r="AR472">
        <v>9.3793330706604117E-4</v>
      </c>
      <c r="AS472">
        <v>4.6361528365741478E-3</v>
      </c>
      <c r="AT472">
        <v>9.9401605234366724E-2</v>
      </c>
      <c r="AU472">
        <v>1.7990071067373315E-3</v>
      </c>
      <c r="AV472">
        <v>1.9475479580040209E-3</v>
      </c>
      <c r="AW472">
        <v>3.6908779157319715E-3</v>
      </c>
      <c r="AX472">
        <v>4.3218637692599149E-4</v>
      </c>
      <c r="AY472">
        <v>4.3518580856395905E-4</v>
      </c>
      <c r="BB472">
        <v>4.9901829188927604E-2</v>
      </c>
      <c r="BC472">
        <v>2.8958176820671946E-2</v>
      </c>
      <c r="BE472">
        <v>31467.39724411425</v>
      </c>
      <c r="BF472">
        <v>21.760089969687627</v>
      </c>
      <c r="BG472">
        <v>33462.390056599259</v>
      </c>
      <c r="BH472">
        <v>21.76182537788219</v>
      </c>
    </row>
    <row r="473" spans="3:60" x14ac:dyDescent="0.2">
      <c r="C473" s="138">
        <v>39385.370732491239</v>
      </c>
      <c r="D473">
        <v>21.023026815764421</v>
      </c>
      <c r="E473" s="138">
        <v>42424.174419607079</v>
      </c>
      <c r="F473" s="138">
        <v>20.999669954076619</v>
      </c>
      <c r="G473" s="138">
        <v>-3038.8036871158401</v>
      </c>
      <c r="H473" s="138">
        <v>2.3356861687801711E-2</v>
      </c>
      <c r="N473" s="138"/>
      <c r="O473" s="138"/>
      <c r="P473" s="138"/>
      <c r="R473">
        <v>349.77472208935387</v>
      </c>
      <c r="S473">
        <v>72.249953998770692</v>
      </c>
      <c r="T473">
        <v>241.48253254390093</v>
      </c>
      <c r="U473">
        <v>71.071305927376386</v>
      </c>
      <c r="X473">
        <v>0.8093125586542711</v>
      </c>
      <c r="Y473">
        <v>0.84217347999549297</v>
      </c>
      <c r="Z473">
        <v>0.84335272539724238</v>
      </c>
      <c r="AA473">
        <v>0.71101378171949436</v>
      </c>
      <c r="AB473">
        <v>0.67198844255104029</v>
      </c>
      <c r="AC473">
        <v>0.5628936879827644</v>
      </c>
      <c r="AD473">
        <v>0.80508406084193374</v>
      </c>
      <c r="AE473">
        <v>0.84196402599023323</v>
      </c>
      <c r="AH473">
        <v>0.37762402991331123</v>
      </c>
      <c r="AI473">
        <v>0.19448372581835494</v>
      </c>
      <c r="AJ473">
        <v>8.101820301429874E-2</v>
      </c>
      <c r="AK473">
        <v>0.16772098126571466</v>
      </c>
      <c r="AL473">
        <v>0.20151870722420628</v>
      </c>
      <c r="AM473">
        <v>3.6098880789546817E-2</v>
      </c>
      <c r="AN473">
        <v>4.8051424804591347E-2</v>
      </c>
      <c r="AO473">
        <v>6.304188508231201E-2</v>
      </c>
      <c r="AR473">
        <v>9.1434961898739786E-4</v>
      </c>
      <c r="AS473">
        <v>4.4459775438031235E-3</v>
      </c>
      <c r="AT473">
        <v>9.9808600686126375E-2</v>
      </c>
      <c r="AU473">
        <v>1.9886777083134798E-3</v>
      </c>
      <c r="AV473">
        <v>2.1257939096444023E-3</v>
      </c>
      <c r="AW473">
        <v>3.1039014370387412E-3</v>
      </c>
      <c r="AX473">
        <v>3.7508463622287487E-4</v>
      </c>
      <c r="AY473">
        <v>4.5471901934912573E-4</v>
      </c>
      <c r="BB473">
        <v>4.7117687739810024E-2</v>
      </c>
      <c r="BC473">
        <v>3.8657747664284363E-2</v>
      </c>
      <c r="BE473">
        <v>39385.370732491239</v>
      </c>
      <c r="BF473">
        <v>21.023026815764421</v>
      </c>
      <c r="BG473">
        <v>42424.174419607079</v>
      </c>
      <c r="BH473">
        <v>20.999669954076619</v>
      </c>
    </row>
    <row r="474" spans="3:60" x14ac:dyDescent="0.2">
      <c r="C474" s="138">
        <v>27524.142536589079</v>
      </c>
      <c r="D474">
        <v>20.992410618242516</v>
      </c>
      <c r="E474" s="138">
        <v>29622.865396030167</v>
      </c>
      <c r="F474" s="138">
        <v>21.008824644726403</v>
      </c>
      <c r="G474" s="138">
        <v>-2098.7228594410881</v>
      </c>
      <c r="H474" s="138">
        <v>-1.6414026483886346E-2</v>
      </c>
      <c r="N474" s="138"/>
      <c r="O474" s="138"/>
      <c r="P474" s="138"/>
      <c r="R474">
        <v>373.04446363444572</v>
      </c>
      <c r="S474">
        <v>48.360447038459391</v>
      </c>
      <c r="T474">
        <v>232.92630921605721</v>
      </c>
      <c r="U474">
        <v>102.8148317054743</v>
      </c>
      <c r="X474">
        <v>0.72936474265509188</v>
      </c>
      <c r="Y474">
        <v>0.77739938127039643</v>
      </c>
      <c r="Z474">
        <v>0.66604046404284178</v>
      </c>
      <c r="AA474">
        <v>0.67239515275187389</v>
      </c>
      <c r="AB474">
        <v>0.83627464465407753</v>
      </c>
      <c r="AC474">
        <v>0.67851757205605756</v>
      </c>
      <c r="AD474">
        <v>0.44804914988021161</v>
      </c>
      <c r="AE474">
        <v>0.94577468436421852</v>
      </c>
      <c r="AH474">
        <v>4.3437835276587844E-2</v>
      </c>
      <c r="AI474">
        <v>7.5203756803287169E-2</v>
      </c>
      <c r="AJ474">
        <v>0.12189157300028919</v>
      </c>
      <c r="AK474">
        <v>5.5830575701355634E-2</v>
      </c>
      <c r="AL474">
        <v>0.17610199694018724</v>
      </c>
      <c r="AM474">
        <v>0.25203792605079967</v>
      </c>
      <c r="AN474">
        <v>0.1294606759313095</v>
      </c>
      <c r="AO474">
        <v>9.3461492256855405E-2</v>
      </c>
      <c r="AR474">
        <v>7.6783160021120958E-4</v>
      </c>
      <c r="AS474">
        <v>4.8621966659074811E-3</v>
      </c>
      <c r="AT474">
        <v>9.926313935029954E-2</v>
      </c>
      <c r="AU474">
        <v>2.2234471774287279E-3</v>
      </c>
      <c r="AV474">
        <v>1.9872563501091025E-3</v>
      </c>
      <c r="AW474">
        <v>3.4569966363221516E-3</v>
      </c>
      <c r="AX474">
        <v>3.7044880254114845E-4</v>
      </c>
      <c r="AY474">
        <v>3.1656857385576546E-4</v>
      </c>
      <c r="BB474">
        <v>5.1762528183296075E-2</v>
      </c>
      <c r="BC474">
        <v>6.4733810350346976E-2</v>
      </c>
      <c r="BE474">
        <v>27524.142536589079</v>
      </c>
      <c r="BF474">
        <v>20.992410618242516</v>
      </c>
      <c r="BG474">
        <v>29622.865396030167</v>
      </c>
      <c r="BH474">
        <v>21.008824644726403</v>
      </c>
    </row>
    <row r="475" spans="3:60" x14ac:dyDescent="0.2">
      <c r="C475" s="138">
        <v>31669.327111804214</v>
      </c>
      <c r="D475">
        <v>20.905527468781795</v>
      </c>
      <c r="E475" s="138">
        <v>33883.565666337177</v>
      </c>
      <c r="F475" s="138">
        <v>20.884322373692545</v>
      </c>
      <c r="G475" s="138">
        <v>-2214.2385545329635</v>
      </c>
      <c r="H475" s="138">
        <v>2.1205095089250392E-2</v>
      </c>
      <c r="N475" s="138"/>
      <c r="O475" s="138"/>
      <c r="P475" s="138"/>
      <c r="R475">
        <v>249.94663105494425</v>
      </c>
      <c r="S475">
        <v>62.968367518462145</v>
      </c>
      <c r="T475">
        <v>213.24588514056666</v>
      </c>
      <c r="U475">
        <v>88.405103287504176</v>
      </c>
      <c r="X475">
        <v>0.80757820365709621</v>
      </c>
      <c r="Y475">
        <v>0.7336814116219168</v>
      </c>
      <c r="Z475">
        <v>0.79661524558234553</v>
      </c>
      <c r="AA475">
        <v>0.60809781739819113</v>
      </c>
      <c r="AB475">
        <v>0.49328235672153831</v>
      </c>
      <c r="AC475">
        <v>0.66775506986527733</v>
      </c>
      <c r="AD475">
        <v>0.80881141644553556</v>
      </c>
      <c r="AE475">
        <v>0.73809326311177914</v>
      </c>
      <c r="AH475">
        <v>0.17094699280810943</v>
      </c>
      <c r="AI475">
        <v>0.23461928007193855</v>
      </c>
      <c r="AJ475">
        <v>6.4106390558269832E-2</v>
      </c>
      <c r="AK475">
        <v>0.13063497112193578</v>
      </c>
      <c r="AL475">
        <v>5.4471365507422043E-2</v>
      </c>
      <c r="AM475">
        <v>0.27332599256967494</v>
      </c>
      <c r="AN475">
        <v>0.12818778697473221</v>
      </c>
      <c r="AO475">
        <v>0.13797153035843268</v>
      </c>
      <c r="AR475">
        <v>8.2528281284712792E-4</v>
      </c>
      <c r="AS475">
        <v>4.2397020965626855E-3</v>
      </c>
      <c r="AT475">
        <v>9.8699741117462617E-2</v>
      </c>
      <c r="AU475">
        <v>1.9562375162458698E-3</v>
      </c>
      <c r="AV475">
        <v>1.833605278082909E-3</v>
      </c>
      <c r="AW475">
        <v>3.5640484785989246E-3</v>
      </c>
      <c r="AX475">
        <v>4.8417088994556767E-4</v>
      </c>
      <c r="AY475">
        <v>3.9064260146465214E-4</v>
      </c>
      <c r="BB475">
        <v>5.1805531585135012E-2</v>
      </c>
      <c r="BC475">
        <v>2.8343592033603461E-2</v>
      </c>
      <c r="BE475">
        <v>31669.327111804214</v>
      </c>
      <c r="BF475">
        <v>20.905527468781795</v>
      </c>
      <c r="BG475">
        <v>33883.565666337177</v>
      </c>
      <c r="BH475">
        <v>20.884322373692545</v>
      </c>
    </row>
    <row r="476" spans="3:60" x14ac:dyDescent="0.2">
      <c r="C476" s="138">
        <v>27639.135593575582</v>
      </c>
      <c r="D476">
        <v>21.343322695545037</v>
      </c>
      <c r="E476" s="138">
        <v>29280.572251093356</v>
      </c>
      <c r="F476" s="138">
        <v>21.319587740022868</v>
      </c>
      <c r="G476" s="138">
        <v>-1641.4366575177737</v>
      </c>
      <c r="H476" s="138">
        <v>2.3734955522169088E-2</v>
      </c>
      <c r="N476" s="138"/>
      <c r="O476" s="138"/>
      <c r="P476" s="138"/>
      <c r="R476">
        <v>238.30205766659239</v>
      </c>
      <c r="S476">
        <v>59.295969847034826</v>
      </c>
      <c r="T476">
        <v>227.79224344862871</v>
      </c>
      <c r="U476">
        <v>105.29525126007296</v>
      </c>
      <c r="X476">
        <v>0.63117897188328409</v>
      </c>
      <c r="Y476">
        <v>0.63266622543815165</v>
      </c>
      <c r="Z476">
        <v>0.79130962554722251</v>
      </c>
      <c r="AA476">
        <v>0.78585898853137293</v>
      </c>
      <c r="AB476">
        <v>0.6456649983618884</v>
      </c>
      <c r="AC476">
        <v>0.84907482488166641</v>
      </c>
      <c r="AD476">
        <v>0.7267235144017945</v>
      </c>
      <c r="AE476">
        <v>0.81305788359388054</v>
      </c>
      <c r="AH476">
        <v>0.1697696372144224</v>
      </c>
      <c r="AI476">
        <v>6.9725378611785516E-2</v>
      </c>
      <c r="AJ476">
        <v>0.17729194524768599</v>
      </c>
      <c r="AK476">
        <v>0.12212377755637804</v>
      </c>
      <c r="AL476">
        <v>0.1944704946331568</v>
      </c>
      <c r="AM476">
        <v>2.67568083608275E-2</v>
      </c>
      <c r="AN476">
        <v>6.662448228024298E-2</v>
      </c>
      <c r="AO476">
        <v>0.29795451255420402</v>
      </c>
      <c r="AR476">
        <v>1.1007549455207544E-3</v>
      </c>
      <c r="AS476">
        <v>4.2285517516234385E-3</v>
      </c>
      <c r="AT476">
        <v>0.10231161425311253</v>
      </c>
      <c r="AU476">
        <v>2.0182992752295625E-3</v>
      </c>
      <c r="AV476">
        <v>2.1613496801513588E-3</v>
      </c>
      <c r="AW476">
        <v>3.5058067996946995E-3</v>
      </c>
      <c r="AX476">
        <v>4.1746454575231073E-4</v>
      </c>
      <c r="AY476">
        <v>4.2406748981917516E-4</v>
      </c>
      <c r="BB476">
        <v>3.8190712717438319E-2</v>
      </c>
      <c r="BC476">
        <v>5.1196374032046688E-2</v>
      </c>
      <c r="BE476">
        <v>27639.135593575582</v>
      </c>
      <c r="BF476">
        <v>21.343322695545037</v>
      </c>
      <c r="BG476">
        <v>29280.572251093356</v>
      </c>
      <c r="BH476">
        <v>21.319587740022868</v>
      </c>
    </row>
    <row r="477" spans="3:60" x14ac:dyDescent="0.2">
      <c r="C477" s="138">
        <v>31597.443596266334</v>
      </c>
      <c r="D477">
        <v>21.218797849262113</v>
      </c>
      <c r="E477" s="138">
        <v>33458.405719321476</v>
      </c>
      <c r="F477" s="138">
        <v>21.234484646541649</v>
      </c>
      <c r="G477" s="138">
        <v>-1860.962123055142</v>
      </c>
      <c r="H477" s="138">
        <v>-1.5686797279535369E-2</v>
      </c>
      <c r="N477" s="138"/>
      <c r="O477" s="138"/>
      <c r="P477" s="138"/>
      <c r="R477">
        <v>300.90151797926222</v>
      </c>
      <c r="S477">
        <v>75.303321716415326</v>
      </c>
      <c r="T477">
        <v>273.90544960647384</v>
      </c>
      <c r="U477">
        <v>105.39305205472121</v>
      </c>
      <c r="X477">
        <v>0.78888479972720205</v>
      </c>
      <c r="Y477">
        <v>0.88931108183608443</v>
      </c>
      <c r="Z477">
        <v>0.60571670760083451</v>
      </c>
      <c r="AA477">
        <v>0.83402412396772063</v>
      </c>
      <c r="AB477">
        <v>0.57348881175026611</v>
      </c>
      <c r="AC477">
        <v>0.81965413917588792</v>
      </c>
      <c r="AD477">
        <v>0.57613190375240253</v>
      </c>
      <c r="AE477">
        <v>0.78594512749519885</v>
      </c>
      <c r="AH477">
        <v>4.1740297450258534E-2</v>
      </c>
      <c r="AI477">
        <v>0.17716360181865631</v>
      </c>
      <c r="AJ477">
        <v>0.10521900893147651</v>
      </c>
      <c r="AK477">
        <v>8.1438020601648287E-2</v>
      </c>
      <c r="AL477">
        <v>6.4898919015122125E-2</v>
      </c>
      <c r="AM477">
        <v>4.2773857343888277E-2</v>
      </c>
      <c r="AN477">
        <v>0.14330068228076598</v>
      </c>
      <c r="AO477">
        <v>0.16174397908437799</v>
      </c>
      <c r="AR477">
        <v>9.7622567324506804E-4</v>
      </c>
      <c r="AS477">
        <v>4.3771373242993874E-3</v>
      </c>
      <c r="AT477">
        <v>9.9078597754984385E-2</v>
      </c>
      <c r="AU477">
        <v>2.1497865811129779E-3</v>
      </c>
      <c r="AV477">
        <v>2.0755422694448411E-3</v>
      </c>
      <c r="AW477">
        <v>3.7214728495998939E-3</v>
      </c>
      <c r="AX477">
        <v>5.0550066984067499E-4</v>
      </c>
      <c r="AY477">
        <v>4.4494478755373665E-4</v>
      </c>
      <c r="BB477">
        <v>5.1130572652237749E-2</v>
      </c>
      <c r="BC477">
        <v>5.3124552910999601E-2</v>
      </c>
      <c r="BE477">
        <v>31597.443596266334</v>
      </c>
      <c r="BF477">
        <v>21.218797849262113</v>
      </c>
      <c r="BG477">
        <v>33458.405719321476</v>
      </c>
      <c r="BH477">
        <v>21.234484646541649</v>
      </c>
    </row>
    <row r="478" spans="3:60" x14ac:dyDescent="0.2">
      <c r="C478" s="138">
        <v>32192.737746466224</v>
      </c>
      <c r="D478">
        <v>21.134255190994384</v>
      </c>
      <c r="E478" s="138">
        <v>34198.906091040975</v>
      </c>
      <c r="F478" s="138">
        <v>21.169297251732782</v>
      </c>
      <c r="G478" s="138">
        <v>-2006.1683445747512</v>
      </c>
      <c r="H478" s="138">
        <v>-3.5042060738398106E-2</v>
      </c>
      <c r="N478" s="138"/>
      <c r="O478" s="138"/>
      <c r="P478" s="138"/>
      <c r="R478">
        <v>176.03621259519474</v>
      </c>
      <c r="S478">
        <v>49.323183007824333</v>
      </c>
      <c r="T478">
        <v>252.4394200292507</v>
      </c>
      <c r="U478">
        <v>80.425690375563818</v>
      </c>
      <c r="X478">
        <v>0.71401716151207484</v>
      </c>
      <c r="Y478">
        <v>0.81618063794887408</v>
      </c>
      <c r="Z478">
        <v>0.63243652361778735</v>
      </c>
      <c r="AA478">
        <v>0.84991606546786769</v>
      </c>
      <c r="AB478">
        <v>0.54908436100084224</v>
      </c>
      <c r="AC478">
        <v>0.7744784576713688</v>
      </c>
      <c r="AD478">
        <v>0.71651814146846082</v>
      </c>
      <c r="AE478">
        <v>0.87557594274467743</v>
      </c>
      <c r="AH478">
        <v>0.27572666340429641</v>
      </c>
      <c r="AI478">
        <v>0.15029686880267779</v>
      </c>
      <c r="AJ478">
        <v>5.9851304750276002E-2</v>
      </c>
      <c r="AK478">
        <v>8.1836797811166928E-2</v>
      </c>
      <c r="AL478">
        <v>0.10235078706748135</v>
      </c>
      <c r="AM478">
        <v>0.1166758007056492</v>
      </c>
      <c r="AN478">
        <v>0.31629962227247788</v>
      </c>
      <c r="AO478">
        <v>0.10109079238057617</v>
      </c>
      <c r="AR478">
        <v>9.1090239631119729E-4</v>
      </c>
      <c r="AS478">
        <v>4.6515075076819512E-3</v>
      </c>
      <c r="AT478">
        <v>0.10093412682522029</v>
      </c>
      <c r="AU478">
        <v>1.9837504435086064E-3</v>
      </c>
      <c r="AV478">
        <v>2.0432994582573194E-3</v>
      </c>
      <c r="AW478">
        <v>3.3664682751179684E-3</v>
      </c>
      <c r="AX478">
        <v>4.0667799608662403E-4</v>
      </c>
      <c r="AY478">
        <v>4.1994832134224915E-4</v>
      </c>
      <c r="BB478">
        <v>4.6475163557893141E-2</v>
      </c>
      <c r="BC478">
        <v>6.3130941480885827E-2</v>
      </c>
      <c r="BE478">
        <v>32192.737746466224</v>
      </c>
      <c r="BF478">
        <v>21.134255190994384</v>
      </c>
      <c r="BG478">
        <v>34198.906091040975</v>
      </c>
      <c r="BH478">
        <v>21.169297251732782</v>
      </c>
    </row>
    <row r="479" spans="3:60" x14ac:dyDescent="0.2">
      <c r="C479" s="138">
        <v>28798.921697589551</v>
      </c>
      <c r="D479">
        <v>21.158053237632018</v>
      </c>
      <c r="E479" s="138">
        <v>30568.828192330377</v>
      </c>
      <c r="F479" s="138">
        <v>21.132517934228026</v>
      </c>
      <c r="G479" s="138">
        <v>-1769.906494740826</v>
      </c>
      <c r="H479" s="138">
        <v>2.553530340399135E-2</v>
      </c>
      <c r="N479" s="138"/>
      <c r="O479" s="138"/>
      <c r="P479" s="138"/>
      <c r="R479">
        <v>226.08766680137285</v>
      </c>
      <c r="S479">
        <v>63.843184258516452</v>
      </c>
      <c r="T479">
        <v>264.71450861868368</v>
      </c>
      <c r="U479">
        <v>84.981180474672882</v>
      </c>
      <c r="X479">
        <v>0.82691233868355218</v>
      </c>
      <c r="Y479">
        <v>0.86124930350378226</v>
      </c>
      <c r="Z479">
        <v>0.79426602042166328</v>
      </c>
      <c r="AA479">
        <v>0.81182534173224408</v>
      </c>
      <c r="AB479">
        <v>0.70795680731652166</v>
      </c>
      <c r="AC479">
        <v>0.50114948891990929</v>
      </c>
      <c r="AD479">
        <v>0.67622380844728247</v>
      </c>
      <c r="AE479">
        <v>0.6021366933110035</v>
      </c>
      <c r="AH479">
        <v>2.1859013878008815E-2</v>
      </c>
      <c r="AI479">
        <v>3.1918157509596146E-2</v>
      </c>
      <c r="AJ479">
        <v>7.4633523378887956E-2</v>
      </c>
      <c r="AK479">
        <v>0.23644411188922054</v>
      </c>
      <c r="AL479">
        <v>8.5385661412231695E-2</v>
      </c>
      <c r="AM479">
        <v>5.910135659734217E-2</v>
      </c>
      <c r="AN479">
        <v>0.13904468320922458</v>
      </c>
      <c r="AO479">
        <v>2.4674238182633035E-2</v>
      </c>
      <c r="AR479">
        <v>8.7904564637172194E-4</v>
      </c>
      <c r="AS479">
        <v>4.6734587023934404E-3</v>
      </c>
      <c r="AT479">
        <v>9.994799703419753E-2</v>
      </c>
      <c r="AU479">
        <v>1.8470715097636163E-3</v>
      </c>
      <c r="AV479">
        <v>1.8958430726044228E-3</v>
      </c>
      <c r="AW479">
        <v>3.3800217325618059E-3</v>
      </c>
      <c r="AX479">
        <v>4.0623100622638741E-4</v>
      </c>
      <c r="AY479">
        <v>5.6688169606733396E-4</v>
      </c>
      <c r="BB479">
        <v>4.8043318587844594E-2</v>
      </c>
      <c r="BC479">
        <v>3.9788983283668304E-2</v>
      </c>
      <c r="BE479">
        <v>28798.921697589551</v>
      </c>
      <c r="BF479">
        <v>21.158053237632018</v>
      </c>
      <c r="BG479">
        <v>30568.828192330377</v>
      </c>
      <c r="BH479">
        <v>21.132517934228026</v>
      </c>
    </row>
    <row r="480" spans="3:60" x14ac:dyDescent="0.2">
      <c r="C480" s="138">
        <v>30999.619220727975</v>
      </c>
      <c r="D480">
        <v>21.161833866004166</v>
      </c>
      <c r="E480" s="138">
        <v>32725.488471845598</v>
      </c>
      <c r="F480" s="138">
        <v>21.159434946235049</v>
      </c>
      <c r="G480" s="138">
        <v>-1725.8692511176232</v>
      </c>
      <c r="H480" s="138">
        <v>2.3989197691172137E-3</v>
      </c>
      <c r="N480" s="138"/>
      <c r="O480" s="138"/>
      <c r="P480" s="138"/>
      <c r="R480">
        <v>340.98095030840204</v>
      </c>
      <c r="S480">
        <v>59.09541080510698</v>
      </c>
      <c r="T480">
        <v>256.8549057090425</v>
      </c>
      <c r="U480">
        <v>95.695355708221442</v>
      </c>
      <c r="X480">
        <v>0.80445679999982933</v>
      </c>
      <c r="Y480">
        <v>0.37742826469136237</v>
      </c>
      <c r="Z480">
        <v>0.69322429857956747</v>
      </c>
      <c r="AA480">
        <v>0.7261443433858491</v>
      </c>
      <c r="AB480">
        <v>0.86571156208657318</v>
      </c>
      <c r="AC480">
        <v>0.52085904164671859</v>
      </c>
      <c r="AD480">
        <v>0.89455612162975573</v>
      </c>
      <c r="AE480">
        <v>0.85873205580574719</v>
      </c>
      <c r="AH480">
        <v>0.13753923639815435</v>
      </c>
      <c r="AI480">
        <v>0.11005396328883954</v>
      </c>
      <c r="AJ480">
        <v>0.14172764742990673</v>
      </c>
      <c r="AK480">
        <v>9.7105884028429457E-2</v>
      </c>
      <c r="AL480">
        <v>0.12226830033596026</v>
      </c>
      <c r="AM480">
        <v>4.9242758489777994E-2</v>
      </c>
      <c r="AN480">
        <v>0.27196531760527076</v>
      </c>
      <c r="AO480">
        <v>4.2640093737513096E-2</v>
      </c>
      <c r="AR480">
        <v>7.6473188283737779E-4</v>
      </c>
      <c r="AS480">
        <v>4.6438393668563061E-3</v>
      </c>
      <c r="AT480">
        <v>0.10029170617948291</v>
      </c>
      <c r="AU480">
        <v>2.1233134054090552E-3</v>
      </c>
      <c r="AV480">
        <v>1.9466908120038227E-3</v>
      </c>
      <c r="AW480">
        <v>3.7884751802039762E-3</v>
      </c>
      <c r="AX480">
        <v>3.3970154640593892E-4</v>
      </c>
      <c r="AY480">
        <v>3.6996838269441482E-4</v>
      </c>
      <c r="BB480">
        <v>5.9329515525136101E-2</v>
      </c>
      <c r="BC480">
        <v>9.1151350011048682E-2</v>
      </c>
      <c r="BE480">
        <v>30999.619220727975</v>
      </c>
      <c r="BF480">
        <v>21.161833866004166</v>
      </c>
      <c r="BG480">
        <v>32725.488471845598</v>
      </c>
      <c r="BH480">
        <v>21.159434946235049</v>
      </c>
    </row>
    <row r="481" spans="3:60" x14ac:dyDescent="0.2">
      <c r="C481" s="138">
        <v>34685.996367273641</v>
      </c>
      <c r="D481">
        <v>21.032926355439844</v>
      </c>
      <c r="E481" s="138">
        <v>36990.225181235539</v>
      </c>
      <c r="F481" s="138">
        <v>21.076172156500149</v>
      </c>
      <c r="G481" s="138">
        <v>-2304.2288139618977</v>
      </c>
      <c r="H481" s="138">
        <v>-4.3245801060304956E-2</v>
      </c>
      <c r="N481" s="138"/>
      <c r="O481" s="138"/>
      <c r="P481" s="138"/>
      <c r="R481">
        <v>267.85855150905076</v>
      </c>
      <c r="S481">
        <v>48.548982118270537</v>
      </c>
      <c r="T481">
        <v>198.02092770044507</v>
      </c>
      <c r="U481">
        <v>98.115283440070129</v>
      </c>
      <c r="X481">
        <v>0.71137478666687903</v>
      </c>
      <c r="Y481">
        <v>0.64808464291038803</v>
      </c>
      <c r="Z481">
        <v>0.96258251251440485</v>
      </c>
      <c r="AA481">
        <v>0.88616326188505146</v>
      </c>
      <c r="AB481">
        <v>0.63676560711407459</v>
      </c>
      <c r="AC481">
        <v>0.62728789220196424</v>
      </c>
      <c r="AD481">
        <v>0.68773241342343738</v>
      </c>
      <c r="AE481">
        <v>0.47455691952154261</v>
      </c>
      <c r="AH481">
        <v>0.30692482016972411</v>
      </c>
      <c r="AI481">
        <v>0.2486378153630362</v>
      </c>
      <c r="AJ481">
        <v>0.15572110302511888</v>
      </c>
      <c r="AK481">
        <v>4.5147139281586535E-2</v>
      </c>
      <c r="AL481">
        <v>0.1137256466220633</v>
      </c>
      <c r="AM481">
        <v>3.4690679631518839E-2</v>
      </c>
      <c r="AN481">
        <v>0.2091407588078642</v>
      </c>
      <c r="AO481">
        <v>7.8782217264469989E-2</v>
      </c>
      <c r="AR481">
        <v>7.937850468314546E-4</v>
      </c>
      <c r="AS481">
        <v>4.6391111136406815E-3</v>
      </c>
      <c r="AT481">
        <v>9.8885093825419407E-2</v>
      </c>
      <c r="AU481">
        <v>2.0621026575189383E-3</v>
      </c>
      <c r="AV481">
        <v>2.1916924999150211E-3</v>
      </c>
      <c r="AW481">
        <v>3.3586845906092662E-3</v>
      </c>
      <c r="AX481">
        <v>5.0151711584989211E-4</v>
      </c>
      <c r="AY481">
        <v>3.7857135642743793E-4</v>
      </c>
      <c r="BB481">
        <v>4.8893282343282198E-2</v>
      </c>
      <c r="BC481">
        <v>3.2447131695753736E-2</v>
      </c>
      <c r="BE481">
        <v>34685.996367273641</v>
      </c>
      <c r="BF481">
        <v>21.032926355439844</v>
      </c>
      <c r="BG481">
        <v>36990.225181235539</v>
      </c>
      <c r="BH481">
        <v>21.076172156500149</v>
      </c>
    </row>
    <row r="482" spans="3:60" x14ac:dyDescent="0.2">
      <c r="C482" s="138">
        <v>29920.45843219752</v>
      </c>
      <c r="D482">
        <v>21.207972969553509</v>
      </c>
      <c r="E482" s="138">
        <v>31957.546746347765</v>
      </c>
      <c r="F482" s="138">
        <v>21.206836273995972</v>
      </c>
      <c r="G482" s="138">
        <v>-2037.0883141502454</v>
      </c>
      <c r="H482" s="138">
        <v>1.1366955575375925E-3</v>
      </c>
      <c r="N482" s="138"/>
      <c r="O482" s="138"/>
      <c r="P482" s="138"/>
      <c r="R482">
        <v>274.15180301382162</v>
      </c>
      <c r="S482">
        <v>72.895819551394396</v>
      </c>
      <c r="T482">
        <v>260.18193859720776</v>
      </c>
      <c r="U482">
        <v>102.87159055047768</v>
      </c>
      <c r="X482">
        <v>0.88167350273568257</v>
      </c>
      <c r="Y482">
        <v>0.83421674865258599</v>
      </c>
      <c r="Z482">
        <v>0.89538075169147591</v>
      </c>
      <c r="AA482">
        <v>0.93195175024466836</v>
      </c>
      <c r="AB482">
        <v>0.57358502466533401</v>
      </c>
      <c r="AC482">
        <v>0.92107831303568177</v>
      </c>
      <c r="AD482">
        <v>0.57419813795233654</v>
      </c>
      <c r="AE482">
        <v>0.80613892517240759</v>
      </c>
      <c r="AH482">
        <v>8.7948803957987209E-2</v>
      </c>
      <c r="AI482">
        <v>0.28063053028242602</v>
      </c>
      <c r="AJ482">
        <v>2.9680331030476181E-2</v>
      </c>
      <c r="AK482">
        <v>5.9902742725364999E-2</v>
      </c>
      <c r="AL482">
        <v>0.13694530386282266</v>
      </c>
      <c r="AM482">
        <v>2.2833284635425111E-2</v>
      </c>
      <c r="AN482">
        <v>7.4432211237388524E-2</v>
      </c>
      <c r="AO482">
        <v>0.11852536836828209</v>
      </c>
      <c r="AR482">
        <v>8.4448828980563946E-4</v>
      </c>
      <c r="AS482">
        <v>4.601402205283045E-3</v>
      </c>
      <c r="AT482">
        <v>9.9671284272283403E-2</v>
      </c>
      <c r="AU482">
        <v>1.9455905915141203E-3</v>
      </c>
      <c r="AV482">
        <v>1.8843367151839556E-3</v>
      </c>
      <c r="AW482">
        <v>3.605262395693476E-3</v>
      </c>
      <c r="AX482">
        <v>4.0560883812901238E-4</v>
      </c>
      <c r="AY482">
        <v>4.9449127845102581E-4</v>
      </c>
      <c r="BB482">
        <v>4.5538201422005764E-2</v>
      </c>
      <c r="BC482">
        <v>3.0861003827841287E-2</v>
      </c>
      <c r="BE482">
        <v>29920.45843219752</v>
      </c>
      <c r="BF482">
        <v>21.207972969553509</v>
      </c>
      <c r="BG482">
        <v>31957.546746347765</v>
      </c>
      <c r="BH482">
        <v>21.206836273995972</v>
      </c>
    </row>
    <row r="483" spans="3:60" x14ac:dyDescent="0.2">
      <c r="C483" s="138">
        <v>33668.537854151997</v>
      </c>
      <c r="D483">
        <v>20.712400555356783</v>
      </c>
      <c r="E483" s="138">
        <v>36173.014256592724</v>
      </c>
      <c r="F483" s="138">
        <v>20.687930894149602</v>
      </c>
      <c r="G483" s="138">
        <v>-2504.4764024407268</v>
      </c>
      <c r="H483" s="138">
        <v>2.4469661207181304E-2</v>
      </c>
      <c r="N483" s="138"/>
      <c r="O483" s="138"/>
      <c r="P483" s="138"/>
      <c r="R483">
        <v>97.34133891206821</v>
      </c>
      <c r="S483">
        <v>66.24481027247846</v>
      </c>
      <c r="T483">
        <v>229.56024640857069</v>
      </c>
      <c r="U483">
        <v>82.608688853839425</v>
      </c>
      <c r="X483">
        <v>0.791126627542588</v>
      </c>
      <c r="Y483">
        <v>0.91974566261775414</v>
      </c>
      <c r="Z483">
        <v>0.82840800199236897</v>
      </c>
      <c r="AA483">
        <v>0.87493212376264151</v>
      </c>
      <c r="AB483">
        <v>0.66802321939145071</v>
      </c>
      <c r="AC483">
        <v>0.67351953561360767</v>
      </c>
      <c r="AD483">
        <v>0.87221520371549266</v>
      </c>
      <c r="AE483">
        <v>0.53900069173838827</v>
      </c>
      <c r="AH483">
        <v>0.16256117230586575</v>
      </c>
      <c r="AI483">
        <v>0.27208647850287671</v>
      </c>
      <c r="AJ483">
        <v>3.4186786705972305E-2</v>
      </c>
      <c r="AK483">
        <v>8.7864139096430316E-2</v>
      </c>
      <c r="AL483">
        <v>0.12308556561328321</v>
      </c>
      <c r="AM483">
        <v>9.9181499456027056E-2</v>
      </c>
      <c r="AN483">
        <v>4.4598673671143341E-2</v>
      </c>
      <c r="AO483">
        <v>0.26916783001140443</v>
      </c>
      <c r="AR483">
        <v>9.3097004319842025E-4</v>
      </c>
      <c r="AS483">
        <v>4.5052935168631292E-3</v>
      </c>
      <c r="AT483">
        <v>0.10032597158588108</v>
      </c>
      <c r="AU483">
        <v>2.0221003416497352E-3</v>
      </c>
      <c r="AV483">
        <v>1.8767348909937845E-3</v>
      </c>
      <c r="AW483">
        <v>3.3177652057281497E-3</v>
      </c>
      <c r="AX483">
        <v>4.1259970146390046E-4</v>
      </c>
      <c r="AY483">
        <v>6.091443353742898E-4</v>
      </c>
      <c r="BB483">
        <v>4.3421712796328678E-2</v>
      </c>
      <c r="BC483">
        <v>7.1488804648412896E-2</v>
      </c>
      <c r="BE483">
        <v>33668.537854151997</v>
      </c>
      <c r="BF483">
        <v>20.712400555356783</v>
      </c>
      <c r="BG483">
        <v>36173.014256592724</v>
      </c>
      <c r="BH483">
        <v>20.687930894149602</v>
      </c>
    </row>
    <row r="484" spans="3:60" x14ac:dyDescent="0.2">
      <c r="C484" s="138">
        <v>34841.693212655955</v>
      </c>
      <c r="D484">
        <v>20.655588879794152</v>
      </c>
      <c r="E484" s="138">
        <v>37075.027262430907</v>
      </c>
      <c r="F484" s="138">
        <v>20.61737357630178</v>
      </c>
      <c r="G484" s="138">
        <v>-2233.3340497749523</v>
      </c>
      <c r="H484" s="138">
        <v>3.8215303492371788E-2</v>
      </c>
      <c r="N484" s="138"/>
      <c r="O484" s="138"/>
      <c r="P484" s="138"/>
      <c r="R484">
        <v>239.90755720563897</v>
      </c>
      <c r="S484">
        <v>61.57793569268717</v>
      </c>
      <c r="T484">
        <v>276.65952589811195</v>
      </c>
      <c r="U484">
        <v>85.633179570140527</v>
      </c>
      <c r="X484">
        <v>0.8351911945921513</v>
      </c>
      <c r="Y484">
        <v>0.84058693879439295</v>
      </c>
      <c r="Z484">
        <v>0.80956427171089951</v>
      </c>
      <c r="AA484">
        <v>0.92806427100841149</v>
      </c>
      <c r="AB484">
        <v>0.89513071813545853</v>
      </c>
      <c r="AC484">
        <v>0.94954827971120137</v>
      </c>
      <c r="AD484">
        <v>0.80687988134272448</v>
      </c>
      <c r="AE484">
        <v>0.8035448391334501</v>
      </c>
      <c r="AH484">
        <v>4.946808046299811E-2</v>
      </c>
      <c r="AI484">
        <v>0.14869285030204749</v>
      </c>
      <c r="AJ484">
        <v>0.13295150705091308</v>
      </c>
      <c r="AK484">
        <v>0.10994641697788754</v>
      </c>
      <c r="AL484">
        <v>0.21764364371572043</v>
      </c>
      <c r="AM484">
        <v>0.13223468781458125</v>
      </c>
      <c r="AN484">
        <v>0.11068921513931407</v>
      </c>
      <c r="AO484">
        <v>7.273854149104797E-2</v>
      </c>
      <c r="AR484">
        <v>8.4888680243108195E-4</v>
      </c>
      <c r="AS484">
        <v>4.8131244329224776E-3</v>
      </c>
      <c r="AT484">
        <v>9.9975268689011465E-2</v>
      </c>
      <c r="AU484">
        <v>2.0176648410561437E-3</v>
      </c>
      <c r="AV484">
        <v>2.3192355397583242E-3</v>
      </c>
      <c r="AW484">
        <v>3.5991505083138309E-3</v>
      </c>
      <c r="AX484">
        <v>3.4803591912165109E-4</v>
      </c>
      <c r="AY484">
        <v>5.2106015849640031E-4</v>
      </c>
      <c r="BB484">
        <v>5.5101794250338343E-2</v>
      </c>
      <c r="BC484">
        <v>7.2456181355467275E-2</v>
      </c>
      <c r="BE484">
        <v>34841.693212655955</v>
      </c>
      <c r="BF484">
        <v>20.655588879794152</v>
      </c>
      <c r="BG484">
        <v>37075.027262430907</v>
      </c>
      <c r="BH484">
        <v>20.61737357630178</v>
      </c>
    </row>
    <row r="485" spans="3:60" x14ac:dyDescent="0.2">
      <c r="C485" s="138">
        <v>23337.998022609067</v>
      </c>
      <c r="D485">
        <v>21.63956920582357</v>
      </c>
      <c r="E485" s="138">
        <v>25209.4582871985</v>
      </c>
      <c r="F485" s="138">
        <v>21.623495151976005</v>
      </c>
      <c r="G485" s="138">
        <v>-1871.4602645894338</v>
      </c>
      <c r="H485" s="138">
        <v>1.6074053847564329E-2</v>
      </c>
      <c r="N485" s="138"/>
      <c r="O485" s="138"/>
      <c r="P485" s="138"/>
      <c r="R485">
        <v>359.41917981778869</v>
      </c>
      <c r="S485">
        <v>52.431030988632742</v>
      </c>
      <c r="T485">
        <v>277.32222964735723</v>
      </c>
      <c r="U485">
        <v>95.62131299572458</v>
      </c>
      <c r="X485">
        <v>0.83418977129947924</v>
      </c>
      <c r="Y485">
        <v>0.91581088685591561</v>
      </c>
      <c r="Z485">
        <v>0.60073608884108587</v>
      </c>
      <c r="AA485">
        <v>0.83893204867143578</v>
      </c>
      <c r="AB485">
        <v>0.76002985012188917</v>
      </c>
      <c r="AC485">
        <v>0.51385379704888068</v>
      </c>
      <c r="AD485">
        <v>0.73453357546250886</v>
      </c>
      <c r="AE485">
        <v>0.89932247990640068</v>
      </c>
      <c r="AH485">
        <v>0.10796128345597533</v>
      </c>
      <c r="AI485">
        <v>9.6493154544379678E-2</v>
      </c>
      <c r="AJ485">
        <v>0.15600317729414193</v>
      </c>
      <c r="AK485">
        <v>0.17394945266768425</v>
      </c>
      <c r="AL485">
        <v>3.691286999920329E-2</v>
      </c>
      <c r="AM485">
        <v>0.2862885512346296</v>
      </c>
      <c r="AN485">
        <v>0.12899173012989018</v>
      </c>
      <c r="AO485">
        <v>0.41219058759238136</v>
      </c>
      <c r="AR485">
        <v>9.1210682607500981E-4</v>
      </c>
      <c r="AS485">
        <v>4.3690251182346498E-3</v>
      </c>
      <c r="AT485">
        <v>9.9483995973014536E-2</v>
      </c>
      <c r="AU485">
        <v>1.9279031101260373E-3</v>
      </c>
      <c r="AV485">
        <v>1.838814220464837E-3</v>
      </c>
      <c r="AW485">
        <v>3.8194357019956104E-3</v>
      </c>
      <c r="AX485">
        <v>4.4092132993189814E-4</v>
      </c>
      <c r="AY485">
        <v>3.6142795346109512E-4</v>
      </c>
      <c r="BB485">
        <v>4.7058529494472201E-2</v>
      </c>
      <c r="BC485">
        <v>6.5754509432302433E-2</v>
      </c>
      <c r="BE485">
        <v>23337.998022609067</v>
      </c>
      <c r="BF485">
        <v>21.63956920582357</v>
      </c>
      <c r="BG485">
        <v>25209.4582871985</v>
      </c>
      <c r="BH485">
        <v>21.623495151976005</v>
      </c>
    </row>
    <row r="486" spans="3:60" x14ac:dyDescent="0.2">
      <c r="C486" s="138">
        <v>37357.49506407039</v>
      </c>
      <c r="D486">
        <v>20.935830479373699</v>
      </c>
      <c r="E486" s="138">
        <v>39374.438004819851</v>
      </c>
      <c r="F486" s="138">
        <v>20.961778707475766</v>
      </c>
      <c r="G486" s="138">
        <v>-2016.9429407494608</v>
      </c>
      <c r="H486" s="138">
        <v>-2.5948228102066651E-2</v>
      </c>
      <c r="N486" s="138"/>
      <c r="O486" s="138"/>
      <c r="P486" s="138"/>
      <c r="R486">
        <v>297.38659312726332</v>
      </c>
      <c r="S486">
        <v>48.745150390430119</v>
      </c>
      <c r="T486">
        <v>260.62260355561216</v>
      </c>
      <c r="U486">
        <v>104.84200776467384</v>
      </c>
      <c r="X486">
        <v>0.70544504353450865</v>
      </c>
      <c r="Y486">
        <v>0.80926593390482116</v>
      </c>
      <c r="Z486">
        <v>0.91624278682504168</v>
      </c>
      <c r="AA486">
        <v>0.78775737558704328</v>
      </c>
      <c r="AB486">
        <v>0.89100946486016797</v>
      </c>
      <c r="AC486">
        <v>0.50892171926966823</v>
      </c>
      <c r="AD486">
        <v>0.7273650316184096</v>
      </c>
      <c r="AE486">
        <v>0.52392201619211431</v>
      </c>
      <c r="AH486">
        <v>0.16620482429428052</v>
      </c>
      <c r="AI486">
        <v>0.11609122197816657</v>
      </c>
      <c r="AJ486">
        <v>8.2781808616192221E-2</v>
      </c>
      <c r="AK486">
        <v>2.5765104869603928E-2</v>
      </c>
      <c r="AL486">
        <v>4.6397076380808588E-2</v>
      </c>
      <c r="AM486">
        <v>8.477789422143811E-2</v>
      </c>
      <c r="AN486">
        <v>0.17498061563697931</v>
      </c>
      <c r="AO486">
        <v>0.13549674955575852</v>
      </c>
      <c r="AR486">
        <v>9.2098673857021751E-4</v>
      </c>
      <c r="AS486">
        <v>4.7312305487677841E-3</v>
      </c>
      <c r="AT486">
        <v>0.10060386311861358</v>
      </c>
      <c r="AU486">
        <v>1.9836815824365167E-3</v>
      </c>
      <c r="AV486">
        <v>2.0254687075034195E-3</v>
      </c>
      <c r="AW486">
        <v>3.37891558577508E-3</v>
      </c>
      <c r="AX486">
        <v>2.8893412279389123E-4</v>
      </c>
      <c r="AY486">
        <v>4.3151476935522685E-4</v>
      </c>
      <c r="BB486">
        <v>5.3887961786682981E-2</v>
      </c>
      <c r="BC486">
        <v>3.7774955463279393E-2</v>
      </c>
      <c r="BE486">
        <v>37357.49506407039</v>
      </c>
      <c r="BF486">
        <v>20.935830479373699</v>
      </c>
      <c r="BG486">
        <v>39374.438004819851</v>
      </c>
      <c r="BH486">
        <v>20.961778707475766</v>
      </c>
    </row>
    <row r="487" spans="3:60" x14ac:dyDescent="0.2">
      <c r="C487" s="138">
        <v>24626.784873747769</v>
      </c>
      <c r="D487">
        <v>20.246110400141788</v>
      </c>
      <c r="E487" s="138">
        <v>26620.710043183779</v>
      </c>
      <c r="F487" s="138">
        <v>20.207221771833932</v>
      </c>
      <c r="G487" s="138">
        <v>-1993.92516943601</v>
      </c>
      <c r="H487" s="138">
        <v>3.8888628307855555E-2</v>
      </c>
      <c r="N487" s="138"/>
      <c r="O487" s="138"/>
      <c r="P487" s="138"/>
      <c r="R487">
        <v>283.40566525882923</v>
      </c>
      <c r="S487">
        <v>65.118781316004487</v>
      </c>
      <c r="T487">
        <v>241.13439483685721</v>
      </c>
      <c r="U487">
        <v>78.73864501091974</v>
      </c>
      <c r="X487">
        <v>0.8795635730175283</v>
      </c>
      <c r="Y487">
        <v>0.66852893654972667</v>
      </c>
      <c r="Z487">
        <v>0.93899988683685931</v>
      </c>
      <c r="AA487">
        <v>0.62124662943254438</v>
      </c>
      <c r="AB487">
        <v>0.62481016677602386</v>
      </c>
      <c r="AC487">
        <v>0.76198918516039749</v>
      </c>
      <c r="AD487">
        <v>0.72584388009103662</v>
      </c>
      <c r="AE487">
        <v>0.82850796935142235</v>
      </c>
      <c r="AH487">
        <v>3.5359413670145612E-2</v>
      </c>
      <c r="AI487">
        <v>0.1215014164012943</v>
      </c>
      <c r="AJ487">
        <v>0.24992585436910075</v>
      </c>
      <c r="AK487">
        <v>0.14401872255849946</v>
      </c>
      <c r="AL487">
        <v>0.13813977833917024</v>
      </c>
      <c r="AM487">
        <v>0.16672741016166115</v>
      </c>
      <c r="AN487">
        <v>0.21418978393329291</v>
      </c>
      <c r="AO487">
        <v>0.10902318782566978</v>
      </c>
      <c r="AR487">
        <v>7.1761803792882843E-4</v>
      </c>
      <c r="AS487">
        <v>4.4757210703338692E-3</v>
      </c>
      <c r="AT487">
        <v>9.9687741753467798E-2</v>
      </c>
      <c r="AU487">
        <v>2.1199450795253982E-3</v>
      </c>
      <c r="AV487">
        <v>2.1574463620431805E-3</v>
      </c>
      <c r="AW487">
        <v>3.546581217138578E-3</v>
      </c>
      <c r="AX487">
        <v>4.8351548219260909E-4</v>
      </c>
      <c r="AY487">
        <v>5.2698565819742083E-4</v>
      </c>
      <c r="BB487">
        <v>3.9622984483045215E-2</v>
      </c>
      <c r="BC487">
        <v>2.5023184823581041E-2</v>
      </c>
      <c r="BE487">
        <v>24626.784873747769</v>
      </c>
      <c r="BF487">
        <v>20.246110400141788</v>
      </c>
      <c r="BG487">
        <v>26620.710043183779</v>
      </c>
      <c r="BH487">
        <v>20.207221771833932</v>
      </c>
    </row>
    <row r="488" spans="3:60" x14ac:dyDescent="0.2">
      <c r="C488" s="138">
        <v>30815.169142459214</v>
      </c>
      <c r="D488">
        <v>20.650007148650115</v>
      </c>
      <c r="E488" s="138">
        <v>32929.412254215385</v>
      </c>
      <c r="F488" s="138">
        <v>20.610668414726327</v>
      </c>
      <c r="G488" s="138">
        <v>-2114.2431117561719</v>
      </c>
      <c r="H488" s="138">
        <v>3.9338733923788283E-2</v>
      </c>
      <c r="N488" s="138"/>
      <c r="O488" s="138"/>
      <c r="P488" s="138"/>
      <c r="R488">
        <v>201.77803781079541</v>
      </c>
      <c r="S488">
        <v>57.206671469654232</v>
      </c>
      <c r="T488">
        <v>239.28543223948657</v>
      </c>
      <c r="U488">
        <v>106.84420752712383</v>
      </c>
      <c r="X488">
        <v>0.65398465878281753</v>
      </c>
      <c r="Y488">
        <v>0.7926579978326368</v>
      </c>
      <c r="Z488">
        <v>0.75161798115226408</v>
      </c>
      <c r="AA488">
        <v>0.77339636867112027</v>
      </c>
      <c r="AB488">
        <v>0.85009528515296939</v>
      </c>
      <c r="AC488">
        <v>0.51621742930481362</v>
      </c>
      <c r="AD488">
        <v>0.81106471554749204</v>
      </c>
      <c r="AE488">
        <v>0.66890454406597899</v>
      </c>
      <c r="AH488">
        <v>7.3561092442597564E-2</v>
      </c>
      <c r="AI488">
        <v>0.15232077993398285</v>
      </c>
      <c r="AJ488">
        <v>0.17602619053939139</v>
      </c>
      <c r="AK488">
        <v>0.28843367299611444</v>
      </c>
      <c r="AL488">
        <v>4.4911141537446575E-2</v>
      </c>
      <c r="AM488">
        <v>0.10598453618722159</v>
      </c>
      <c r="AN488">
        <v>9.1028846369994643E-2</v>
      </c>
      <c r="AO488">
        <v>0.21813179531721305</v>
      </c>
      <c r="AR488">
        <v>7.2951284693269702E-4</v>
      </c>
      <c r="AS488">
        <v>4.5199626463380271E-3</v>
      </c>
      <c r="AT488">
        <v>9.9871274482453837E-2</v>
      </c>
      <c r="AU488">
        <v>2.0213521901513154E-3</v>
      </c>
      <c r="AV488">
        <v>1.8774052426901641E-3</v>
      </c>
      <c r="AW488">
        <v>3.2421548751544928E-3</v>
      </c>
      <c r="AX488">
        <v>4.246724483789599E-4</v>
      </c>
      <c r="AY488">
        <v>3.6694715481578992E-4</v>
      </c>
      <c r="BB488">
        <v>5.6585651706265061E-2</v>
      </c>
      <c r="BC488">
        <v>6.5252760634402884E-2</v>
      </c>
      <c r="BE488">
        <v>30815.169142459214</v>
      </c>
      <c r="BF488">
        <v>20.650007148650115</v>
      </c>
      <c r="BG488">
        <v>32929.412254215385</v>
      </c>
      <c r="BH488">
        <v>20.610668414726327</v>
      </c>
    </row>
    <row r="489" spans="3:60" x14ac:dyDescent="0.2">
      <c r="C489" s="138">
        <v>30214.499934103213</v>
      </c>
      <c r="D489">
        <v>21.039087598629603</v>
      </c>
      <c r="E489" s="138">
        <v>32149.228649287343</v>
      </c>
      <c r="F489" s="138">
        <v>21.024075247722667</v>
      </c>
      <c r="G489" s="138">
        <v>-1934.7287151841301</v>
      </c>
      <c r="H489" s="138">
        <v>1.5012350906935978E-2</v>
      </c>
      <c r="N489" s="138"/>
      <c r="O489" s="138"/>
      <c r="P489" s="138"/>
      <c r="R489">
        <v>271.25650710786829</v>
      </c>
      <c r="S489">
        <v>80.228497371040817</v>
      </c>
      <c r="T489">
        <v>299.50918109996661</v>
      </c>
      <c r="U489">
        <v>95.60220918177987</v>
      </c>
      <c r="X489">
        <v>0.62957290882509487</v>
      </c>
      <c r="Y489">
        <v>0.8353813691840335</v>
      </c>
      <c r="Z489">
        <v>0.85991429045173062</v>
      </c>
      <c r="AA489">
        <v>0.58341321560673365</v>
      </c>
      <c r="AB489">
        <v>0.74804868679551739</v>
      </c>
      <c r="AC489">
        <v>0.79424006941635072</v>
      </c>
      <c r="AD489">
        <v>0.42179372972690299</v>
      </c>
      <c r="AE489">
        <v>0.74901180955590818</v>
      </c>
      <c r="AH489">
        <v>0.1998098789125452</v>
      </c>
      <c r="AI489">
        <v>0.14139852832746758</v>
      </c>
      <c r="AJ489">
        <v>9.3670737356008282E-2</v>
      </c>
      <c r="AK489">
        <v>4.7330408570860794E-2</v>
      </c>
      <c r="AL489">
        <v>0.3422026064002357</v>
      </c>
      <c r="AM489">
        <v>1.3692210631353507E-2</v>
      </c>
      <c r="AN489">
        <v>0.25477875909270886</v>
      </c>
      <c r="AO489">
        <v>0.11179539262860827</v>
      </c>
      <c r="AR489">
        <v>7.0768117483279379E-4</v>
      </c>
      <c r="AS489">
        <v>4.4488481192336039E-3</v>
      </c>
      <c r="AT489">
        <v>9.9881056455754874E-2</v>
      </c>
      <c r="AU489">
        <v>2.0449798152297749E-3</v>
      </c>
      <c r="AV489">
        <v>2.1214732147426529E-3</v>
      </c>
      <c r="AW489">
        <v>3.5169104861079159E-3</v>
      </c>
      <c r="AX489">
        <v>3.5407467375683289E-4</v>
      </c>
      <c r="AY489">
        <v>4.5817028100569868E-4</v>
      </c>
      <c r="BB489">
        <v>4.8228440634725513E-2</v>
      </c>
      <c r="BC489">
        <v>2.3269170214406155E-2</v>
      </c>
      <c r="BE489">
        <v>30214.499934103213</v>
      </c>
      <c r="BF489">
        <v>21.039087598629603</v>
      </c>
      <c r="BG489">
        <v>32149.228649287343</v>
      </c>
      <c r="BH489">
        <v>21.024075247722667</v>
      </c>
    </row>
    <row r="490" spans="3:60" x14ac:dyDescent="0.2">
      <c r="C490" s="138">
        <v>30707.408126422481</v>
      </c>
      <c r="D490">
        <v>21.260554716812177</v>
      </c>
      <c r="E490" s="138">
        <v>32767.640383557271</v>
      </c>
      <c r="F490" s="138">
        <v>21.237978654475317</v>
      </c>
      <c r="G490" s="138">
        <v>-2060.2322571347904</v>
      </c>
      <c r="H490" s="138">
        <v>2.2576062336860048E-2</v>
      </c>
      <c r="N490" s="138"/>
      <c r="O490" s="138"/>
      <c r="P490" s="138"/>
      <c r="R490">
        <v>242.29751894159088</v>
      </c>
      <c r="S490">
        <v>65.533625099045977</v>
      </c>
      <c r="T490">
        <v>251.42439567695868</v>
      </c>
      <c r="U490">
        <v>88.836081156587056</v>
      </c>
      <c r="X490">
        <v>0.69990397089946399</v>
      </c>
      <c r="Y490">
        <v>0.74260653264496779</v>
      </c>
      <c r="Z490">
        <v>0.83752669653075762</v>
      </c>
      <c r="AA490">
        <v>0.82685200010075521</v>
      </c>
      <c r="AB490">
        <v>0.67855690121064294</v>
      </c>
      <c r="AC490">
        <v>0.68275814846224281</v>
      </c>
      <c r="AD490">
        <v>0.65826889470205541</v>
      </c>
      <c r="AE490">
        <v>0.53466989774523765</v>
      </c>
      <c r="AH490">
        <v>0.11059448816036999</v>
      </c>
      <c r="AI490">
        <v>4.4980592048027068E-2</v>
      </c>
      <c r="AJ490">
        <v>7.4027996767494497E-2</v>
      </c>
      <c r="AK490">
        <v>6.1409327548844761E-2</v>
      </c>
      <c r="AL490">
        <v>0.27177657913129694</v>
      </c>
      <c r="AM490">
        <v>7.1165677719682963E-2</v>
      </c>
      <c r="AN490">
        <v>7.2429365531052836E-2</v>
      </c>
      <c r="AO490">
        <v>0.15531758748773561</v>
      </c>
      <c r="AR490">
        <v>8.7031031977582941E-4</v>
      </c>
      <c r="AS490">
        <v>4.5436855397595899E-3</v>
      </c>
      <c r="AT490">
        <v>9.8302642301499599E-2</v>
      </c>
      <c r="AU490">
        <v>2.1102433336932513E-3</v>
      </c>
      <c r="AV490">
        <v>2.1829432004381033E-3</v>
      </c>
      <c r="AW490">
        <v>3.3071997491102671E-3</v>
      </c>
      <c r="AX490">
        <v>3.9613505370790432E-4</v>
      </c>
      <c r="AY490">
        <v>3.6318133358587547E-4</v>
      </c>
      <c r="BB490">
        <v>4.3954945388459496E-2</v>
      </c>
      <c r="BC490">
        <v>0.10420144680014498</v>
      </c>
      <c r="BE490">
        <v>30707.408126422481</v>
      </c>
      <c r="BF490">
        <v>21.260554716812177</v>
      </c>
      <c r="BG490">
        <v>32767.640383557271</v>
      </c>
      <c r="BH490">
        <v>21.237978654475317</v>
      </c>
    </row>
    <row r="491" spans="3:60" x14ac:dyDescent="0.2">
      <c r="C491" s="138">
        <v>30567.056861507481</v>
      </c>
      <c r="D491">
        <v>21.145099182781021</v>
      </c>
      <c r="E491" s="138">
        <v>32654.010559672344</v>
      </c>
      <c r="F491" s="138">
        <v>21.11642136390472</v>
      </c>
      <c r="G491" s="138">
        <v>-2086.9536981648635</v>
      </c>
      <c r="H491" s="138">
        <v>2.8677818876300165E-2</v>
      </c>
      <c r="N491" s="138"/>
      <c r="O491" s="138"/>
      <c r="P491" s="138"/>
      <c r="R491">
        <v>397.68163294930036</v>
      </c>
      <c r="S491">
        <v>59.203203167931044</v>
      </c>
      <c r="T491">
        <v>269.70068342999832</v>
      </c>
      <c r="U491">
        <v>96.246410058821567</v>
      </c>
      <c r="X491">
        <v>0.78750953896462117</v>
      </c>
      <c r="Y491">
        <v>0.78760179664763663</v>
      </c>
      <c r="Z491">
        <v>0.69380931835502513</v>
      </c>
      <c r="AA491">
        <v>0.93351083638693622</v>
      </c>
      <c r="AB491">
        <v>0.75321772503404472</v>
      </c>
      <c r="AC491">
        <v>0.72759754469262305</v>
      </c>
      <c r="AD491">
        <v>0.53350519381362616</v>
      </c>
      <c r="AE491">
        <v>0.88482442973501174</v>
      </c>
      <c r="AH491">
        <v>9.3959061840174218E-2</v>
      </c>
      <c r="AI491">
        <v>4.4433083673816265E-2</v>
      </c>
      <c r="AJ491">
        <v>8.3123315538373488E-2</v>
      </c>
      <c r="AK491">
        <v>0.14909213954217515</v>
      </c>
      <c r="AL491">
        <v>0.10769741883130535</v>
      </c>
      <c r="AM491">
        <v>7.4879874445584305E-2</v>
      </c>
      <c r="AN491">
        <v>9.7404840432835149E-2</v>
      </c>
      <c r="AO491">
        <v>8.6846331710264679E-2</v>
      </c>
      <c r="AR491">
        <v>8.9102334567392472E-4</v>
      </c>
      <c r="AS491">
        <v>4.3088395560679444E-3</v>
      </c>
      <c r="AT491">
        <v>9.8933662914140089E-2</v>
      </c>
      <c r="AU491">
        <v>1.9201077101590621E-3</v>
      </c>
      <c r="AV491">
        <v>2.0865662142593999E-3</v>
      </c>
      <c r="AW491">
        <v>3.4969786861667185E-3</v>
      </c>
      <c r="AX491">
        <v>4.5501033285988424E-4</v>
      </c>
      <c r="AY491">
        <v>4.0864156764584136E-4</v>
      </c>
      <c r="BB491">
        <v>4.6405084325650561E-2</v>
      </c>
      <c r="BC491">
        <v>6.4798412805606165E-2</v>
      </c>
      <c r="BE491">
        <v>30567.056861507481</v>
      </c>
      <c r="BF491">
        <v>21.145099182781021</v>
      </c>
      <c r="BG491">
        <v>32654.010559672344</v>
      </c>
      <c r="BH491">
        <v>21.11642136390472</v>
      </c>
    </row>
    <row r="492" spans="3:60" x14ac:dyDescent="0.2">
      <c r="C492" s="138">
        <v>26314.118115700876</v>
      </c>
      <c r="D492">
        <v>20.836945266840463</v>
      </c>
      <c r="E492" s="138">
        <v>27786.61081821566</v>
      </c>
      <c r="F492" s="138">
        <v>20.79507691118112</v>
      </c>
      <c r="G492" s="138">
        <v>-1472.4927025147845</v>
      </c>
      <c r="H492" s="138">
        <v>4.1868355659342882E-2</v>
      </c>
      <c r="N492" s="138"/>
      <c r="O492" s="138"/>
      <c r="P492" s="138"/>
      <c r="R492">
        <v>432.15781388004052</v>
      </c>
      <c r="S492">
        <v>47.869755511982859</v>
      </c>
      <c r="T492">
        <v>236.61505763958283</v>
      </c>
      <c r="U492">
        <v>94.149718486065197</v>
      </c>
      <c r="X492">
        <v>0.70063160939405666</v>
      </c>
      <c r="Y492">
        <v>0.74347388803235592</v>
      </c>
      <c r="Z492">
        <v>0.51947092761087688</v>
      </c>
      <c r="AA492">
        <v>0.49288863153392987</v>
      </c>
      <c r="AB492">
        <v>0.84006246600198042</v>
      </c>
      <c r="AC492">
        <v>0.48692922469686278</v>
      </c>
      <c r="AD492">
        <v>0.74455650343974666</v>
      </c>
      <c r="AE492">
        <v>0.89272196710393381</v>
      </c>
      <c r="AH492">
        <v>0.25450882857830248</v>
      </c>
      <c r="AI492">
        <v>7.9228639081686092E-2</v>
      </c>
      <c r="AJ492">
        <v>0.20359949774791353</v>
      </c>
      <c r="AK492">
        <v>0.19124107066255602</v>
      </c>
      <c r="AL492">
        <v>6.1339826680753551E-2</v>
      </c>
      <c r="AM492">
        <v>0.20385417416177387</v>
      </c>
      <c r="AN492">
        <v>0.20708539626011491</v>
      </c>
      <c r="AO492">
        <v>0.27647962465223874</v>
      </c>
      <c r="AR492">
        <v>8.5721629810875789E-4</v>
      </c>
      <c r="AS492">
        <v>4.1921650053224416E-3</v>
      </c>
      <c r="AT492">
        <v>9.9323908399734054E-2</v>
      </c>
      <c r="AU492">
        <v>1.9435882229105585E-3</v>
      </c>
      <c r="AV492">
        <v>2.0907348956580307E-3</v>
      </c>
      <c r="AW492">
        <v>3.519451443312005E-3</v>
      </c>
      <c r="AX492">
        <v>3.1210994749397963E-4</v>
      </c>
      <c r="AY492">
        <v>5.1027361976407892E-4</v>
      </c>
      <c r="BB492">
        <v>5.1617384443466308E-2</v>
      </c>
      <c r="BC492">
        <v>2.9713070197579926E-2</v>
      </c>
      <c r="BE492">
        <v>26314.118115700876</v>
      </c>
      <c r="BF492">
        <v>20.836945266840463</v>
      </c>
      <c r="BG492">
        <v>27786.61081821566</v>
      </c>
      <c r="BH492">
        <v>20.79507691118112</v>
      </c>
    </row>
    <row r="493" spans="3:60" x14ac:dyDescent="0.2">
      <c r="C493" s="138">
        <v>32470.360798643229</v>
      </c>
      <c r="D493">
        <v>21.479221516974381</v>
      </c>
      <c r="E493" s="138">
        <v>34284.32217657927</v>
      </c>
      <c r="F493" s="138">
        <v>21.459548181680379</v>
      </c>
      <c r="G493" s="138">
        <v>-1813.9613779360407</v>
      </c>
      <c r="H493" s="138">
        <v>1.9673335294001504E-2</v>
      </c>
      <c r="N493" s="138"/>
      <c r="O493" s="138"/>
      <c r="P493" s="138"/>
      <c r="R493">
        <v>293.79091840521119</v>
      </c>
      <c r="S493">
        <v>56.452977020127726</v>
      </c>
      <c r="T493">
        <v>264.08969650048937</v>
      </c>
      <c r="U493">
        <v>118.45140552364663</v>
      </c>
      <c r="X493">
        <v>0.95709982179246689</v>
      </c>
      <c r="Y493">
        <v>0.85995471893633246</v>
      </c>
      <c r="Z493">
        <v>0.53893708458743661</v>
      </c>
      <c r="AA493">
        <v>0.64820483488233938</v>
      </c>
      <c r="AB493">
        <v>0.70366505843912663</v>
      </c>
      <c r="AC493">
        <v>0.72773545145294694</v>
      </c>
      <c r="AD493">
        <v>0.9221425274840791</v>
      </c>
      <c r="AE493">
        <v>0.62740192209010226</v>
      </c>
      <c r="AH493">
        <v>0.27808172084442073</v>
      </c>
      <c r="AI493">
        <v>6.7512444731534282E-2</v>
      </c>
      <c r="AJ493">
        <v>6.5531207542383618E-2</v>
      </c>
      <c r="AK493">
        <v>6.4640121657300043E-3</v>
      </c>
      <c r="AL493">
        <v>0.14683622444638522</v>
      </c>
      <c r="AM493">
        <v>0.26074975268398282</v>
      </c>
      <c r="AN493">
        <v>5.4484566959295488E-2</v>
      </c>
      <c r="AO493">
        <v>0.12392590853819818</v>
      </c>
      <c r="AR493">
        <v>8.774754993675103E-4</v>
      </c>
      <c r="AS493">
        <v>4.234606699380106E-3</v>
      </c>
      <c r="AT493">
        <v>9.9763965258168469E-2</v>
      </c>
      <c r="AU493">
        <v>2.0202029655617126E-3</v>
      </c>
      <c r="AV493">
        <v>2.1056348227016519E-3</v>
      </c>
      <c r="AW493">
        <v>3.3462160364237476E-3</v>
      </c>
      <c r="AX493">
        <v>3.32268017765513E-4</v>
      </c>
      <c r="AY493">
        <v>4.2375723649747761E-4</v>
      </c>
      <c r="BB493">
        <v>4.7076982056937389E-2</v>
      </c>
      <c r="BC493">
        <v>2.230964642780461E-2</v>
      </c>
      <c r="BE493">
        <v>32470.360798643229</v>
      </c>
      <c r="BF493">
        <v>21.479221516974381</v>
      </c>
      <c r="BG493">
        <v>34284.32217657927</v>
      </c>
      <c r="BH493">
        <v>21.459548181680379</v>
      </c>
    </row>
    <row r="494" spans="3:60" x14ac:dyDescent="0.2">
      <c r="C494" s="138">
        <v>34312.046065210779</v>
      </c>
      <c r="D494">
        <v>20.801820585369974</v>
      </c>
      <c r="E494" s="138">
        <v>36548.592203714747</v>
      </c>
      <c r="F494" s="138">
        <v>20.767190576167202</v>
      </c>
      <c r="G494" s="138">
        <v>-2236.5461385039671</v>
      </c>
      <c r="H494" s="138">
        <v>3.4630009202771816E-2</v>
      </c>
      <c r="N494" s="138"/>
      <c r="O494" s="138"/>
      <c r="P494" s="138"/>
      <c r="R494">
        <v>337.67394021390936</v>
      </c>
      <c r="S494">
        <v>61.617602023979217</v>
      </c>
      <c r="T494">
        <v>263.0315653948615</v>
      </c>
      <c r="U494">
        <v>112.26276479083607</v>
      </c>
      <c r="X494">
        <v>0.81956691722934194</v>
      </c>
      <c r="Y494">
        <v>0.93640299495958734</v>
      </c>
      <c r="Z494">
        <v>0.77289267005662055</v>
      </c>
      <c r="AA494">
        <v>0.67837437935408373</v>
      </c>
      <c r="AB494">
        <v>0.66471174183679449</v>
      </c>
      <c r="AC494">
        <v>0.7331834162970311</v>
      </c>
      <c r="AD494">
        <v>0.68938023566804474</v>
      </c>
      <c r="AE494">
        <v>0.71699824948576363</v>
      </c>
      <c r="AH494">
        <v>0.30228771789134568</v>
      </c>
      <c r="AI494">
        <v>5.2326224797441867E-2</v>
      </c>
      <c r="AJ494">
        <v>0.18917267874237909</v>
      </c>
      <c r="AK494">
        <v>0.10781987568282758</v>
      </c>
      <c r="AL494">
        <v>1.4618166374127051E-2</v>
      </c>
      <c r="AM494">
        <v>7.0464241806441175E-2</v>
      </c>
      <c r="AN494">
        <v>6.8366548224985779E-2</v>
      </c>
      <c r="AO494">
        <v>1.5610438425433193E-2</v>
      </c>
      <c r="AR494">
        <v>1.0960437102809362E-3</v>
      </c>
      <c r="AS494">
        <v>4.6322030768035649E-3</v>
      </c>
      <c r="AT494">
        <v>9.9552776601977408E-2</v>
      </c>
      <c r="AU494">
        <v>1.7819897307472196E-3</v>
      </c>
      <c r="AV494">
        <v>2.1570773240060515E-3</v>
      </c>
      <c r="AW494">
        <v>3.3797156027703555E-3</v>
      </c>
      <c r="AX494">
        <v>3.4996608491941596E-4</v>
      </c>
      <c r="AY494">
        <v>4.3463251051984792E-4</v>
      </c>
      <c r="BB494">
        <v>4.7216821371966533E-2</v>
      </c>
      <c r="BC494">
        <v>4.5997617481200744E-2</v>
      </c>
      <c r="BE494">
        <v>34312.046065210779</v>
      </c>
      <c r="BF494">
        <v>20.801820585369974</v>
      </c>
      <c r="BG494">
        <v>36548.592203714747</v>
      </c>
      <c r="BH494">
        <v>20.767190576167202</v>
      </c>
    </row>
    <row r="495" spans="3:60" x14ac:dyDescent="0.2">
      <c r="C495" s="138">
        <v>26317.412779347102</v>
      </c>
      <c r="D495">
        <v>21.176331708873782</v>
      </c>
      <c r="E495" s="138">
        <v>28361.869673298803</v>
      </c>
      <c r="F495" s="138">
        <v>21.131305941296841</v>
      </c>
      <c r="G495" s="138">
        <v>-2044.4568939517012</v>
      </c>
      <c r="H495" s="138">
        <v>4.5025767576941433E-2</v>
      </c>
      <c r="N495" s="138"/>
      <c r="O495" s="138"/>
      <c r="P495" s="138"/>
      <c r="R495">
        <v>312.06500860303265</v>
      </c>
      <c r="S495">
        <v>62.711354434339839</v>
      </c>
      <c r="T495">
        <v>200.1068422859741</v>
      </c>
      <c r="U495">
        <v>81.876740872920422</v>
      </c>
      <c r="X495">
        <v>0.78269415057101388</v>
      </c>
      <c r="Y495">
        <v>0.67099679260044909</v>
      </c>
      <c r="Z495">
        <v>0.84272232492031462</v>
      </c>
      <c r="AA495">
        <v>0.94591416214290169</v>
      </c>
      <c r="AB495">
        <v>0.73874766625466715</v>
      </c>
      <c r="AC495">
        <v>0.94315428554652148</v>
      </c>
      <c r="AD495">
        <v>0.74128884197365374</v>
      </c>
      <c r="AE495">
        <v>0.83080392071006681</v>
      </c>
      <c r="AH495">
        <v>0.14953713262690294</v>
      </c>
      <c r="AI495">
        <v>0.2458523530489517</v>
      </c>
      <c r="AJ495">
        <v>0.20988546688296883</v>
      </c>
      <c r="AK495">
        <v>0.14557511143269064</v>
      </c>
      <c r="AL495">
        <v>0.13314730574553557</v>
      </c>
      <c r="AM495">
        <v>2.8514800193074175E-2</v>
      </c>
      <c r="AN495">
        <v>5.5369642990286794E-2</v>
      </c>
      <c r="AO495">
        <v>0.4051081334310086</v>
      </c>
      <c r="AR495">
        <v>8.1344253493614968E-4</v>
      </c>
      <c r="AS495">
        <v>4.6820364955437732E-3</v>
      </c>
      <c r="AT495">
        <v>0.10036346713526845</v>
      </c>
      <c r="AU495">
        <v>2.0470800976366554E-3</v>
      </c>
      <c r="AV495">
        <v>1.8116507111154802E-3</v>
      </c>
      <c r="AW495">
        <v>3.7293537643056096E-3</v>
      </c>
      <c r="AX495">
        <v>4.127490894728636E-4</v>
      </c>
      <c r="AY495">
        <v>3.5452674303905154E-4</v>
      </c>
      <c r="BB495">
        <v>4.6123278092407599E-2</v>
      </c>
      <c r="BC495">
        <v>7.6363914291569079E-2</v>
      </c>
      <c r="BE495">
        <v>26317.412779347102</v>
      </c>
      <c r="BF495">
        <v>21.176331708873782</v>
      </c>
      <c r="BG495">
        <v>28361.869673298803</v>
      </c>
      <c r="BH495">
        <v>21.131305941296841</v>
      </c>
    </row>
    <row r="496" spans="3:60" x14ac:dyDescent="0.2">
      <c r="C496" s="138">
        <v>31260.113798527862</v>
      </c>
      <c r="D496">
        <v>20.913570831089874</v>
      </c>
      <c r="E496" s="138">
        <v>33166.850145829114</v>
      </c>
      <c r="F496" s="138">
        <v>20.869208471913058</v>
      </c>
      <c r="G496" s="138">
        <v>-1906.736347301252</v>
      </c>
      <c r="H496" s="138">
        <v>4.4362359176815858E-2</v>
      </c>
      <c r="N496" s="138"/>
      <c r="O496" s="138"/>
      <c r="P496" s="138"/>
      <c r="R496">
        <v>413.95204715787395</v>
      </c>
      <c r="S496">
        <v>67.610236997061534</v>
      </c>
      <c r="T496">
        <v>260.54599063579388</v>
      </c>
      <c r="U496">
        <v>103.0820000206474</v>
      </c>
      <c r="X496">
        <v>0.88460851657156181</v>
      </c>
      <c r="Y496">
        <v>0.92525123699864298</v>
      </c>
      <c r="Z496">
        <v>0.87257672885000959</v>
      </c>
      <c r="AA496">
        <v>0.89176022237383101</v>
      </c>
      <c r="AB496">
        <v>0.96531665001985589</v>
      </c>
      <c r="AC496">
        <v>0.80896911218168222</v>
      </c>
      <c r="AD496">
        <v>0.58869385530437202</v>
      </c>
      <c r="AE496">
        <v>0.64877861842487217</v>
      </c>
      <c r="AH496">
        <v>0.17955085689621564</v>
      </c>
      <c r="AI496">
        <v>0.15117858917804106</v>
      </c>
      <c r="AJ496">
        <v>9.5763828678012808E-2</v>
      </c>
      <c r="AK496">
        <v>0.18383903235978072</v>
      </c>
      <c r="AL496">
        <v>0.21263607864751877</v>
      </c>
      <c r="AM496">
        <v>5.2335834577518336E-2</v>
      </c>
      <c r="AN496">
        <v>0.12490557529671142</v>
      </c>
      <c r="AO496">
        <v>5.5334125625244202E-2</v>
      </c>
      <c r="AR496">
        <v>8.5302623293867714E-4</v>
      </c>
      <c r="AS496">
        <v>4.4498760252143325E-3</v>
      </c>
      <c r="AT496">
        <v>0.10013537412597595</v>
      </c>
      <c r="AU496">
        <v>1.9043597847454654E-3</v>
      </c>
      <c r="AV496">
        <v>1.7919715887731798E-3</v>
      </c>
      <c r="AW496">
        <v>3.3777374395084414E-3</v>
      </c>
      <c r="AX496">
        <v>3.7579823895910136E-4</v>
      </c>
      <c r="AY496">
        <v>4.2097189190551306E-4</v>
      </c>
      <c r="BB496">
        <v>4.6626688652433385E-2</v>
      </c>
      <c r="BC496">
        <v>2.5751270664342449E-2</v>
      </c>
      <c r="BE496">
        <v>31260.113798527862</v>
      </c>
      <c r="BF496">
        <v>20.913570831089874</v>
      </c>
      <c r="BG496">
        <v>33166.850145829114</v>
      </c>
      <c r="BH496">
        <v>20.869208471913058</v>
      </c>
    </row>
    <row r="497" spans="3:60" x14ac:dyDescent="0.2">
      <c r="C497" s="138">
        <v>29949.769300395354</v>
      </c>
      <c r="D497">
        <v>21.089596414621955</v>
      </c>
      <c r="E497" s="138">
        <v>32822.403294956523</v>
      </c>
      <c r="F497" s="138">
        <v>21.071913581126029</v>
      </c>
      <c r="G497" s="138">
        <v>-2872.6339945611689</v>
      </c>
      <c r="H497" s="138">
        <v>1.7682833495925365E-2</v>
      </c>
      <c r="N497" s="138"/>
      <c r="O497" s="138"/>
      <c r="P497" s="138"/>
      <c r="R497">
        <v>6.2500647993192331</v>
      </c>
      <c r="S497">
        <v>74.63314053379564</v>
      </c>
      <c r="T497">
        <v>247.78801819478304</v>
      </c>
      <c r="U497">
        <v>83.067074652505397</v>
      </c>
      <c r="X497">
        <v>0.92844690592611701</v>
      </c>
      <c r="Y497">
        <v>0.62272193174470747</v>
      </c>
      <c r="Z497">
        <v>0.57521362397028375</v>
      </c>
      <c r="AA497">
        <v>0.41593865093839089</v>
      </c>
      <c r="AB497">
        <v>0.98122315017430695</v>
      </c>
      <c r="AC497">
        <v>0.92356970688089779</v>
      </c>
      <c r="AD497">
        <v>0.83983526589598267</v>
      </c>
      <c r="AE497">
        <v>0.83973032512505574</v>
      </c>
      <c r="AH497">
        <v>0.12212570813060242</v>
      </c>
      <c r="AI497">
        <v>0.24028707172429298</v>
      </c>
      <c r="AJ497">
        <v>0.18553013468804691</v>
      </c>
      <c r="AK497">
        <v>6.1633645946608251E-2</v>
      </c>
      <c r="AL497">
        <v>0.13093135272312761</v>
      </c>
      <c r="AM497">
        <v>0.2159668246387958</v>
      </c>
      <c r="AN497">
        <v>1.7454408089776607E-2</v>
      </c>
      <c r="AO497">
        <v>0.13295568751583819</v>
      </c>
      <c r="AR497">
        <v>9.1133048272584727E-4</v>
      </c>
      <c r="AS497">
        <v>4.5177101405561304E-3</v>
      </c>
      <c r="AT497">
        <v>0.10150007328571187</v>
      </c>
      <c r="AU497">
        <v>1.8159127900127744E-3</v>
      </c>
      <c r="AV497">
        <v>1.9721623772134484E-3</v>
      </c>
      <c r="AW497">
        <v>3.3696950124701627E-3</v>
      </c>
      <c r="AX497">
        <v>3.7436082909594176E-4</v>
      </c>
      <c r="AY497">
        <v>4.7649922177139814E-4</v>
      </c>
      <c r="BB497">
        <v>5.1991924516771371E-2</v>
      </c>
      <c r="BC497">
        <v>4.6786626922072472E-2</v>
      </c>
      <c r="BE497">
        <v>29949.769300395354</v>
      </c>
      <c r="BF497">
        <v>21.089596414621955</v>
      </c>
      <c r="BG497">
        <v>32822.403294956523</v>
      </c>
      <c r="BH497">
        <v>21.071913581126029</v>
      </c>
    </row>
    <row r="498" spans="3:60" x14ac:dyDescent="0.2">
      <c r="C498" s="138">
        <v>34264.653878419012</v>
      </c>
      <c r="D498">
        <v>21.597548086265768</v>
      </c>
      <c r="E498" s="138">
        <v>36703.043011365291</v>
      </c>
      <c r="F498" s="138">
        <v>21.57761915258595</v>
      </c>
      <c r="G498" s="138">
        <v>-2438.3891329462786</v>
      </c>
      <c r="H498" s="138">
        <v>1.9928933679818073E-2</v>
      </c>
      <c r="N498" s="138"/>
      <c r="O498" s="138"/>
      <c r="P498" s="138"/>
      <c r="R498">
        <v>199.69673321146263</v>
      </c>
      <c r="S498">
        <v>64.504580745422061</v>
      </c>
      <c r="T498">
        <v>258.98462912661023</v>
      </c>
      <c r="U498">
        <v>96.724907932561806</v>
      </c>
      <c r="X498">
        <v>0.62091614194715139</v>
      </c>
      <c r="Y498">
        <v>0.56471247621147824</v>
      </c>
      <c r="Z498">
        <v>0.96160008622676363</v>
      </c>
      <c r="AA498">
        <v>0.6948283128645576</v>
      </c>
      <c r="AB498">
        <v>0.51597079606341012</v>
      </c>
      <c r="AC498">
        <v>0.48474582342492017</v>
      </c>
      <c r="AD498">
        <v>0.71724280871858315</v>
      </c>
      <c r="AE498">
        <v>0.79152423661701021</v>
      </c>
      <c r="AH498">
        <v>0.12686232417095578</v>
      </c>
      <c r="AI498">
        <v>4.8226840557551887E-2</v>
      </c>
      <c r="AJ498">
        <v>0.20652581979673135</v>
      </c>
      <c r="AK498">
        <v>0.11053457527235455</v>
      </c>
      <c r="AL498">
        <v>7.2259282270607184E-2</v>
      </c>
      <c r="AM498">
        <v>9.9094156447167681E-2</v>
      </c>
      <c r="AN498">
        <v>0.16935627448491075</v>
      </c>
      <c r="AO498">
        <v>7.5270235331279856E-2</v>
      </c>
      <c r="AR498">
        <v>7.75834519645272E-4</v>
      </c>
      <c r="AS498">
        <v>4.7224966985215389E-3</v>
      </c>
      <c r="AT498">
        <v>9.961099847641143E-2</v>
      </c>
      <c r="AU498">
        <v>1.85802471734629E-3</v>
      </c>
      <c r="AV498">
        <v>1.8504236949009286E-3</v>
      </c>
      <c r="AW498">
        <v>3.6785323327827024E-3</v>
      </c>
      <c r="AX498">
        <v>3.7938825832436291E-4</v>
      </c>
      <c r="AY498">
        <v>4.0177169969772732E-4</v>
      </c>
      <c r="BB498">
        <v>5.2151884038390772E-2</v>
      </c>
      <c r="BC498">
        <v>4.0503155281015009E-2</v>
      </c>
      <c r="BE498">
        <v>34264.653878419012</v>
      </c>
      <c r="BF498">
        <v>21.597548086265768</v>
      </c>
      <c r="BG498">
        <v>36703.043011365291</v>
      </c>
      <c r="BH498">
        <v>21.57761915258595</v>
      </c>
    </row>
    <row r="499" spans="3:60" x14ac:dyDescent="0.2">
      <c r="C499" s="138">
        <v>27232.092354793247</v>
      </c>
      <c r="D499">
        <v>21.326149280264644</v>
      </c>
      <c r="E499" s="138">
        <v>28937.130224936343</v>
      </c>
      <c r="F499" s="138">
        <v>21.3190960860838</v>
      </c>
      <c r="G499" s="138">
        <v>-1705.0378701430964</v>
      </c>
      <c r="H499" s="138">
        <v>7.0531941808447129E-3</v>
      </c>
      <c r="N499" s="138"/>
      <c r="O499" s="138"/>
      <c r="P499" s="138"/>
      <c r="R499">
        <v>232.58650002059437</v>
      </c>
      <c r="S499">
        <v>63.912361516107758</v>
      </c>
      <c r="T499">
        <v>268.61484519008201</v>
      </c>
      <c r="U499">
        <v>98.196690293841129</v>
      </c>
      <c r="X499">
        <v>0.82257425334044287</v>
      </c>
      <c r="Y499">
        <v>0.89427850962951816</v>
      </c>
      <c r="Z499">
        <v>0.92460677009139736</v>
      </c>
      <c r="AA499">
        <v>0.70544491607071513</v>
      </c>
      <c r="AB499">
        <v>0.73960820324538068</v>
      </c>
      <c r="AC499">
        <v>0.60598476837671411</v>
      </c>
      <c r="AD499">
        <v>0.60036999004103053</v>
      </c>
      <c r="AE499">
        <v>0.82030244935840035</v>
      </c>
      <c r="AH499">
        <v>5.6913618123764165E-2</v>
      </c>
      <c r="AI499">
        <v>0.37469863734870579</v>
      </c>
      <c r="AJ499">
        <v>0.24953533011990692</v>
      </c>
      <c r="AK499">
        <v>0.19213759778913464</v>
      </c>
      <c r="AL499">
        <v>6.1917014031267037E-2</v>
      </c>
      <c r="AM499">
        <v>6.5893004104812913E-2</v>
      </c>
      <c r="AN499">
        <v>0.31227228026511933</v>
      </c>
      <c r="AO499">
        <v>9.6730356614734392E-2</v>
      </c>
      <c r="AR499">
        <v>1.1006155056521028E-3</v>
      </c>
      <c r="AS499">
        <v>4.6681496809171108E-3</v>
      </c>
      <c r="AT499">
        <v>9.9210585250808739E-2</v>
      </c>
      <c r="AU499">
        <v>2.0309073255618815E-3</v>
      </c>
      <c r="AV499">
        <v>2.0161993542229251E-3</v>
      </c>
      <c r="AW499">
        <v>3.4475301701061278E-3</v>
      </c>
      <c r="AX499">
        <v>4.0033782861315093E-4</v>
      </c>
      <c r="AY499">
        <v>4.2411756025615912E-4</v>
      </c>
      <c r="BB499">
        <v>5.14910205272191E-2</v>
      </c>
      <c r="BC499">
        <v>4.9477433126678294E-2</v>
      </c>
      <c r="BE499">
        <v>27232.092354793247</v>
      </c>
      <c r="BF499">
        <v>21.326149280264644</v>
      </c>
      <c r="BG499">
        <v>28937.130224936343</v>
      </c>
      <c r="BH499">
        <v>21.3190960860838</v>
      </c>
    </row>
    <row r="500" spans="3:60" x14ac:dyDescent="0.2">
      <c r="C500" s="138">
        <v>32032.5789197991</v>
      </c>
      <c r="D500">
        <v>21.320451172115906</v>
      </c>
      <c r="E500" s="138">
        <v>34199.011854243254</v>
      </c>
      <c r="F500" s="138">
        <v>21.325648158432525</v>
      </c>
      <c r="G500" s="138">
        <v>-2166.4329344441539</v>
      </c>
      <c r="H500" s="138">
        <v>-5.1969863166192454E-3</v>
      </c>
      <c r="N500" s="138"/>
      <c r="O500" s="138"/>
      <c r="P500" s="138"/>
      <c r="R500">
        <v>93.327603267853675</v>
      </c>
      <c r="S500">
        <v>65.725648297114162</v>
      </c>
      <c r="T500">
        <v>249.57909425382715</v>
      </c>
      <c r="U500">
        <v>91.169145240456047</v>
      </c>
      <c r="X500">
        <v>0.78217639608601464</v>
      </c>
      <c r="Y500">
        <v>0.72381381519566057</v>
      </c>
      <c r="Z500">
        <v>0.51652976575544474</v>
      </c>
      <c r="AA500">
        <v>0.63823697821008518</v>
      </c>
      <c r="AB500">
        <v>0.74031337089427895</v>
      </c>
      <c r="AC500">
        <v>0.72813959430749575</v>
      </c>
      <c r="AD500">
        <v>0.76847131520846468</v>
      </c>
      <c r="AE500">
        <v>0.65398527940862194</v>
      </c>
      <c r="AH500">
        <v>3.3940342182374073E-2</v>
      </c>
      <c r="AI500">
        <v>4.789596596691692E-2</v>
      </c>
      <c r="AJ500">
        <v>0.16263179232380864</v>
      </c>
      <c r="AK500">
        <v>4.7307570497979623E-2</v>
      </c>
      <c r="AL500">
        <v>1.5978551176484501E-2</v>
      </c>
      <c r="AM500">
        <v>2.9070508586400257E-2</v>
      </c>
      <c r="AN500">
        <v>0.24413744136964177</v>
      </c>
      <c r="AO500">
        <v>9.1907002854012654E-2</v>
      </c>
      <c r="AR500">
        <v>8.2678412865644303E-4</v>
      </c>
      <c r="AS500">
        <v>4.5165657776969903E-3</v>
      </c>
      <c r="AT500">
        <v>9.8415826941559273E-2</v>
      </c>
      <c r="AU500">
        <v>2.2519366321465117E-3</v>
      </c>
      <c r="AV500">
        <v>2.0704996881529825E-3</v>
      </c>
      <c r="AW500">
        <v>3.3499021970234168E-3</v>
      </c>
      <c r="AX500">
        <v>3.551461197402329E-4</v>
      </c>
      <c r="AY500">
        <v>4.0144514856758743E-4</v>
      </c>
      <c r="BB500">
        <v>4.9071320519992134E-2</v>
      </c>
      <c r="BC500">
        <v>4.7943804181661553E-2</v>
      </c>
      <c r="BE500">
        <v>32032.5789197991</v>
      </c>
      <c r="BF500">
        <v>21.320451172115906</v>
      </c>
      <c r="BG500">
        <v>34199.011854243254</v>
      </c>
      <c r="BH500">
        <v>21.325648158432525</v>
      </c>
    </row>
    <row r="501" spans="3:60" x14ac:dyDescent="0.2">
      <c r="C501" s="138">
        <v>32130.365491131201</v>
      </c>
      <c r="D501">
        <v>21.285477984979156</v>
      </c>
      <c r="E501" s="138">
        <v>34142.12940136611</v>
      </c>
      <c r="F501" s="138">
        <v>21.300780161474794</v>
      </c>
      <c r="G501" s="138">
        <v>-2011.7639102349094</v>
      </c>
      <c r="H501" s="138">
        <v>-1.5302176495637809E-2</v>
      </c>
      <c r="N501" s="138"/>
      <c r="O501" s="138"/>
      <c r="P501" s="138"/>
      <c r="R501">
        <v>317.27568562797177</v>
      </c>
      <c r="S501">
        <v>53.01377723774899</v>
      </c>
      <c r="T501">
        <v>246.81635207517107</v>
      </c>
      <c r="U501">
        <v>93.134343150815511</v>
      </c>
      <c r="X501">
        <v>0.91378600295559287</v>
      </c>
      <c r="Y501">
        <v>0.50408255002888624</v>
      </c>
      <c r="Z501">
        <v>0.98226361336013879</v>
      </c>
      <c r="AA501">
        <v>0.72594001941131625</v>
      </c>
      <c r="AB501">
        <v>0.73439719187482466</v>
      </c>
      <c r="AC501">
        <v>0.83619973234462841</v>
      </c>
      <c r="AD501">
        <v>0.70624682604812028</v>
      </c>
      <c r="AE501">
        <v>0.68973465842385728</v>
      </c>
      <c r="AH501">
        <v>0.15148321360621031</v>
      </c>
      <c r="AI501">
        <v>8.2995471268103027E-2</v>
      </c>
      <c r="AJ501">
        <v>0.17531544158249335</v>
      </c>
      <c r="AK501">
        <v>9.8522450438299547E-2</v>
      </c>
      <c r="AL501">
        <v>1.297239952067919E-2</v>
      </c>
      <c r="AM501">
        <v>0.10537842039791578</v>
      </c>
      <c r="AN501">
        <v>2.5555464224049529E-2</v>
      </c>
      <c r="AO501">
        <v>0.14952311168992583</v>
      </c>
      <c r="AR501">
        <v>6.3265588391965327E-4</v>
      </c>
      <c r="AS501">
        <v>4.4731861449203063E-3</v>
      </c>
      <c r="AT501">
        <v>0.10004848825019974</v>
      </c>
      <c r="AU501">
        <v>2.0252762682003711E-3</v>
      </c>
      <c r="AV501">
        <v>2.0798741296623735E-3</v>
      </c>
      <c r="AW501">
        <v>3.5251730652479107E-3</v>
      </c>
      <c r="AX501">
        <v>2.8165260062498401E-4</v>
      </c>
      <c r="AY501">
        <v>4.2007093837203891E-4</v>
      </c>
      <c r="BB501">
        <v>5.1845347324742663E-2</v>
      </c>
      <c r="BC501">
        <v>4.015805025904147E-2</v>
      </c>
      <c r="BE501">
        <v>32130.365491131201</v>
      </c>
      <c r="BF501">
        <v>21.285477984979156</v>
      </c>
      <c r="BG501">
        <v>34142.12940136611</v>
      </c>
      <c r="BH501">
        <v>21.300780161474794</v>
      </c>
    </row>
    <row r="502" spans="3:60" x14ac:dyDescent="0.2">
      <c r="C502" s="138">
        <v>28915.236024513699</v>
      </c>
      <c r="D502">
        <v>20.951088504363806</v>
      </c>
      <c r="E502" s="138">
        <v>31072.811939214149</v>
      </c>
      <c r="F502" s="138">
        <v>20.909086085638773</v>
      </c>
      <c r="G502" s="138">
        <v>-2157.5759147004501</v>
      </c>
      <c r="H502" s="138">
        <v>4.2002418725033408E-2</v>
      </c>
      <c r="N502" s="138"/>
      <c r="O502" s="138"/>
      <c r="P502" s="138"/>
      <c r="R502">
        <v>410.52443761375946</v>
      </c>
      <c r="S502">
        <v>60.932120919832158</v>
      </c>
      <c r="T502">
        <v>241.40703506894789</v>
      </c>
      <c r="U502">
        <v>86.412880583589157</v>
      </c>
      <c r="X502">
        <v>0.73567567854689564</v>
      </c>
      <c r="Y502">
        <v>0.68497793457869693</v>
      </c>
      <c r="Z502">
        <v>0.71835572204339537</v>
      </c>
      <c r="AA502">
        <v>0.6830821296641475</v>
      </c>
      <c r="AB502">
        <v>0.57659253814350298</v>
      </c>
      <c r="AC502">
        <v>0.5738669315055327</v>
      </c>
      <c r="AD502">
        <v>0.81320955146342055</v>
      </c>
      <c r="AE502">
        <v>0.8419593081590846</v>
      </c>
      <c r="AH502">
        <v>0.10258665129383782</v>
      </c>
      <c r="AI502">
        <v>0.16796656015629652</v>
      </c>
      <c r="AJ502">
        <v>0.17259495690953286</v>
      </c>
      <c r="AK502">
        <v>6.3742091259674449E-2</v>
      </c>
      <c r="AL502">
        <v>0.19680840134867605</v>
      </c>
      <c r="AM502">
        <v>4.5253476097010026E-2</v>
      </c>
      <c r="AN502">
        <v>5.9988893506275787E-2</v>
      </c>
      <c r="AO502">
        <v>0.13727674827035419</v>
      </c>
      <c r="AR502">
        <v>8.8878060065722408E-4</v>
      </c>
      <c r="AS502">
        <v>4.5660142583966445E-3</v>
      </c>
      <c r="AT502">
        <v>0.10040544417121</v>
      </c>
      <c r="AU502">
        <v>1.8501420960746154E-3</v>
      </c>
      <c r="AV502">
        <v>1.8770962555991026E-3</v>
      </c>
      <c r="AW502">
        <v>3.2877766441608276E-3</v>
      </c>
      <c r="AX502">
        <v>4.2139351777381595E-4</v>
      </c>
      <c r="AY502">
        <v>4.8566916802872395E-4</v>
      </c>
      <c r="BB502">
        <v>4.5865086358242969E-2</v>
      </c>
      <c r="BC502">
        <v>2.424807233417078E-2</v>
      </c>
      <c r="BE502">
        <v>28915.236024513699</v>
      </c>
      <c r="BF502">
        <v>20.951088504363806</v>
      </c>
      <c r="BG502">
        <v>31072.811939214149</v>
      </c>
      <c r="BH502">
        <v>20.909086085638773</v>
      </c>
    </row>
    <row r="503" spans="3:60" x14ac:dyDescent="0.2">
      <c r="C503" s="138">
        <v>31462.421062051879</v>
      </c>
      <c r="D503">
        <v>21.809086680690005</v>
      </c>
      <c r="E503" s="138">
        <v>33726.730009363557</v>
      </c>
      <c r="F503" s="138">
        <v>21.805178370954945</v>
      </c>
      <c r="G503" s="138">
        <v>-2264.3089473116779</v>
      </c>
      <c r="H503" s="138">
        <v>3.908309735059845E-3</v>
      </c>
      <c r="N503" s="138"/>
      <c r="O503" s="138"/>
      <c r="P503" s="138"/>
      <c r="R503">
        <v>142.62178701139936</v>
      </c>
      <c r="S503">
        <v>78.04723340872944</v>
      </c>
      <c r="T503">
        <v>245.97576277457276</v>
      </c>
      <c r="U503">
        <v>83.343088845225282</v>
      </c>
      <c r="X503">
        <v>0.72124929488965228</v>
      </c>
      <c r="Y503">
        <v>0.68819762201350387</v>
      </c>
      <c r="Z503">
        <v>0.76880673252648357</v>
      </c>
      <c r="AA503">
        <v>0.86097365534953219</v>
      </c>
      <c r="AB503">
        <v>0.69314287156111409</v>
      </c>
      <c r="AC503">
        <v>0.80691620416732768</v>
      </c>
      <c r="AD503">
        <v>0.70309438397081869</v>
      </c>
      <c r="AE503">
        <v>0.87559078346327746</v>
      </c>
      <c r="AH503">
        <v>3.5111684484704142E-2</v>
      </c>
      <c r="AI503">
        <v>6.809103194430699E-2</v>
      </c>
      <c r="AJ503">
        <v>3.0444314778942272E-2</v>
      </c>
      <c r="AK503">
        <v>9.7946432316666443E-2</v>
      </c>
      <c r="AL503">
        <v>0.12019782352829422</v>
      </c>
      <c r="AM503">
        <v>0.13033601576847165</v>
      </c>
      <c r="AN503">
        <v>0.23268036525439872</v>
      </c>
      <c r="AO503">
        <v>9.8893264541595416E-2</v>
      </c>
      <c r="AR503">
        <v>8.1447221767586757E-4</v>
      </c>
      <c r="AS503">
        <v>4.500440920607085E-3</v>
      </c>
      <c r="AT503">
        <v>9.8972211687946191E-2</v>
      </c>
      <c r="AU503">
        <v>2.3034098866850927E-3</v>
      </c>
      <c r="AV503">
        <v>1.9162245269653347E-3</v>
      </c>
      <c r="AW503">
        <v>3.2127955558797676E-3</v>
      </c>
      <c r="AX503">
        <v>3.4307347747122553E-4</v>
      </c>
      <c r="AY503">
        <v>3.7496761655291899E-4</v>
      </c>
      <c r="BB503">
        <v>3.6962092909646034E-2</v>
      </c>
      <c r="BC503">
        <v>6.6595093023415153E-2</v>
      </c>
      <c r="BE503">
        <v>31462.421062051879</v>
      </c>
      <c r="BF503">
        <v>21.809086680690005</v>
      </c>
      <c r="BG503">
        <v>33726.730009363557</v>
      </c>
      <c r="BH503">
        <v>21.805178370954945</v>
      </c>
    </row>
    <row r="504" spans="3:60" x14ac:dyDescent="0.2">
      <c r="C504" s="138">
        <v>34396.296402798835</v>
      </c>
      <c r="D504">
        <v>21.374918030088395</v>
      </c>
      <c r="E504" s="138">
        <v>36259.632029989669</v>
      </c>
      <c r="F504" s="138">
        <v>21.359161784971871</v>
      </c>
      <c r="G504" s="138">
        <v>-1863.3356271908342</v>
      </c>
      <c r="H504" s="138">
        <v>1.575624511652407E-2</v>
      </c>
      <c r="N504" s="138"/>
      <c r="O504" s="138"/>
      <c r="P504" s="138"/>
      <c r="R504">
        <v>255.82800490449887</v>
      </c>
      <c r="S504">
        <v>59.539937829891471</v>
      </c>
      <c r="T504">
        <v>224.2671496117828</v>
      </c>
      <c r="U504">
        <v>93.080157564996341</v>
      </c>
      <c r="X504">
        <v>0.85808875576653942</v>
      </c>
      <c r="Y504">
        <v>0.68319633047450579</v>
      </c>
      <c r="Z504">
        <v>0.65670403219490847</v>
      </c>
      <c r="AA504">
        <v>0.70837023251436015</v>
      </c>
      <c r="AB504">
        <v>0.63393466475601135</v>
      </c>
      <c r="AC504">
        <v>0.87863247799161448</v>
      </c>
      <c r="AD504">
        <v>0.59051064478864601</v>
      </c>
      <c r="AE504">
        <v>0.78721306076613651</v>
      </c>
      <c r="AH504">
        <v>6.4737915388505041E-2</v>
      </c>
      <c r="AI504">
        <v>0.15880735264247769</v>
      </c>
      <c r="AJ504">
        <v>2.2584137085930323E-2</v>
      </c>
      <c r="AK504">
        <v>0.22111915076255495</v>
      </c>
      <c r="AL504">
        <v>8.6321201063918718E-2</v>
      </c>
      <c r="AM504">
        <v>9.1349963033183545E-2</v>
      </c>
      <c r="AN504">
        <v>9.3517790053202154E-2</v>
      </c>
      <c r="AO504">
        <v>0.15241632791981241</v>
      </c>
      <c r="AR504">
        <v>9.5126496671593674E-4</v>
      </c>
      <c r="AS504">
        <v>4.6608392826305023E-3</v>
      </c>
      <c r="AT504">
        <v>9.9365970639248791E-2</v>
      </c>
      <c r="AU504">
        <v>2.0057415596440586E-3</v>
      </c>
      <c r="AV504">
        <v>1.826075350371665E-3</v>
      </c>
      <c r="AW504">
        <v>3.4160795903420693E-3</v>
      </c>
      <c r="AX504">
        <v>3.9129376632943564E-4</v>
      </c>
      <c r="AY504">
        <v>4.0786609030736754E-4</v>
      </c>
      <c r="BB504">
        <v>4.6642628592660329E-2</v>
      </c>
      <c r="BC504">
        <v>3.8078057540861722E-2</v>
      </c>
      <c r="BE504">
        <v>34396.296402798835</v>
      </c>
      <c r="BF504">
        <v>21.374918030088395</v>
      </c>
      <c r="BG504">
        <v>36259.632029989669</v>
      </c>
      <c r="BH504">
        <v>21.359161784971871</v>
      </c>
    </row>
    <row r="505" spans="3:60" x14ac:dyDescent="0.2">
      <c r="C505" s="138">
        <v>32704.289762007513</v>
      </c>
      <c r="D505">
        <v>20.89476912904124</v>
      </c>
      <c r="E505" s="138">
        <v>35093.818213927669</v>
      </c>
      <c r="F505" s="138">
        <v>20.893539154746232</v>
      </c>
      <c r="G505" s="138">
        <v>-2389.5284519201559</v>
      </c>
      <c r="H505" s="138">
        <v>1.2299742950077075E-3</v>
      </c>
      <c r="N505" s="138"/>
      <c r="O505" s="138"/>
      <c r="P505" s="138"/>
      <c r="R505">
        <v>295.23912103718607</v>
      </c>
      <c r="S505">
        <v>63.423891433857229</v>
      </c>
      <c r="T505">
        <v>265.35359611966982</v>
      </c>
      <c r="U505">
        <v>100.15850752656326</v>
      </c>
      <c r="X505">
        <v>0.80696911340402389</v>
      </c>
      <c r="Y505">
        <v>0.82633342158605427</v>
      </c>
      <c r="Z505">
        <v>0.58505339257670252</v>
      </c>
      <c r="AA505">
        <v>0.77649175118808811</v>
      </c>
      <c r="AB505">
        <v>0.80139397871185292</v>
      </c>
      <c r="AC505">
        <v>0.89274604159509985</v>
      </c>
      <c r="AD505">
        <v>0.60282106213420827</v>
      </c>
      <c r="AE505">
        <v>0.70154557948964336</v>
      </c>
      <c r="AH505">
        <v>0.15045451809152555</v>
      </c>
      <c r="AI505">
        <v>8.5161199684305577E-2</v>
      </c>
      <c r="AJ505">
        <v>0.19226964931069734</v>
      </c>
      <c r="AK505">
        <v>0.15464611125719152</v>
      </c>
      <c r="AL505">
        <v>0.21451901914646987</v>
      </c>
      <c r="AM505">
        <v>6.8668842420893883E-2</v>
      </c>
      <c r="AN505">
        <v>0.14510753801440968</v>
      </c>
      <c r="AO505">
        <v>7.4617900878862775E-2</v>
      </c>
      <c r="AR505">
        <v>8.1034082093673103E-4</v>
      </c>
      <c r="AS505">
        <v>4.3113819425847841E-3</v>
      </c>
      <c r="AT505">
        <v>9.8906874633484979E-2</v>
      </c>
      <c r="AU505">
        <v>1.8661146845759537E-3</v>
      </c>
      <c r="AV505">
        <v>2.0112147599770092E-3</v>
      </c>
      <c r="AW505">
        <v>3.3468448503555588E-3</v>
      </c>
      <c r="AX505">
        <v>5.8730551785146634E-4</v>
      </c>
      <c r="AY505">
        <v>4.1920066492602992E-4</v>
      </c>
      <c r="BB505">
        <v>5.4412079139494418E-2</v>
      </c>
      <c r="BC505">
        <v>3.3873234940720282E-2</v>
      </c>
      <c r="BE505">
        <v>32704.289762007513</v>
      </c>
      <c r="BF505">
        <v>20.89476912904124</v>
      </c>
      <c r="BG505">
        <v>35093.818213927669</v>
      </c>
      <c r="BH505">
        <v>20.893539154746232</v>
      </c>
    </row>
    <row r="506" spans="3:60" x14ac:dyDescent="0.2">
      <c r="C506" s="138">
        <v>29239.376311376036</v>
      </c>
      <c r="D506">
        <v>20.797718901859664</v>
      </c>
      <c r="E506" s="138">
        <v>31016.517136644066</v>
      </c>
      <c r="F506" s="138">
        <v>20.759055146633671</v>
      </c>
      <c r="G506" s="138">
        <v>-1777.1408252680303</v>
      </c>
      <c r="H506" s="138">
        <v>3.8663755225993413E-2</v>
      </c>
      <c r="N506" s="138"/>
      <c r="O506" s="138"/>
      <c r="P506" s="138"/>
      <c r="R506">
        <v>245.25446004146755</v>
      </c>
      <c r="S506">
        <v>66.103095542332241</v>
      </c>
      <c r="T506">
        <v>244.24022220038256</v>
      </c>
      <c r="U506">
        <v>94.16188571428556</v>
      </c>
      <c r="X506">
        <v>0.85741925307756695</v>
      </c>
      <c r="Y506">
        <v>0.72971573272515855</v>
      </c>
      <c r="Z506">
        <v>0.80628027387295831</v>
      </c>
      <c r="AA506">
        <v>0.66845862779923781</v>
      </c>
      <c r="AB506">
        <v>0.72563603847512115</v>
      </c>
      <c r="AC506">
        <v>0.93798627045674299</v>
      </c>
      <c r="AD506">
        <v>0.81608551180224653</v>
      </c>
      <c r="AE506">
        <v>0.71425252732784339</v>
      </c>
      <c r="AH506">
        <v>0.1596400352070626</v>
      </c>
      <c r="AI506">
        <v>0.10171514296159689</v>
      </c>
      <c r="AJ506">
        <v>0.27628862818772892</v>
      </c>
      <c r="AK506">
        <v>0.23264578357715726</v>
      </c>
      <c r="AL506">
        <v>4.4146923006263217E-2</v>
      </c>
      <c r="AM506">
        <v>0.1286802582753741</v>
      </c>
      <c r="AN506">
        <v>0.16081063904228443</v>
      </c>
      <c r="AO506">
        <v>0.12226193090565451</v>
      </c>
      <c r="AR506">
        <v>8.0014286203245052E-4</v>
      </c>
      <c r="AS506">
        <v>4.5608879556030546E-3</v>
      </c>
      <c r="AT506">
        <v>0.10042998020140104</v>
      </c>
      <c r="AU506">
        <v>1.9172332994524251E-3</v>
      </c>
      <c r="AV506">
        <v>1.9640808792389811E-3</v>
      </c>
      <c r="AW506">
        <v>3.4131286177612186E-3</v>
      </c>
      <c r="AX506">
        <v>3.8154140084326564E-4</v>
      </c>
      <c r="AY506">
        <v>3.9309355864364443E-4</v>
      </c>
      <c r="BB506">
        <v>5.3974650103291943E-2</v>
      </c>
      <c r="BC506">
        <v>5.2770943195037723E-2</v>
      </c>
      <c r="BE506">
        <v>29239.376311376036</v>
      </c>
      <c r="BF506">
        <v>20.797718901859664</v>
      </c>
      <c r="BG506">
        <v>31016.517136644066</v>
      </c>
      <c r="BH506">
        <v>20.759055146633671</v>
      </c>
    </row>
    <row r="507" spans="3:60" x14ac:dyDescent="0.2">
      <c r="C507" s="138">
        <v>30995.551422167147</v>
      </c>
      <c r="D507">
        <v>21.525604499833197</v>
      </c>
      <c r="E507" s="138">
        <v>33019.536463385164</v>
      </c>
      <c r="F507" s="138">
        <v>21.521355743932048</v>
      </c>
      <c r="G507" s="138">
        <v>-2023.9850412180167</v>
      </c>
      <c r="H507" s="138">
        <v>4.2487559011483711E-3</v>
      </c>
      <c r="N507" s="138"/>
      <c r="O507" s="138"/>
      <c r="P507" s="138"/>
      <c r="R507">
        <v>348.19646612464936</v>
      </c>
      <c r="S507">
        <v>62.408082830424362</v>
      </c>
      <c r="T507">
        <v>275.39173305748614</v>
      </c>
      <c r="U507">
        <v>104.01890676157515</v>
      </c>
      <c r="X507">
        <v>0.63942173597713525</v>
      </c>
      <c r="Y507">
        <v>0.62472137189112442</v>
      </c>
      <c r="Z507">
        <v>0.44296054965522019</v>
      </c>
      <c r="AA507">
        <v>0.74352366670470071</v>
      </c>
      <c r="AB507">
        <v>0.6851228028507097</v>
      </c>
      <c r="AC507">
        <v>0.71834198322489373</v>
      </c>
      <c r="AD507">
        <v>0.71133175455683939</v>
      </c>
      <c r="AE507">
        <v>0.61613078695990919</v>
      </c>
      <c r="AH507">
        <v>8.7977777668998947E-2</v>
      </c>
      <c r="AI507">
        <v>0.16691407474092379</v>
      </c>
      <c r="AJ507">
        <v>2.8023355913768588E-2</v>
      </c>
      <c r="AK507">
        <v>1.6355050465753695E-2</v>
      </c>
      <c r="AL507">
        <v>0.33944875824671794</v>
      </c>
      <c r="AM507">
        <v>0.18120631103975027</v>
      </c>
      <c r="AN507">
        <v>5.1046816720271337E-2</v>
      </c>
      <c r="AO507">
        <v>0.14550984216598617</v>
      </c>
      <c r="AR507">
        <v>1.1491295800144519E-3</v>
      </c>
      <c r="AS507">
        <v>4.8734010687804252E-3</v>
      </c>
      <c r="AT507">
        <v>9.8958127625368875E-2</v>
      </c>
      <c r="AU507">
        <v>2.0016078928931647E-3</v>
      </c>
      <c r="AV507">
        <v>2.0353734517192246E-3</v>
      </c>
      <c r="AW507">
        <v>3.3868486160008471E-3</v>
      </c>
      <c r="AX507">
        <v>3.6921133785419307E-4</v>
      </c>
      <c r="AY507">
        <v>3.7401609424618341E-4</v>
      </c>
      <c r="BB507">
        <v>4.4016615108426284E-2</v>
      </c>
      <c r="BC507">
        <v>3.1392007989525211E-2</v>
      </c>
      <c r="BE507">
        <v>30995.551422167147</v>
      </c>
      <c r="BF507">
        <v>21.525604499833197</v>
      </c>
      <c r="BG507">
        <v>33019.536463385164</v>
      </c>
      <c r="BH507">
        <v>21.521355743932048</v>
      </c>
    </row>
    <row r="508" spans="3:60" x14ac:dyDescent="0.2">
      <c r="C508" s="138">
        <v>28982.524249496411</v>
      </c>
      <c r="D508">
        <v>20.98006704986653</v>
      </c>
      <c r="E508" s="138">
        <v>30616.735829586618</v>
      </c>
      <c r="F508" s="138">
        <v>20.951983038429262</v>
      </c>
      <c r="G508" s="138">
        <v>-1634.2115800902066</v>
      </c>
      <c r="H508" s="138">
        <v>2.8084011437268686E-2</v>
      </c>
      <c r="N508" s="138"/>
      <c r="O508" s="138"/>
      <c r="P508" s="138"/>
      <c r="R508">
        <v>416.2207841224008</v>
      </c>
      <c r="S508">
        <v>75.687865945065624</v>
      </c>
      <c r="T508">
        <v>270.54964872027887</v>
      </c>
      <c r="U508">
        <v>87.959751299778333</v>
      </c>
      <c r="X508">
        <v>0.8498878987655849</v>
      </c>
      <c r="Y508">
        <v>0.52088034934167382</v>
      </c>
      <c r="Z508">
        <v>0.72487543176014135</v>
      </c>
      <c r="AA508">
        <v>0.63689938795778556</v>
      </c>
      <c r="AB508">
        <v>0.87765380202772603</v>
      </c>
      <c r="AC508">
        <v>0.83227957044817436</v>
      </c>
      <c r="AD508">
        <v>0.70450611589411072</v>
      </c>
      <c r="AE508">
        <v>0.82054381744800353</v>
      </c>
      <c r="AH508">
        <v>0.16834363241128403</v>
      </c>
      <c r="AI508">
        <v>3.6883662553978125E-2</v>
      </c>
      <c r="AJ508">
        <v>0.22205339450301453</v>
      </c>
      <c r="AK508">
        <v>6.7198878438291754E-2</v>
      </c>
      <c r="AL508">
        <v>0.11124945822701282</v>
      </c>
      <c r="AM508">
        <v>2.4921210466082644E-2</v>
      </c>
      <c r="AN508">
        <v>0.13371633219958434</v>
      </c>
      <c r="AO508">
        <v>8.9646852682273237E-2</v>
      </c>
      <c r="AR508">
        <v>9.0373478593941403E-4</v>
      </c>
      <c r="AS508">
        <v>4.6629839719922739E-3</v>
      </c>
      <c r="AT508">
        <v>9.7987527127757656E-2</v>
      </c>
      <c r="AU508">
        <v>2.0394351902274233E-3</v>
      </c>
      <c r="AV508">
        <v>2.01286838979986E-3</v>
      </c>
      <c r="AW508">
        <v>3.417740708776873E-3</v>
      </c>
      <c r="AX508">
        <v>2.9735583506829377E-4</v>
      </c>
      <c r="AY508">
        <v>4.1899654823757089E-4</v>
      </c>
      <c r="BB508">
        <v>5.143040624503592E-2</v>
      </c>
      <c r="BC508">
        <v>8.0080315520230094E-2</v>
      </c>
      <c r="BE508">
        <v>28982.524249496411</v>
      </c>
      <c r="BF508">
        <v>20.98006704986653</v>
      </c>
      <c r="BG508">
        <v>30616.735829586618</v>
      </c>
      <c r="BH508">
        <v>20.951983038429262</v>
      </c>
    </row>
    <row r="509" spans="3:60" x14ac:dyDescent="0.2">
      <c r="C509" s="138">
        <v>34208.610242298389</v>
      </c>
      <c r="D509">
        <v>21.526130177219422</v>
      </c>
      <c r="E509" s="138">
        <v>36850.685048766078</v>
      </c>
      <c r="F509" s="138">
        <v>21.520542343675768</v>
      </c>
      <c r="G509" s="138">
        <v>-2642.0748064676882</v>
      </c>
      <c r="H509" s="138">
        <v>5.5878335436538862E-3</v>
      </c>
      <c r="N509" s="138"/>
      <c r="O509" s="138"/>
      <c r="P509" s="138"/>
      <c r="R509">
        <v>197.62446788339935</v>
      </c>
      <c r="S509">
        <v>69.133306724305726</v>
      </c>
      <c r="T509">
        <v>246.83644644201124</v>
      </c>
      <c r="U509">
        <v>97.115485015915951</v>
      </c>
      <c r="X509">
        <v>0.70236373690557896</v>
      </c>
      <c r="Y509">
        <v>0.53246926673225337</v>
      </c>
      <c r="Z509">
        <v>0.81042378253804892</v>
      </c>
      <c r="AA509">
        <v>0.9139732416680969</v>
      </c>
      <c r="AB509">
        <v>0.92283783552980492</v>
      </c>
      <c r="AC509">
        <v>0.67665238650237614</v>
      </c>
      <c r="AD509">
        <v>0.72510594041533671</v>
      </c>
      <c r="AE509">
        <v>0.60739578322789645</v>
      </c>
      <c r="AH509">
        <v>0.10297333031435474</v>
      </c>
      <c r="AI509">
        <v>0.15994967823108452</v>
      </c>
      <c r="AJ509">
        <v>0.10306409038778785</v>
      </c>
      <c r="AK509">
        <v>3.1359716681765848E-2</v>
      </c>
      <c r="AL509">
        <v>1.1752542457005744E-2</v>
      </c>
      <c r="AM509">
        <v>5.2290860507580139E-2</v>
      </c>
      <c r="AN509">
        <v>7.5509686759091199E-2</v>
      </c>
      <c r="AO509">
        <v>0.11801851566443211</v>
      </c>
      <c r="AR509">
        <v>1.0054865509647737E-3</v>
      </c>
      <c r="AS509">
        <v>4.9097981767749488E-3</v>
      </c>
      <c r="AT509">
        <v>9.9780521185294374E-2</v>
      </c>
      <c r="AU509">
        <v>2.0868786173434684E-3</v>
      </c>
      <c r="AV509">
        <v>2.0220298690657446E-3</v>
      </c>
      <c r="AW509">
        <v>3.6483635259025871E-3</v>
      </c>
      <c r="AX509">
        <v>4.9050765180336242E-4</v>
      </c>
      <c r="AY509">
        <v>3.4382548388376674E-4</v>
      </c>
      <c r="BB509">
        <v>5.1168692665926607E-2</v>
      </c>
      <c r="BC509">
        <v>5.5220059984006364E-2</v>
      </c>
      <c r="BE509">
        <v>34208.610242298389</v>
      </c>
      <c r="BF509">
        <v>21.526130177219422</v>
      </c>
      <c r="BG509">
        <v>36850.685048766078</v>
      </c>
      <c r="BH509">
        <v>21.520542343675768</v>
      </c>
    </row>
    <row r="510" spans="3:60" x14ac:dyDescent="0.2">
      <c r="C510" s="138">
        <v>37810.189098276605</v>
      </c>
      <c r="D510">
        <v>21.372703473658834</v>
      </c>
      <c r="E510" s="138">
        <v>40215.154949884862</v>
      </c>
      <c r="F510" s="138">
        <v>21.362777509038146</v>
      </c>
      <c r="G510" s="138">
        <v>-2404.9658516082563</v>
      </c>
      <c r="H510" s="138">
        <v>9.9259646206881769E-3</v>
      </c>
      <c r="N510" s="138"/>
      <c r="O510" s="138"/>
      <c r="P510" s="138"/>
      <c r="R510">
        <v>246.39401193999484</v>
      </c>
      <c r="S510">
        <v>58.765226074966485</v>
      </c>
      <c r="T510">
        <v>255.25583860041777</v>
      </c>
      <c r="U510">
        <v>82.137314219751801</v>
      </c>
      <c r="X510">
        <v>0.90809321669099952</v>
      </c>
      <c r="Y510">
        <v>0.70114733169735388</v>
      </c>
      <c r="Z510">
        <v>0.75655589793639533</v>
      </c>
      <c r="AA510">
        <v>0.9364650022831964</v>
      </c>
      <c r="AB510">
        <v>0.8889006174946138</v>
      </c>
      <c r="AC510">
        <v>0.77040611868434139</v>
      </c>
      <c r="AD510">
        <v>0.54357282822103614</v>
      </c>
      <c r="AE510">
        <v>0.85152104914774462</v>
      </c>
      <c r="AH510">
        <v>9.2518214858771652E-2</v>
      </c>
      <c r="AI510">
        <v>0.16735060998412687</v>
      </c>
      <c r="AJ510">
        <v>6.3882450966537996E-2</v>
      </c>
      <c r="AK510">
        <v>0.2829938554097291</v>
      </c>
      <c r="AL510">
        <v>0.12315367319035964</v>
      </c>
      <c r="AM510">
        <v>0.25743356265137673</v>
      </c>
      <c r="AN510">
        <v>4.0584222383634128E-2</v>
      </c>
      <c r="AO510">
        <v>6.4764506243005004E-2</v>
      </c>
      <c r="AR510">
        <v>1.0860604983011779E-3</v>
      </c>
      <c r="AS510">
        <v>4.4435538736355149E-3</v>
      </c>
      <c r="AT510">
        <v>9.982029521322465E-2</v>
      </c>
      <c r="AU510">
        <v>2.1288729529613803E-3</v>
      </c>
      <c r="AV510">
        <v>1.9962592544331714E-3</v>
      </c>
      <c r="AW510">
        <v>3.1160676586815925E-3</v>
      </c>
      <c r="AX510">
        <v>3.9761294977957995E-4</v>
      </c>
      <c r="AY510">
        <v>4.1042118787798515E-4</v>
      </c>
      <c r="BB510">
        <v>4.7860401120620157E-2</v>
      </c>
      <c r="BC510">
        <v>2.7551883483926235E-2</v>
      </c>
      <c r="BE510">
        <v>37810.189098276605</v>
      </c>
      <c r="BF510">
        <v>21.372703473658834</v>
      </c>
      <c r="BG510">
        <v>40215.154949884862</v>
      </c>
      <c r="BH510">
        <v>21.362777509038146</v>
      </c>
    </row>
    <row r="511" spans="3:60" x14ac:dyDescent="0.2">
      <c r="C511" s="138">
        <v>29158.955876280674</v>
      </c>
      <c r="D511">
        <v>21.28027290865943</v>
      </c>
      <c r="E511" s="138">
        <v>31355.273249056972</v>
      </c>
      <c r="F511" s="138">
        <v>21.243686793817293</v>
      </c>
      <c r="G511" s="138">
        <v>-2196.3173727762987</v>
      </c>
      <c r="H511" s="138">
        <v>3.6586114842137363E-2</v>
      </c>
      <c r="N511" s="138"/>
      <c r="O511" s="138"/>
      <c r="P511" s="138"/>
      <c r="R511">
        <v>55.126119252267046</v>
      </c>
      <c r="S511">
        <v>59.707227865570772</v>
      </c>
      <c r="T511">
        <v>226.25156657987463</v>
      </c>
      <c r="U511">
        <v>98.309575105110483</v>
      </c>
      <c r="X511">
        <v>0.71687753366082874</v>
      </c>
      <c r="Y511">
        <v>0.59751561668295061</v>
      </c>
      <c r="Z511">
        <v>0.56091501302060887</v>
      </c>
      <c r="AA511">
        <v>0.64247990538305322</v>
      </c>
      <c r="AB511">
        <v>0.83589113247544566</v>
      </c>
      <c r="AC511">
        <v>0.73149298809638652</v>
      </c>
      <c r="AD511">
        <v>0.90410759733779855</v>
      </c>
      <c r="AE511">
        <v>0.77253596226250676</v>
      </c>
      <c r="AH511">
        <v>7.4849424589748637E-2</v>
      </c>
      <c r="AI511">
        <v>0.12190599744532682</v>
      </c>
      <c r="AJ511">
        <v>0.19889052013826003</v>
      </c>
      <c r="AK511">
        <v>8.8770195758977932E-2</v>
      </c>
      <c r="AL511">
        <v>9.4801195681816997E-2</v>
      </c>
      <c r="AM511">
        <v>6.6758462754290537E-2</v>
      </c>
      <c r="AN511">
        <v>0.16213512028497534</v>
      </c>
      <c r="AO511">
        <v>0.13198369495268059</v>
      </c>
      <c r="AR511">
        <v>8.92221853140307E-4</v>
      </c>
      <c r="AS511">
        <v>4.6238250464946118E-3</v>
      </c>
      <c r="AT511">
        <v>0.10039830232983593</v>
      </c>
      <c r="AU511">
        <v>2.0413540667857388E-3</v>
      </c>
      <c r="AV511">
        <v>2.0467078623320756E-3</v>
      </c>
      <c r="AW511">
        <v>3.6484344860593376E-3</v>
      </c>
      <c r="AX511">
        <v>4.3116012824451211E-4</v>
      </c>
      <c r="AY511">
        <v>3.7237835746127665E-4</v>
      </c>
      <c r="BB511">
        <v>4.4625532454812981E-2</v>
      </c>
      <c r="BC511">
        <v>2.9246442173329855E-2</v>
      </c>
      <c r="BE511">
        <v>29158.955876280674</v>
      </c>
      <c r="BF511">
        <v>21.28027290865943</v>
      </c>
      <c r="BG511">
        <v>31355.273249056972</v>
      </c>
      <c r="BH511">
        <v>21.243686793817293</v>
      </c>
    </row>
    <row r="512" spans="3:60" x14ac:dyDescent="0.2">
      <c r="C512" s="138">
        <v>27091.648953561198</v>
      </c>
      <c r="D512">
        <v>21.411509843858408</v>
      </c>
      <c r="E512" s="138">
        <v>29116.049386864273</v>
      </c>
      <c r="F512" s="138">
        <v>21.434039662947594</v>
      </c>
      <c r="G512" s="138">
        <v>-2024.4004333030753</v>
      </c>
      <c r="H512" s="138">
        <v>-2.2529819089186276E-2</v>
      </c>
      <c r="N512" s="138"/>
      <c r="O512" s="138"/>
      <c r="P512" s="138"/>
      <c r="R512">
        <v>285.57947672881858</v>
      </c>
      <c r="S512">
        <v>63.43921070840701</v>
      </c>
      <c r="T512">
        <v>257.21969743606894</v>
      </c>
      <c r="U512">
        <v>90.696340448430291</v>
      </c>
      <c r="X512">
        <v>0.3380547844992724</v>
      </c>
      <c r="Y512">
        <v>0.63688927304382048</v>
      </c>
      <c r="Z512">
        <v>0.78957901749296711</v>
      </c>
      <c r="AA512">
        <v>0.86825438287128798</v>
      </c>
      <c r="AB512">
        <v>0.80423036168486539</v>
      </c>
      <c r="AC512">
        <v>0.87879217925718911</v>
      </c>
      <c r="AD512">
        <v>0.92187440320276703</v>
      </c>
      <c r="AE512">
        <v>0.75592484784301572</v>
      </c>
      <c r="AH512">
        <v>8.8409932320667739E-2</v>
      </c>
      <c r="AI512">
        <v>0.15109293373268884</v>
      </c>
      <c r="AJ512">
        <v>0.18884062543091074</v>
      </c>
      <c r="AK512">
        <v>0.16514209787995537</v>
      </c>
      <c r="AL512">
        <v>2.9932773886242492E-2</v>
      </c>
      <c r="AM512">
        <v>0.10021158298267374</v>
      </c>
      <c r="AN512">
        <v>0.23904201928879354</v>
      </c>
      <c r="AO512">
        <v>0.24726851430895658</v>
      </c>
      <c r="AR512">
        <v>8.1797562393012651E-4</v>
      </c>
      <c r="AS512">
        <v>4.5746241108621799E-3</v>
      </c>
      <c r="AT512">
        <v>0.10093604796522548</v>
      </c>
      <c r="AU512">
        <v>2.171351005346156E-3</v>
      </c>
      <c r="AV512">
        <v>2.0727181805568762E-3</v>
      </c>
      <c r="AW512">
        <v>3.6590424875134753E-3</v>
      </c>
      <c r="AX512">
        <v>3.9291279191594984E-4</v>
      </c>
      <c r="AY512">
        <v>5.4443598358222545E-4</v>
      </c>
      <c r="BB512">
        <v>4.696292034950332E-2</v>
      </c>
      <c r="BC512">
        <v>2.1051974518615901E-2</v>
      </c>
      <c r="BE512">
        <v>27091.648953561198</v>
      </c>
      <c r="BF512">
        <v>21.411509843858408</v>
      </c>
      <c r="BG512">
        <v>29116.049386864273</v>
      </c>
      <c r="BH512">
        <v>21.434039662947594</v>
      </c>
    </row>
    <row r="513" spans="3:60" x14ac:dyDescent="0.2">
      <c r="C513" s="138">
        <v>33686.716931000788</v>
      </c>
      <c r="D513">
        <v>21.184333843947424</v>
      </c>
      <c r="E513" s="138">
        <v>35585.031952223209</v>
      </c>
      <c r="F513" s="138">
        <v>21.175334576589822</v>
      </c>
      <c r="G513" s="138">
        <v>-1898.3150212224209</v>
      </c>
      <c r="H513" s="138">
        <v>8.9992673576020366E-3</v>
      </c>
      <c r="N513" s="138"/>
      <c r="O513" s="138"/>
      <c r="P513" s="138"/>
      <c r="R513">
        <v>235.36778840015413</v>
      </c>
      <c r="S513">
        <v>52.049546972215666</v>
      </c>
      <c r="T513">
        <v>273.3355519667669</v>
      </c>
      <c r="U513">
        <v>99.680755296631645</v>
      </c>
      <c r="X513">
        <v>0.89393957643536015</v>
      </c>
      <c r="Y513">
        <v>0.60966769540556176</v>
      </c>
      <c r="Z513">
        <v>0.90163921313538364</v>
      </c>
      <c r="AA513">
        <v>0.81748355598550448</v>
      </c>
      <c r="AB513">
        <v>0.83968762596083002</v>
      </c>
      <c r="AC513">
        <v>0.61543686046668822</v>
      </c>
      <c r="AD513">
        <v>0.63605789136104263</v>
      </c>
      <c r="AE513">
        <v>0.7162329898482539</v>
      </c>
      <c r="AH513">
        <v>0.11945826890241618</v>
      </c>
      <c r="AI513">
        <v>4.0025025559869087E-2</v>
      </c>
      <c r="AJ513">
        <v>8.2652420627440493E-2</v>
      </c>
      <c r="AK513">
        <v>0.19825326560657097</v>
      </c>
      <c r="AL513">
        <v>3.8815066663164477E-2</v>
      </c>
      <c r="AM513">
        <v>0.2450484995739669</v>
      </c>
      <c r="AN513">
        <v>0.13931871855335287</v>
      </c>
      <c r="AO513">
        <v>4.1552968675287349E-2</v>
      </c>
      <c r="AR513">
        <v>9.5638534650610563E-4</v>
      </c>
      <c r="AS513">
        <v>4.6233436138773953E-3</v>
      </c>
      <c r="AT513">
        <v>9.8915409466816109E-2</v>
      </c>
      <c r="AU513">
        <v>1.8394055704902745E-3</v>
      </c>
      <c r="AV513">
        <v>1.9525388479777704E-3</v>
      </c>
      <c r="AW513">
        <v>3.2618556979232315E-3</v>
      </c>
      <c r="AX513">
        <v>3.8361711271202065E-4</v>
      </c>
      <c r="AY513">
        <v>4.1474945365819186E-4</v>
      </c>
      <c r="BB513">
        <v>5.2301277716150119E-2</v>
      </c>
      <c r="BC513">
        <v>3.400521991437995E-2</v>
      </c>
      <c r="BE513">
        <v>33686.716931000788</v>
      </c>
      <c r="BF513">
        <v>21.184333843947424</v>
      </c>
      <c r="BG513">
        <v>35585.031952223209</v>
      </c>
      <c r="BH513">
        <v>21.175334576589822</v>
      </c>
    </row>
    <row r="514" spans="3:60" x14ac:dyDescent="0.2">
      <c r="C514" s="138">
        <v>35368.184633545628</v>
      </c>
      <c r="D514">
        <v>21.171294801366489</v>
      </c>
      <c r="E514" s="138">
        <v>37664.564405593694</v>
      </c>
      <c r="F514" s="138">
        <v>21.168854923618856</v>
      </c>
      <c r="G514" s="138">
        <v>-2296.3797720480652</v>
      </c>
      <c r="H514" s="138">
        <v>2.4398777476335454E-3</v>
      </c>
      <c r="N514" s="138"/>
      <c r="O514" s="138"/>
      <c r="P514" s="138"/>
      <c r="R514">
        <v>330.76968585789319</v>
      </c>
      <c r="S514">
        <v>75.214484357991012</v>
      </c>
      <c r="T514">
        <v>226.33497812109817</v>
      </c>
      <c r="U514">
        <v>93.522830084471195</v>
      </c>
      <c r="X514">
        <v>0.79394976169378406</v>
      </c>
      <c r="Y514">
        <v>0.96223855657550472</v>
      </c>
      <c r="Z514">
        <v>0.7598487002733274</v>
      </c>
      <c r="AA514">
        <v>0.93264369556400939</v>
      </c>
      <c r="AB514">
        <v>0.93405426331878205</v>
      </c>
      <c r="AC514">
        <v>0.5075939469421884</v>
      </c>
      <c r="AD514">
        <v>0.52915073548078462</v>
      </c>
      <c r="AE514">
        <v>0.96048736675753865</v>
      </c>
      <c r="AH514">
        <v>8.5209138248697358E-2</v>
      </c>
      <c r="AI514">
        <v>0.10525471802114361</v>
      </c>
      <c r="AJ514">
        <v>4.0426864978243326E-2</v>
      </c>
      <c r="AK514">
        <v>0.256716361319832</v>
      </c>
      <c r="AL514">
        <v>0.14460876160686298</v>
      </c>
      <c r="AM514">
        <v>0.1673456121325011</v>
      </c>
      <c r="AN514">
        <v>9.9010547267199378E-2</v>
      </c>
      <c r="AO514">
        <v>0.10856097536974407</v>
      </c>
      <c r="AR514">
        <v>9.56766275263643E-4</v>
      </c>
      <c r="AS514">
        <v>4.8292063024365506E-3</v>
      </c>
      <c r="AT514">
        <v>0.1002453026445701</v>
      </c>
      <c r="AU514">
        <v>1.7982904798933682E-3</v>
      </c>
      <c r="AV514">
        <v>2.0483860110559471E-3</v>
      </c>
      <c r="AW514">
        <v>3.1875880274545611E-3</v>
      </c>
      <c r="AX514">
        <v>3.7096551773278336E-4</v>
      </c>
      <c r="AY514">
        <v>4.9936778621251232E-4</v>
      </c>
      <c r="BB514">
        <v>5.8766823992374762E-2</v>
      </c>
      <c r="BC514">
        <v>8.0109619298581181E-2</v>
      </c>
      <c r="BE514">
        <v>35368.184633545628</v>
      </c>
      <c r="BF514">
        <v>21.171294801366489</v>
      </c>
      <c r="BG514">
        <v>37664.564405593694</v>
      </c>
      <c r="BH514">
        <v>21.168854923618856</v>
      </c>
    </row>
    <row r="515" spans="3:60" x14ac:dyDescent="0.2">
      <c r="C515" s="138">
        <v>31707.462521254813</v>
      </c>
      <c r="D515">
        <v>20.941784383888244</v>
      </c>
      <c r="E515" s="138">
        <v>33368.448727036826</v>
      </c>
      <c r="F515" s="138">
        <v>20.905221176126709</v>
      </c>
      <c r="G515" s="138">
        <v>-1660.9862057820137</v>
      </c>
      <c r="H515" s="138">
        <v>3.656320776153521E-2</v>
      </c>
      <c r="N515" s="138"/>
      <c r="O515" s="138"/>
      <c r="P515" s="138"/>
      <c r="R515">
        <v>316.85590688548541</v>
      </c>
      <c r="S515">
        <v>58.761359959946247</v>
      </c>
      <c r="T515">
        <v>285.63491966316849</v>
      </c>
      <c r="U515">
        <v>105.04247954598804</v>
      </c>
      <c r="X515">
        <v>0.94073803237131215</v>
      </c>
      <c r="Y515">
        <v>0.93438583941650433</v>
      </c>
      <c r="Z515">
        <v>0.83316600201624891</v>
      </c>
      <c r="AA515">
        <v>0.58452860629610215</v>
      </c>
      <c r="AB515">
        <v>0.78275977595677904</v>
      </c>
      <c r="AC515">
        <v>0.81732594701618688</v>
      </c>
      <c r="AD515">
        <v>0.70025658702092808</v>
      </c>
      <c r="AE515">
        <v>0.71299297214130886</v>
      </c>
      <c r="AH515">
        <v>9.5045285762283438E-2</v>
      </c>
      <c r="AI515">
        <v>0.13776536002620776</v>
      </c>
      <c r="AJ515">
        <v>8.44496282287025E-2</v>
      </c>
      <c r="AK515">
        <v>0.30207091463327962</v>
      </c>
      <c r="AL515">
        <v>7.8336579780517224E-2</v>
      </c>
      <c r="AM515">
        <v>1.0089857762310528E-2</v>
      </c>
      <c r="AN515">
        <v>0.10399306373978146</v>
      </c>
      <c r="AO515">
        <v>8.9954237725838104E-2</v>
      </c>
      <c r="AR515">
        <v>9.5028931837015662E-4</v>
      </c>
      <c r="AS515">
        <v>4.7663540138237481E-3</v>
      </c>
      <c r="AT515">
        <v>9.8517605993558091E-2</v>
      </c>
      <c r="AU515">
        <v>1.9111641661431296E-3</v>
      </c>
      <c r="AV515">
        <v>2.2188872120515457E-3</v>
      </c>
      <c r="AW515">
        <v>3.4877864847262519E-3</v>
      </c>
      <c r="AX515">
        <v>3.3805109341992004E-4</v>
      </c>
      <c r="AY515">
        <v>3.5293109448145403E-4</v>
      </c>
      <c r="BB515">
        <v>4.5864952267591547E-2</v>
      </c>
      <c r="BC515">
        <v>1.8027436599027519E-2</v>
      </c>
      <c r="BE515">
        <v>31707.462521254813</v>
      </c>
      <c r="BF515">
        <v>20.941784383888244</v>
      </c>
      <c r="BG515">
        <v>33368.448727036826</v>
      </c>
      <c r="BH515">
        <v>20.905221176126709</v>
      </c>
    </row>
    <row r="516" spans="3:60" x14ac:dyDescent="0.2">
      <c r="C516" s="138">
        <v>28311.760357034655</v>
      </c>
      <c r="D516">
        <v>21.703962857657437</v>
      </c>
      <c r="E516" s="138">
        <v>30153.240411308245</v>
      </c>
      <c r="F516" s="138">
        <v>21.703085848755961</v>
      </c>
      <c r="G516" s="138">
        <v>-1841.4800542735902</v>
      </c>
      <c r="H516" s="138">
        <v>8.770089014760174E-4</v>
      </c>
      <c r="N516" s="138"/>
      <c r="O516" s="138"/>
      <c r="P516" s="138"/>
      <c r="R516">
        <v>251.73707983680239</v>
      </c>
      <c r="S516">
        <v>51.450281531572777</v>
      </c>
      <c r="T516">
        <v>307.09428161646707</v>
      </c>
      <c r="U516">
        <v>101.86544961399812</v>
      </c>
      <c r="X516">
        <v>0.73313364776215284</v>
      </c>
      <c r="Y516">
        <v>0.62511428768266297</v>
      </c>
      <c r="Z516">
        <v>0.93267511647964041</v>
      </c>
      <c r="AA516">
        <v>0.85199781316834866</v>
      </c>
      <c r="AB516">
        <v>0.72172734845522735</v>
      </c>
      <c r="AC516">
        <v>0.61493039595542642</v>
      </c>
      <c r="AD516">
        <v>0.70764192278835336</v>
      </c>
      <c r="AE516">
        <v>0.76725923393829443</v>
      </c>
      <c r="AH516">
        <v>2.684049393328114E-2</v>
      </c>
      <c r="AI516">
        <v>5.3630405507951506E-2</v>
      </c>
      <c r="AJ516">
        <v>0.18819199987741364</v>
      </c>
      <c r="AK516">
        <v>9.8457762103640656E-2</v>
      </c>
      <c r="AL516">
        <v>0.17583293649227216</v>
      </c>
      <c r="AM516">
        <v>1.8265845418184767E-2</v>
      </c>
      <c r="AN516">
        <v>0.18049232166085838</v>
      </c>
      <c r="AO516">
        <v>2.6579241846085733E-2</v>
      </c>
      <c r="AR516">
        <v>1.036486201398068E-3</v>
      </c>
      <c r="AS516">
        <v>4.0443664301101166E-3</v>
      </c>
      <c r="AT516">
        <v>9.9597549995275633E-2</v>
      </c>
      <c r="AU516">
        <v>2.3065521564124003E-3</v>
      </c>
      <c r="AV516">
        <v>2.0010056073235249E-3</v>
      </c>
      <c r="AW516">
        <v>3.4064268496887262E-3</v>
      </c>
      <c r="AX516">
        <v>4.3309246980227645E-4</v>
      </c>
      <c r="AY516">
        <v>4.7259819871536823E-4</v>
      </c>
      <c r="BB516">
        <v>4.4896509657709686E-2</v>
      </c>
      <c r="BC516">
        <v>5.022222286218625E-2</v>
      </c>
      <c r="BE516">
        <v>28311.760357034655</v>
      </c>
      <c r="BF516">
        <v>21.703962857657437</v>
      </c>
      <c r="BG516">
        <v>30153.240411308245</v>
      </c>
      <c r="BH516">
        <v>21.703085848755961</v>
      </c>
    </row>
    <row r="517" spans="3:60" x14ac:dyDescent="0.2">
      <c r="C517" s="138">
        <v>26374.734370951712</v>
      </c>
      <c r="D517">
        <v>20.935320321887005</v>
      </c>
      <c r="E517" s="138">
        <v>28322.921617873282</v>
      </c>
      <c r="F517" s="138">
        <v>20.892747839654138</v>
      </c>
      <c r="G517" s="138">
        <v>-1948.1872469215705</v>
      </c>
      <c r="H517" s="138">
        <v>4.2572482232866804E-2</v>
      </c>
      <c r="N517" s="138"/>
      <c r="O517" s="138"/>
      <c r="P517" s="138"/>
      <c r="R517">
        <v>208.67807024942647</v>
      </c>
      <c r="S517">
        <v>57.794321538519775</v>
      </c>
      <c r="T517">
        <v>316.26315889207149</v>
      </c>
      <c r="U517">
        <v>84.852035820827865</v>
      </c>
      <c r="X517">
        <v>0.65748387570670164</v>
      </c>
      <c r="Y517">
        <v>0.76254047658077084</v>
      </c>
      <c r="Z517">
        <v>0.76664699910124656</v>
      </c>
      <c r="AA517">
        <v>0.87006929265053357</v>
      </c>
      <c r="AB517">
        <v>0.80299645366497818</v>
      </c>
      <c r="AC517">
        <v>0.63992327638189539</v>
      </c>
      <c r="AD517">
        <v>0.69960609666763507</v>
      </c>
      <c r="AE517">
        <v>0.60303660161574413</v>
      </c>
      <c r="AH517">
        <v>0.10085290066313957</v>
      </c>
      <c r="AI517">
        <v>0.23136298658414334</v>
      </c>
      <c r="AJ517">
        <v>0.14569921064416724</v>
      </c>
      <c r="AK517">
        <v>0.11058109077074474</v>
      </c>
      <c r="AL517">
        <v>0.11116895713217712</v>
      </c>
      <c r="AM517">
        <v>0.12156465252529214</v>
      </c>
      <c r="AN517">
        <v>0.35827909682577008</v>
      </c>
      <c r="AO517">
        <v>4.8174234808110672E-2</v>
      </c>
      <c r="AR517">
        <v>8.3943684697795873E-4</v>
      </c>
      <c r="AS517">
        <v>4.6294525168576461E-3</v>
      </c>
      <c r="AT517">
        <v>0.10176057407662586</v>
      </c>
      <c r="AU517">
        <v>2.1759065615725159E-3</v>
      </c>
      <c r="AV517">
        <v>1.9307249806100077E-3</v>
      </c>
      <c r="AW517">
        <v>3.6899393015608073E-3</v>
      </c>
      <c r="AX517">
        <v>4.2290843042724902E-4</v>
      </c>
      <c r="AY517">
        <v>4.4476381704575813E-4</v>
      </c>
      <c r="BB517">
        <v>4.8944076105366892E-2</v>
      </c>
      <c r="BC517">
        <v>2.2906057810114424E-2</v>
      </c>
      <c r="BE517">
        <v>26374.734370951712</v>
      </c>
      <c r="BF517">
        <v>20.935320321887005</v>
      </c>
      <c r="BG517">
        <v>28322.921617873282</v>
      </c>
      <c r="BH517">
        <v>20.892747839654138</v>
      </c>
    </row>
    <row r="518" spans="3:60" x14ac:dyDescent="0.2">
      <c r="C518" s="140">
        <v>30261.580432158269</v>
      </c>
      <c r="D518">
        <v>20.605700112474732</v>
      </c>
      <c r="E518" s="140">
        <v>32428.859839491241</v>
      </c>
      <c r="F518" s="140">
        <v>20.590796482741229</v>
      </c>
      <c r="G518" s="140">
        <v>-2167.2794073329715</v>
      </c>
      <c r="H518" s="140">
        <v>1.490362973350301E-2</v>
      </c>
      <c r="N518" s="138"/>
      <c r="O518" s="138"/>
      <c r="P518" s="138"/>
      <c r="R518">
        <v>300.68577642761977</v>
      </c>
      <c r="S518">
        <v>76.824358135538532</v>
      </c>
      <c r="T518">
        <v>238.51216054528084</v>
      </c>
      <c r="U518">
        <v>96.986852653606846</v>
      </c>
      <c r="X518">
        <v>0.77386831700106429</v>
      </c>
      <c r="Y518">
        <v>0.69026898410225757</v>
      </c>
      <c r="Z518">
        <v>0.65626631994608986</v>
      </c>
      <c r="AA518">
        <v>0.77901420201802285</v>
      </c>
      <c r="AB518">
        <v>0.80743345069955585</v>
      </c>
      <c r="AC518">
        <v>0.79199974690765162</v>
      </c>
      <c r="AD518">
        <v>0.6297384434707497</v>
      </c>
      <c r="AE518">
        <v>0.55123856969038909</v>
      </c>
      <c r="AH518">
        <v>0.19409992134234899</v>
      </c>
      <c r="AI518">
        <v>5.8349627671057558E-2</v>
      </c>
      <c r="AJ518">
        <v>8.7011905835571612E-2</v>
      </c>
      <c r="AK518">
        <v>0.25996016315106274</v>
      </c>
      <c r="AL518">
        <v>0.14704574797254144</v>
      </c>
      <c r="AM518">
        <v>3.6139771212078231E-2</v>
      </c>
      <c r="AN518">
        <v>9.7547358167700327E-2</v>
      </c>
      <c r="AO518">
        <v>6.4423506945960773E-2</v>
      </c>
      <c r="AR518">
        <v>9.1007182687519173E-4</v>
      </c>
      <c r="AS518">
        <v>4.5118214491668418E-3</v>
      </c>
      <c r="AT518">
        <v>9.9671940879162216E-2</v>
      </c>
      <c r="AU518">
        <v>2.1308419005303669E-3</v>
      </c>
      <c r="AV518">
        <v>2.0482619895579868E-3</v>
      </c>
      <c r="AW518">
        <v>3.1914579649371558E-3</v>
      </c>
      <c r="AX518">
        <v>3.2591654915136131E-4</v>
      </c>
      <c r="AY518">
        <v>4.3710944308458349E-4</v>
      </c>
      <c r="BB518">
        <v>5.0447670249995746E-2</v>
      </c>
      <c r="BC518">
        <v>5.4001011014677469E-2</v>
      </c>
      <c r="BE518">
        <v>30261.580432158269</v>
      </c>
      <c r="BF518">
        <v>20.605700112474732</v>
      </c>
      <c r="BG518">
        <v>32428.859839491241</v>
      </c>
      <c r="BH518">
        <v>20.590796482741229</v>
      </c>
    </row>
    <row r="519" spans="3:60" x14ac:dyDescent="0.2">
      <c r="C519" s="138">
        <v>34664.763044455372</v>
      </c>
      <c r="D519">
        <v>21.304354776435705</v>
      </c>
      <c r="E519" s="138">
        <v>36614.423013902902</v>
      </c>
      <c r="F519" s="138">
        <v>21.297327156271574</v>
      </c>
      <c r="G519" s="138">
        <v>-1949.6599694475299</v>
      </c>
      <c r="H519" s="138">
        <v>7.0276201641306102E-3</v>
      </c>
      <c r="N519" s="138"/>
      <c r="O519" s="138"/>
      <c r="P519" s="138"/>
      <c r="R519">
        <v>397.31979723625687</v>
      </c>
      <c r="S519">
        <v>75.325065141798206</v>
      </c>
      <c r="T519">
        <v>273.14801083492216</v>
      </c>
      <c r="U519">
        <v>71.161193965341326</v>
      </c>
      <c r="X519">
        <v>0.42764208957603361</v>
      </c>
      <c r="Y519">
        <v>0.7529009246234154</v>
      </c>
      <c r="Z519">
        <v>0.79410786107938613</v>
      </c>
      <c r="AA519">
        <v>0.76087185794004253</v>
      </c>
      <c r="AB519">
        <v>0.85462229003020407</v>
      </c>
      <c r="AC519">
        <v>0.93604246253714096</v>
      </c>
      <c r="AD519">
        <v>0.8177654214149761</v>
      </c>
      <c r="AE519">
        <v>0.88207523671908405</v>
      </c>
      <c r="AH519">
        <v>5.3837184510540759E-2</v>
      </c>
      <c r="AI519">
        <v>6.3431991516724961E-2</v>
      </c>
      <c r="AJ519">
        <v>3.6470414323492406E-2</v>
      </c>
      <c r="AK519">
        <v>0.22510402918211081</v>
      </c>
      <c r="AL519">
        <v>0.1479224279291429</v>
      </c>
      <c r="AM519">
        <v>7.0753073484558726E-2</v>
      </c>
      <c r="AN519">
        <v>5.5014828208231226E-2</v>
      </c>
      <c r="AO519">
        <v>0.13092620277674005</v>
      </c>
      <c r="AR519">
        <v>7.4027348889427029E-4</v>
      </c>
      <c r="AS519">
        <v>4.7610069503758456E-3</v>
      </c>
      <c r="AT519">
        <v>0.10093208726164971</v>
      </c>
      <c r="AU519">
        <v>1.9757947557657398E-3</v>
      </c>
      <c r="AV519">
        <v>2.1607260273558415E-3</v>
      </c>
      <c r="AW519">
        <v>3.6706714236210969E-3</v>
      </c>
      <c r="AX519">
        <v>3.6567886510881795E-4</v>
      </c>
      <c r="AY519">
        <v>5.448453625254146E-4</v>
      </c>
      <c r="BB519">
        <v>4.5402610824626981E-2</v>
      </c>
      <c r="BC519">
        <v>4.5643050821406211E-2</v>
      </c>
      <c r="BE519">
        <v>34664.763044455372</v>
      </c>
      <c r="BF519">
        <v>21.304354776435705</v>
      </c>
      <c r="BG519">
        <v>36614.423013902902</v>
      </c>
      <c r="BH519">
        <v>21.297327156271574</v>
      </c>
    </row>
    <row r="520" spans="3:60" x14ac:dyDescent="0.2">
      <c r="C520" s="138">
        <v>33507.141288138271</v>
      </c>
      <c r="D520">
        <v>21.547807918508877</v>
      </c>
      <c r="E520" s="138">
        <v>35827.610495203495</v>
      </c>
      <c r="F520" s="138">
        <v>21.550045305683263</v>
      </c>
      <c r="G520" s="138">
        <v>-2320.4692070652236</v>
      </c>
      <c r="H520" s="138">
        <v>-2.2373871743859297E-3</v>
      </c>
      <c r="N520" s="138"/>
      <c r="O520" s="138"/>
      <c r="P520" s="138"/>
      <c r="R520">
        <v>312.13489389872507</v>
      </c>
      <c r="S520">
        <v>66.960048301467239</v>
      </c>
      <c r="T520">
        <v>276.86735145697941</v>
      </c>
      <c r="U520">
        <v>105.62308963787537</v>
      </c>
      <c r="X520">
        <v>0.59369403859285319</v>
      </c>
      <c r="Y520">
        <v>0.92890460777450978</v>
      </c>
      <c r="Z520">
        <v>0.88774059204056188</v>
      </c>
      <c r="AA520">
        <v>0.8563796871964392</v>
      </c>
      <c r="AB520">
        <v>0.93310134906981668</v>
      </c>
      <c r="AC520">
        <v>0.82530066984558403</v>
      </c>
      <c r="AD520">
        <v>0.79821057971612364</v>
      </c>
      <c r="AE520">
        <v>0.70720504775818349</v>
      </c>
      <c r="AH520">
        <v>4.3145654190871907E-2</v>
      </c>
      <c r="AI520">
        <v>3.973854573007285E-2</v>
      </c>
      <c r="AJ520">
        <v>9.6009468599861592E-2</v>
      </c>
      <c r="AK520">
        <v>0.12802999142228055</v>
      </c>
      <c r="AL520">
        <v>5.7848464353956852E-2</v>
      </c>
      <c r="AM520">
        <v>0.1615631709312032</v>
      </c>
      <c r="AN520">
        <v>5.4820756530853165E-2</v>
      </c>
      <c r="AO520">
        <v>2.0636547097101277E-2</v>
      </c>
      <c r="AR520">
        <v>9.1432311799055643E-4</v>
      </c>
      <c r="AS520">
        <v>4.7568366800724293E-3</v>
      </c>
      <c r="AT520">
        <v>0.10070355502692674</v>
      </c>
      <c r="AU520">
        <v>1.9730022129161441E-3</v>
      </c>
      <c r="AV520">
        <v>1.7163428763655318E-3</v>
      </c>
      <c r="AW520">
        <v>3.561523834014424E-3</v>
      </c>
      <c r="AX520">
        <v>4.4216349527448351E-4</v>
      </c>
      <c r="AY520">
        <v>3.5602716991290636E-4</v>
      </c>
      <c r="BB520">
        <v>5.4341911365095141E-2</v>
      </c>
      <c r="BC520">
        <v>4.4255565418616249E-2</v>
      </c>
      <c r="BE520">
        <v>33507.141288138271</v>
      </c>
      <c r="BF520">
        <v>21.547807918508877</v>
      </c>
      <c r="BG520">
        <v>35827.610495203495</v>
      </c>
      <c r="BH520">
        <v>21.550045305683263</v>
      </c>
    </row>
    <row r="521" spans="3:60" x14ac:dyDescent="0.2">
      <c r="C521" s="138">
        <v>31842.011083408292</v>
      </c>
      <c r="D521">
        <v>21.202788668375106</v>
      </c>
      <c r="E521" s="138">
        <v>34019.303193797219</v>
      </c>
      <c r="F521" s="138">
        <v>21.210626501616279</v>
      </c>
      <c r="G521" s="138">
        <v>-2177.2921103889275</v>
      </c>
      <c r="H521" s="138">
        <v>-7.8378332411723761E-3</v>
      </c>
      <c r="N521" s="138"/>
      <c r="O521" s="138"/>
      <c r="P521" s="138"/>
      <c r="R521">
        <v>181.77613129305792</v>
      </c>
      <c r="S521">
        <v>50.490251343081958</v>
      </c>
      <c r="T521">
        <v>296.14699995495255</v>
      </c>
      <c r="U521">
        <v>96.890249060925527</v>
      </c>
      <c r="X521">
        <v>0.72426401150504138</v>
      </c>
      <c r="Y521">
        <v>0.84781632105953675</v>
      </c>
      <c r="Z521">
        <v>0.81894026580202994</v>
      </c>
      <c r="AA521">
        <v>0.84923107759514171</v>
      </c>
      <c r="AB521">
        <v>0.77628748240190504</v>
      </c>
      <c r="AC521">
        <v>0.62830096447122163</v>
      </c>
      <c r="AD521">
        <v>0.61131358529281399</v>
      </c>
      <c r="AE521">
        <v>0.66848265709925325</v>
      </c>
      <c r="AH521">
        <v>0.15464584993281283</v>
      </c>
      <c r="AI521">
        <v>0.32907470727816412</v>
      </c>
      <c r="AJ521">
        <v>9.8523471916815319E-2</v>
      </c>
      <c r="AK521">
        <v>5.8102913832089431E-2</v>
      </c>
      <c r="AL521">
        <v>0.12581013019784371</v>
      </c>
      <c r="AM521">
        <v>0.14186141426432597</v>
      </c>
      <c r="AN521">
        <v>7.0725656331468656E-2</v>
      </c>
      <c r="AO521">
        <v>3.9860397355581112E-2</v>
      </c>
      <c r="AR521">
        <v>9.658258233553596E-4</v>
      </c>
      <c r="AS521">
        <v>4.5252869249865491E-3</v>
      </c>
      <c r="AT521">
        <v>0.10130961789386916</v>
      </c>
      <c r="AU521">
        <v>1.9908830476894233E-3</v>
      </c>
      <c r="AV521">
        <v>2.1649706170109306E-3</v>
      </c>
      <c r="AW521">
        <v>3.5196205051336582E-3</v>
      </c>
      <c r="AX521">
        <v>4.2391612391090572E-4</v>
      </c>
      <c r="AY521">
        <v>4.46678123678379E-4</v>
      </c>
      <c r="BB521">
        <v>5.3062650859222904E-2</v>
      </c>
      <c r="BC521">
        <v>7.7769473436139713E-2</v>
      </c>
      <c r="BE521">
        <v>31842.011083408292</v>
      </c>
      <c r="BF521">
        <v>21.202788668375106</v>
      </c>
      <c r="BG521">
        <v>34019.303193797219</v>
      </c>
      <c r="BH521">
        <v>21.210626501616279</v>
      </c>
    </row>
    <row r="522" spans="3:60" x14ac:dyDescent="0.2">
      <c r="C522" s="138">
        <v>38526.920603418068</v>
      </c>
      <c r="D522">
        <v>21.410252826654979</v>
      </c>
      <c r="E522" s="138">
        <v>41062.950770348252</v>
      </c>
      <c r="F522" s="138">
        <v>21.399249920482671</v>
      </c>
      <c r="G522" s="138">
        <v>-2536.0301669301844</v>
      </c>
      <c r="H522" s="138">
        <v>1.1002906172308258E-2</v>
      </c>
      <c r="N522" s="138"/>
      <c r="O522" s="138"/>
      <c r="P522" s="138"/>
      <c r="R522">
        <v>360.35734511795908</v>
      </c>
      <c r="S522">
        <v>64.164065314054085</v>
      </c>
      <c r="T522">
        <v>268.25080150527469</v>
      </c>
      <c r="U522">
        <v>88.730818623613956</v>
      </c>
      <c r="X522">
        <v>0.93483147203827444</v>
      </c>
      <c r="Y522">
        <v>0.9356040537403536</v>
      </c>
      <c r="Z522">
        <v>0.70233081351602045</v>
      </c>
      <c r="AA522">
        <v>0.92271712194080824</v>
      </c>
      <c r="AB522">
        <v>0.86653758188561925</v>
      </c>
      <c r="AC522">
        <v>0.70860862440844352</v>
      </c>
      <c r="AD522">
        <v>0.62573901532547693</v>
      </c>
      <c r="AE522">
        <v>0.87871539879743388</v>
      </c>
      <c r="AH522">
        <v>3.972399212736244E-2</v>
      </c>
      <c r="AI522">
        <v>0.12040566678615816</v>
      </c>
      <c r="AJ522">
        <v>9.444489282454227E-2</v>
      </c>
      <c r="AK522">
        <v>0.24824617876765354</v>
      </c>
      <c r="AL522">
        <v>0.13105446937061704</v>
      </c>
      <c r="AM522">
        <v>0.15404939361345427</v>
      </c>
      <c r="AN522">
        <v>0.20432658563310369</v>
      </c>
      <c r="AO522">
        <v>9.8845932046788043E-2</v>
      </c>
      <c r="AR522">
        <v>7.8997922478620582E-4</v>
      </c>
      <c r="AS522">
        <v>4.3972952016008452E-3</v>
      </c>
      <c r="AT522">
        <v>0.10057708061334258</v>
      </c>
      <c r="AU522">
        <v>1.8915195555477115E-3</v>
      </c>
      <c r="AV522">
        <v>1.9728379061417748E-3</v>
      </c>
      <c r="AW522">
        <v>3.3293951981681565E-3</v>
      </c>
      <c r="AX522">
        <v>4.0518157849789294E-4</v>
      </c>
      <c r="AY522">
        <v>4.2433219568670103E-4</v>
      </c>
      <c r="BB522">
        <v>5.5705229107314569E-2</v>
      </c>
      <c r="BC522">
        <v>3.9672368515362398E-2</v>
      </c>
      <c r="BE522">
        <v>38526.920603418068</v>
      </c>
      <c r="BF522">
        <v>21.410252826654979</v>
      </c>
      <c r="BG522">
        <v>41062.950770348252</v>
      </c>
      <c r="BH522">
        <v>21.399249920482671</v>
      </c>
    </row>
    <row r="523" spans="3:60" x14ac:dyDescent="0.2">
      <c r="C523" s="138">
        <v>34769.703003859206</v>
      </c>
      <c r="D523">
        <v>20.943157571812666</v>
      </c>
      <c r="E523" s="138">
        <v>37077.335784924704</v>
      </c>
      <c r="F523" s="138">
        <v>20.925929751423816</v>
      </c>
      <c r="G523" s="138">
        <v>-2307.6327810654984</v>
      </c>
      <c r="H523" s="138">
        <v>1.722782038885029E-2</v>
      </c>
      <c r="N523" s="138"/>
      <c r="O523" s="138"/>
      <c r="P523" s="138"/>
      <c r="R523">
        <v>160.43421536707956</v>
      </c>
      <c r="S523">
        <v>56.810122423826797</v>
      </c>
      <c r="T523">
        <v>248.80970145795743</v>
      </c>
      <c r="U523">
        <v>105.10411924529697</v>
      </c>
      <c r="X523">
        <v>0.85042353250921809</v>
      </c>
      <c r="Y523">
        <v>0.75985524322278553</v>
      </c>
      <c r="Z523">
        <v>0.75875558256503262</v>
      </c>
      <c r="AA523">
        <v>0.64189811890022441</v>
      </c>
      <c r="AB523">
        <v>0.749106469907039</v>
      </c>
      <c r="AC523">
        <v>0.61980057013603518</v>
      </c>
      <c r="AD523">
        <v>0.82525008178079284</v>
      </c>
      <c r="AE523">
        <v>0.67292013728711264</v>
      </c>
      <c r="AH523">
        <v>0.27580077046053597</v>
      </c>
      <c r="AI523">
        <v>6.8590805629323737E-2</v>
      </c>
      <c r="AJ523">
        <v>0.14284589852331064</v>
      </c>
      <c r="AK523">
        <v>0.26127116155239061</v>
      </c>
      <c r="AL523">
        <v>0.19180292711443814</v>
      </c>
      <c r="AM523">
        <v>0.10834878068635045</v>
      </c>
      <c r="AN523">
        <v>5.5226562442167726E-3</v>
      </c>
      <c r="AO523">
        <v>0.10412994112421337</v>
      </c>
      <c r="AR523">
        <v>7.810454986927148E-4</v>
      </c>
      <c r="AS523">
        <v>4.5506933327562615E-3</v>
      </c>
      <c r="AT523">
        <v>0.10061118680185011</v>
      </c>
      <c r="AU523">
        <v>1.7228579063575556E-3</v>
      </c>
      <c r="AV523">
        <v>2.0554828398748892E-3</v>
      </c>
      <c r="AW523">
        <v>3.5795305959859247E-3</v>
      </c>
      <c r="AX523">
        <v>4.8275679732801002E-4</v>
      </c>
      <c r="AY523">
        <v>4.6993414669549427E-4</v>
      </c>
      <c r="BB523">
        <v>4.403528758550565E-2</v>
      </c>
      <c r="BC523">
        <v>6.5503511184907159E-2</v>
      </c>
      <c r="BE523">
        <v>34769.703003859206</v>
      </c>
      <c r="BF523">
        <v>20.943157571812666</v>
      </c>
      <c r="BG523">
        <v>37077.335784924704</v>
      </c>
      <c r="BH523">
        <v>20.925929751423816</v>
      </c>
    </row>
    <row r="524" spans="3:60" x14ac:dyDescent="0.2">
      <c r="C524" s="138">
        <v>34018.881801564843</v>
      </c>
      <c r="D524">
        <v>20.530871606336262</v>
      </c>
      <c r="E524" s="138">
        <v>35965.073108600081</v>
      </c>
      <c r="F524" s="138">
        <v>20.476791398902225</v>
      </c>
      <c r="G524" s="138">
        <v>-1946.1913070352384</v>
      </c>
      <c r="H524" s="138">
        <v>5.4080207434036964E-2</v>
      </c>
      <c r="N524" s="138"/>
      <c r="O524" s="138"/>
      <c r="P524" s="138"/>
      <c r="R524">
        <v>339.63985820646127</v>
      </c>
      <c r="S524">
        <v>73.295644843150271</v>
      </c>
      <c r="T524">
        <v>234.08462329881542</v>
      </c>
      <c r="U524">
        <v>97.593097332815432</v>
      </c>
      <c r="X524">
        <v>0.93380876557502757</v>
      </c>
      <c r="Y524">
        <v>0.8819105713478369</v>
      </c>
      <c r="Z524">
        <v>0.72249179105602457</v>
      </c>
      <c r="AA524">
        <v>0.69655781719594934</v>
      </c>
      <c r="AB524">
        <v>0.73934212234269625</v>
      </c>
      <c r="AC524">
        <v>0.90912587633485686</v>
      </c>
      <c r="AD524">
        <v>0.61415747576588942</v>
      </c>
      <c r="AE524">
        <v>0.7346273550683271</v>
      </c>
      <c r="AH524">
        <v>0.19786887952521948</v>
      </c>
      <c r="AI524">
        <v>0.17047813038918458</v>
      </c>
      <c r="AJ524">
        <v>0.15419820322190458</v>
      </c>
      <c r="AK524">
        <v>0.28914075533625805</v>
      </c>
      <c r="AL524">
        <v>5.124900200402227E-2</v>
      </c>
      <c r="AM524">
        <v>9.5536949388980386E-2</v>
      </c>
      <c r="AN524">
        <v>0.12225142720086235</v>
      </c>
      <c r="AO524">
        <v>0.31503253348411442</v>
      </c>
      <c r="AR524">
        <v>8.7155675374194028E-4</v>
      </c>
      <c r="AS524">
        <v>4.1294927760250639E-3</v>
      </c>
      <c r="AT524">
        <v>0.10065050242947304</v>
      </c>
      <c r="AU524">
        <v>1.9836052484402834E-3</v>
      </c>
      <c r="AV524">
        <v>2.120255296848228E-3</v>
      </c>
      <c r="AW524">
        <v>3.7416186996401812E-3</v>
      </c>
      <c r="AX524">
        <v>3.6714789677914428E-4</v>
      </c>
      <c r="AY524">
        <v>4.2600125571313786E-4</v>
      </c>
      <c r="BB524">
        <v>5.523320738217341E-2</v>
      </c>
      <c r="BC524">
        <v>4.3859597490735744E-2</v>
      </c>
      <c r="BE524">
        <v>34018.881801564843</v>
      </c>
      <c r="BF524">
        <v>20.530871606336262</v>
      </c>
      <c r="BG524">
        <v>35965.073108600081</v>
      </c>
      <c r="BH524">
        <v>20.476791398902225</v>
      </c>
    </row>
    <row r="525" spans="3:60" x14ac:dyDescent="0.2">
      <c r="C525" s="138">
        <v>27822.347041351437</v>
      </c>
      <c r="D525">
        <v>21.488970710576798</v>
      </c>
      <c r="E525" s="138">
        <v>29792.948560180655</v>
      </c>
      <c r="F525" s="138">
        <v>21.502393564929552</v>
      </c>
      <c r="G525" s="138">
        <v>-1970.6015188292185</v>
      </c>
      <c r="H525" s="138">
        <v>-1.3422854352754143E-2</v>
      </c>
      <c r="N525" s="138"/>
      <c r="O525" s="138"/>
      <c r="P525" s="138"/>
      <c r="R525">
        <v>251.72820337393168</v>
      </c>
      <c r="S525">
        <v>62.410630052605988</v>
      </c>
      <c r="T525">
        <v>249.5017581753095</v>
      </c>
      <c r="U525">
        <v>76.216894509780559</v>
      </c>
      <c r="X525">
        <v>0.84389418238847469</v>
      </c>
      <c r="Y525">
        <v>0.64631428191237339</v>
      </c>
      <c r="Z525">
        <v>0.90336333909578692</v>
      </c>
      <c r="AA525">
        <v>0.50598817824970987</v>
      </c>
      <c r="AB525">
        <v>0.84644832136907755</v>
      </c>
      <c r="AC525">
        <v>0.52171265279141843</v>
      </c>
      <c r="AD525">
        <v>0.79308901392374764</v>
      </c>
      <c r="AE525">
        <v>0.68914443120436064</v>
      </c>
      <c r="AH525">
        <v>8.4081156840288385E-2</v>
      </c>
      <c r="AI525">
        <v>0.14786237556737114</v>
      </c>
      <c r="AJ525">
        <v>3.7378804460975967E-2</v>
      </c>
      <c r="AK525">
        <v>5.4463791892774394E-2</v>
      </c>
      <c r="AL525">
        <v>5.8471766187689234E-2</v>
      </c>
      <c r="AM525">
        <v>0.10951688001663606</v>
      </c>
      <c r="AN525">
        <v>9.9210043127191394E-2</v>
      </c>
      <c r="AO525">
        <v>3.310687090994735E-2</v>
      </c>
      <c r="AR525">
        <v>8.3311597624316242E-4</v>
      </c>
      <c r="AS525">
        <v>4.7724523100612926E-3</v>
      </c>
      <c r="AT525">
        <v>9.9507338672472967E-2</v>
      </c>
      <c r="AU525">
        <v>1.8950427457614506E-3</v>
      </c>
      <c r="AV525">
        <v>2.0400160928043531E-3</v>
      </c>
      <c r="AW525">
        <v>3.3566472036000573E-3</v>
      </c>
      <c r="AX525">
        <v>4.3664895306116946E-4</v>
      </c>
      <c r="AY525">
        <v>4.6440222616273008E-4</v>
      </c>
      <c r="BB525">
        <v>5.6027676969664264E-2</v>
      </c>
      <c r="BC525">
        <v>7.1066187827486527E-2</v>
      </c>
      <c r="BE525">
        <v>27822.347041351437</v>
      </c>
      <c r="BF525">
        <v>21.488970710576798</v>
      </c>
      <c r="BG525">
        <v>29792.948560180655</v>
      </c>
      <c r="BH525">
        <v>21.502393564929552</v>
      </c>
    </row>
    <row r="526" spans="3:60" x14ac:dyDescent="0.2">
      <c r="C526" s="138">
        <v>31651.518038488288</v>
      </c>
      <c r="D526">
        <v>21.641135912262325</v>
      </c>
      <c r="E526" s="138">
        <v>34181.157668008767</v>
      </c>
      <c r="F526" s="138">
        <v>21.635988962426648</v>
      </c>
      <c r="G526" s="138">
        <v>-2529.6396295204795</v>
      </c>
      <c r="H526" s="138">
        <v>5.1469498356766508E-3</v>
      </c>
      <c r="N526" s="138"/>
      <c r="O526" s="138"/>
      <c r="P526" s="138"/>
      <c r="R526">
        <v>188.74452437072352</v>
      </c>
      <c r="S526">
        <v>67.001648571576908</v>
      </c>
      <c r="T526">
        <v>239.57465257816935</v>
      </c>
      <c r="U526">
        <v>100.35409672830021</v>
      </c>
      <c r="X526">
        <v>0.80374842802461322</v>
      </c>
      <c r="Y526">
        <v>0.64766076676011497</v>
      </c>
      <c r="Z526">
        <v>0.85289667623492438</v>
      </c>
      <c r="AA526">
        <v>0.85314795538054133</v>
      </c>
      <c r="AB526">
        <v>0.63963358048703811</v>
      </c>
      <c r="AC526">
        <v>0.61949765202896667</v>
      </c>
      <c r="AD526">
        <v>0.64202974568164717</v>
      </c>
      <c r="AE526">
        <v>0.58722145833981021</v>
      </c>
      <c r="AH526">
        <v>2.8008651007257024E-2</v>
      </c>
      <c r="AI526">
        <v>6.694646703385787E-2</v>
      </c>
      <c r="AJ526">
        <v>0.12873360482543961</v>
      </c>
      <c r="AK526">
        <v>0.10966114386739145</v>
      </c>
      <c r="AL526">
        <v>0.21945367593273102</v>
      </c>
      <c r="AM526">
        <v>2.0677989600515145E-2</v>
      </c>
      <c r="AN526">
        <v>0.21923630986394649</v>
      </c>
      <c r="AO526">
        <v>4.2751583160013262E-2</v>
      </c>
      <c r="AR526">
        <v>8.8507942144897434E-4</v>
      </c>
      <c r="AS526">
        <v>4.1518644729322965E-3</v>
      </c>
      <c r="AT526">
        <v>9.9764220221204306E-2</v>
      </c>
      <c r="AU526">
        <v>2.2743841923958952E-3</v>
      </c>
      <c r="AV526">
        <v>2.2800870032008147E-3</v>
      </c>
      <c r="AW526">
        <v>3.428171908343991E-3</v>
      </c>
      <c r="AX526">
        <v>4.4263174080794165E-4</v>
      </c>
      <c r="AY526">
        <v>4.8962685426701125E-4</v>
      </c>
      <c r="BB526">
        <v>5.968987988533514E-2</v>
      </c>
      <c r="BC526">
        <v>5.3312873382073134E-2</v>
      </c>
      <c r="BE526">
        <v>31651.518038488288</v>
      </c>
      <c r="BF526">
        <v>21.641135912262325</v>
      </c>
      <c r="BG526">
        <v>34181.157668008767</v>
      </c>
      <c r="BH526">
        <v>21.635988962426648</v>
      </c>
    </row>
    <row r="527" spans="3:60" x14ac:dyDescent="0.2">
      <c r="C527" s="138">
        <v>30081.800469074715</v>
      </c>
      <c r="D527">
        <v>20.941928634423626</v>
      </c>
      <c r="E527" s="138">
        <v>32148.736074308694</v>
      </c>
      <c r="F527" s="138">
        <v>20.901348506780423</v>
      </c>
      <c r="G527" s="138">
        <v>-2066.935605233979</v>
      </c>
      <c r="H527" s="138">
        <v>4.0580127643202957E-2</v>
      </c>
      <c r="N527" s="138"/>
      <c r="O527" s="138"/>
      <c r="P527" s="138"/>
      <c r="R527">
        <v>311.42902310695149</v>
      </c>
      <c r="S527">
        <v>47.404320220899272</v>
      </c>
      <c r="T527">
        <v>184.68173233852116</v>
      </c>
      <c r="U527">
        <v>96.433469970753322</v>
      </c>
      <c r="X527">
        <v>0.84101553315293964</v>
      </c>
      <c r="Y527">
        <v>0.57039326418861436</v>
      </c>
      <c r="Z527">
        <v>0.73301996851057449</v>
      </c>
      <c r="AA527">
        <v>0.58896508444577622</v>
      </c>
      <c r="AB527">
        <v>0.83096327596315367</v>
      </c>
      <c r="AC527">
        <v>0.68647374577374098</v>
      </c>
      <c r="AD527">
        <v>0.72333189832451672</v>
      </c>
      <c r="AE527">
        <v>0.85185266572188034</v>
      </c>
      <c r="AH527">
        <v>0.18256710185254532</v>
      </c>
      <c r="AI527">
        <v>0.10694423838721101</v>
      </c>
      <c r="AJ527">
        <v>9.4569510693255365E-2</v>
      </c>
      <c r="AK527">
        <v>0.11142981990502698</v>
      </c>
      <c r="AL527">
        <v>3.0795452594435058E-2</v>
      </c>
      <c r="AM527">
        <v>8.5341329859459747E-2</v>
      </c>
      <c r="AN527">
        <v>0.12706095861992861</v>
      </c>
      <c r="AO527">
        <v>0.28063676014502192</v>
      </c>
      <c r="AR527">
        <v>7.9584936742691133E-4</v>
      </c>
      <c r="AS527">
        <v>4.2705254773636112E-3</v>
      </c>
      <c r="AT527">
        <v>0.10000046143854135</v>
      </c>
      <c r="AU527">
        <v>1.9451840064753788E-3</v>
      </c>
      <c r="AV527">
        <v>1.9879830151997334E-3</v>
      </c>
      <c r="AW527">
        <v>3.5215931636390918E-3</v>
      </c>
      <c r="AX527">
        <v>4.6305426241299852E-4</v>
      </c>
      <c r="AY527">
        <v>4.1127568014050068E-4</v>
      </c>
      <c r="BB527">
        <v>4.4087213641669877E-2</v>
      </c>
      <c r="BC527">
        <v>4.9660732465571344E-2</v>
      </c>
      <c r="BE527">
        <v>30081.800469074715</v>
      </c>
      <c r="BF527">
        <v>20.941928634423626</v>
      </c>
      <c r="BG527">
        <v>32148.736074308694</v>
      </c>
      <c r="BH527">
        <v>20.901348506780423</v>
      </c>
    </row>
    <row r="528" spans="3:60" x14ac:dyDescent="0.2">
      <c r="C528" s="138">
        <v>34188.544350590375</v>
      </c>
      <c r="D528">
        <v>21.182986652490698</v>
      </c>
      <c r="E528" s="138">
        <v>36822.490515481382</v>
      </c>
      <c r="F528" s="138">
        <v>21.175807748464727</v>
      </c>
      <c r="G528" s="138">
        <v>-2633.9461648910074</v>
      </c>
      <c r="H528" s="138">
        <v>7.1789040259702119E-3</v>
      </c>
      <c r="N528" s="138"/>
      <c r="O528" s="138"/>
      <c r="P528" s="138"/>
      <c r="R528">
        <v>59.844125439580466</v>
      </c>
      <c r="S528">
        <v>60.034070200664935</v>
      </c>
      <c r="T528">
        <v>232.34214988179045</v>
      </c>
      <c r="U528">
        <v>105.9513485788454</v>
      </c>
      <c r="X528">
        <v>0.83559206093062366</v>
      </c>
      <c r="Y528">
        <v>0.66346848610904241</v>
      </c>
      <c r="Z528">
        <v>0.64936954097955824</v>
      </c>
      <c r="AA528">
        <v>0.91221652657263053</v>
      </c>
      <c r="AB528">
        <v>0.69857559200564656</v>
      </c>
      <c r="AC528">
        <v>0.52991799264827433</v>
      </c>
      <c r="AD528">
        <v>0.81894238392841123</v>
      </c>
      <c r="AE528">
        <v>0.59873036623963405</v>
      </c>
      <c r="AH528">
        <v>4.1128243422139943E-2</v>
      </c>
      <c r="AI528">
        <v>7.256031890745418E-2</v>
      </c>
      <c r="AJ528">
        <v>4.9521671165944747E-2</v>
      </c>
      <c r="AK528">
        <v>9.2807465756945984E-2</v>
      </c>
      <c r="AL528">
        <v>1.5328446923300709E-2</v>
      </c>
      <c r="AM528">
        <v>7.8112298711302985E-2</v>
      </c>
      <c r="AN528">
        <v>0.1119750206872</v>
      </c>
      <c r="AO528">
        <v>7.3633223119605851E-2</v>
      </c>
      <c r="AR528">
        <v>7.7208005678349877E-4</v>
      </c>
      <c r="AS528">
        <v>4.9241479283999023E-3</v>
      </c>
      <c r="AT528">
        <v>9.9499790599367019E-2</v>
      </c>
      <c r="AU528">
        <v>2.019138236820317E-3</v>
      </c>
      <c r="AV528">
        <v>1.8904821352317596E-3</v>
      </c>
      <c r="AW528">
        <v>3.5307040816527913E-3</v>
      </c>
      <c r="AX528">
        <v>4.2349635162131083E-4</v>
      </c>
      <c r="AY528">
        <v>4.0828308037135536E-4</v>
      </c>
      <c r="BB528">
        <v>4.6931651265748775E-2</v>
      </c>
      <c r="BC528">
        <v>8.318171775840455E-2</v>
      </c>
      <c r="BE528">
        <v>34188.544350590375</v>
      </c>
      <c r="BF528">
        <v>21.182986652490698</v>
      </c>
      <c r="BG528">
        <v>36822.490515481382</v>
      </c>
      <c r="BH528">
        <v>21.175807748464727</v>
      </c>
    </row>
    <row r="529" spans="3:60" x14ac:dyDescent="0.2">
      <c r="C529" s="138">
        <v>34047.778827732931</v>
      </c>
      <c r="D529">
        <v>21.475112303958564</v>
      </c>
      <c r="E529" s="138">
        <v>36146.340408370103</v>
      </c>
      <c r="F529" s="138">
        <v>21.490446485076088</v>
      </c>
      <c r="G529" s="138">
        <v>-2098.5615806371716</v>
      </c>
      <c r="H529" s="138">
        <v>-1.5334181117523826E-2</v>
      </c>
      <c r="N529" s="138"/>
      <c r="O529" s="138"/>
      <c r="P529" s="138"/>
      <c r="R529">
        <v>296.35035098423617</v>
      </c>
      <c r="S529">
        <v>58.031144455451766</v>
      </c>
      <c r="T529">
        <v>222.9748608407952</v>
      </c>
      <c r="U529">
        <v>100.7806814730032</v>
      </c>
      <c r="X529">
        <v>0.74222943355566873</v>
      </c>
      <c r="Y529">
        <v>0.77963348812590838</v>
      </c>
      <c r="Z529">
        <v>0.75067821623435904</v>
      </c>
      <c r="AA529">
        <v>0.86897667117623123</v>
      </c>
      <c r="AB529">
        <v>0.78356583998301821</v>
      </c>
      <c r="AC529">
        <v>0.90313156629349556</v>
      </c>
      <c r="AD529">
        <v>0.45892117633407953</v>
      </c>
      <c r="AE529">
        <v>0.71490474168900342</v>
      </c>
      <c r="AH529">
        <v>0.15519672546798124</v>
      </c>
      <c r="AI529">
        <v>7.5008130918741478E-2</v>
      </c>
      <c r="AJ529">
        <v>0.23084961518952551</v>
      </c>
      <c r="AK529">
        <v>5.619856565516157E-2</v>
      </c>
      <c r="AL529">
        <v>5.6678736104280203E-2</v>
      </c>
      <c r="AM529">
        <v>3.5058548037915527E-2</v>
      </c>
      <c r="AN529">
        <v>0.24463408730039005</v>
      </c>
      <c r="AO529">
        <v>4.8788912025224174E-2</v>
      </c>
      <c r="AR529">
        <v>9.1561586781574444E-4</v>
      </c>
      <c r="AS529">
        <v>4.3850744895262911E-3</v>
      </c>
      <c r="AT529">
        <v>0.10121224509014204</v>
      </c>
      <c r="AU529">
        <v>1.8097397800543875E-3</v>
      </c>
      <c r="AV529">
        <v>1.8732828856469438E-3</v>
      </c>
      <c r="AW529">
        <v>3.3999641821673802E-3</v>
      </c>
      <c r="AX529">
        <v>4.2266057675122148E-4</v>
      </c>
      <c r="AY529">
        <v>4.847213253477145E-4</v>
      </c>
      <c r="BB529">
        <v>5.3248514246439949E-2</v>
      </c>
      <c r="BC529">
        <v>4.9319332222976242E-2</v>
      </c>
      <c r="BE529">
        <v>34047.778827732931</v>
      </c>
      <c r="BF529">
        <v>21.475112303958564</v>
      </c>
      <c r="BG529">
        <v>36146.340408370103</v>
      </c>
      <c r="BH529">
        <v>21.490446485076088</v>
      </c>
    </row>
    <row r="530" spans="3:60" x14ac:dyDescent="0.2">
      <c r="C530" s="138">
        <v>28916.743672384677</v>
      </c>
      <c r="D530">
        <v>21.482391451783666</v>
      </c>
      <c r="E530" s="138">
        <v>31086.216789231585</v>
      </c>
      <c r="F530" s="138">
        <v>21.461208426810757</v>
      </c>
      <c r="G530" s="138">
        <v>-2169.4731168469079</v>
      </c>
      <c r="H530" s="138">
        <v>2.1183024972909692E-2</v>
      </c>
      <c r="N530" s="138"/>
      <c r="O530" s="138"/>
      <c r="P530" s="138"/>
      <c r="R530">
        <v>182.01525494264951</v>
      </c>
      <c r="S530">
        <v>65.545022610975664</v>
      </c>
      <c r="T530">
        <v>265.63879460131972</v>
      </c>
      <c r="U530">
        <v>101.34101853479778</v>
      </c>
      <c r="X530">
        <v>0.74875742317245109</v>
      </c>
      <c r="Y530">
        <v>0.69113217876496691</v>
      </c>
      <c r="Z530">
        <v>0.69275358997183012</v>
      </c>
      <c r="AA530">
        <v>0.80282670840047632</v>
      </c>
      <c r="AB530">
        <v>0.67170977308163393</v>
      </c>
      <c r="AC530">
        <v>0.61065557087468791</v>
      </c>
      <c r="AD530">
        <v>0.8406399218440046</v>
      </c>
      <c r="AE530">
        <v>0.91798579741765363</v>
      </c>
      <c r="AH530">
        <v>0.352041021815231</v>
      </c>
      <c r="AI530">
        <v>3.9077992871376921E-2</v>
      </c>
      <c r="AJ530">
        <v>8.7172599908057258E-2</v>
      </c>
      <c r="AK530">
        <v>9.0245189330222297E-2</v>
      </c>
      <c r="AL530">
        <v>7.7544891379799141E-2</v>
      </c>
      <c r="AM530">
        <v>0.12187833285001903</v>
      </c>
      <c r="AN530">
        <v>0.37030762214107471</v>
      </c>
      <c r="AO530">
        <v>0.33263922070440188</v>
      </c>
      <c r="AR530">
        <v>9.6852604470265558E-4</v>
      </c>
      <c r="AS530">
        <v>4.7673598231222636E-3</v>
      </c>
      <c r="AT530">
        <v>0.10068201492062256</v>
      </c>
      <c r="AU530">
        <v>2.0248376645684019E-3</v>
      </c>
      <c r="AV530">
        <v>2.0776656076179068E-3</v>
      </c>
      <c r="AW530">
        <v>3.0748862183597641E-3</v>
      </c>
      <c r="AX530">
        <v>4.967641882038798E-4</v>
      </c>
      <c r="AY530">
        <v>4.6978325755930861E-4</v>
      </c>
      <c r="BB530">
        <v>4.1822287224636594E-2</v>
      </c>
      <c r="BC530">
        <v>3.9319720867727025E-2</v>
      </c>
      <c r="BE530">
        <v>28916.743672384677</v>
      </c>
      <c r="BF530">
        <v>21.482391451783666</v>
      </c>
      <c r="BG530">
        <v>31086.216789231585</v>
      </c>
      <c r="BH530">
        <v>21.461208426810757</v>
      </c>
    </row>
    <row r="531" spans="3:60" x14ac:dyDescent="0.2">
      <c r="C531" s="138">
        <v>31804.687544306613</v>
      </c>
      <c r="D531">
        <v>21.28380566179019</v>
      </c>
      <c r="E531" s="138">
        <v>33892.751146043367</v>
      </c>
      <c r="F531" s="138">
        <v>21.309913543404129</v>
      </c>
      <c r="G531" s="138">
        <v>-2088.0636017367542</v>
      </c>
      <c r="H531" s="138">
        <v>-2.6107881613938844E-2</v>
      </c>
      <c r="N531" s="138"/>
      <c r="O531" s="138"/>
      <c r="P531" s="138"/>
      <c r="R531">
        <v>94.254888223780199</v>
      </c>
      <c r="S531">
        <v>68.645301904849418</v>
      </c>
      <c r="T531">
        <v>294.23636431067564</v>
      </c>
      <c r="U531">
        <v>82.695545940821376</v>
      </c>
      <c r="X531">
        <v>0.86024481988912382</v>
      </c>
      <c r="Y531">
        <v>0.7332547346755679</v>
      </c>
      <c r="Z531">
        <v>0.82618790887752991</v>
      </c>
      <c r="AA531">
        <v>0.7814215912983471</v>
      </c>
      <c r="AB531">
        <v>0.78355331342460288</v>
      </c>
      <c r="AC531">
        <v>0.75100285433981495</v>
      </c>
      <c r="AD531">
        <v>0.72055481439114999</v>
      </c>
      <c r="AE531">
        <v>0.84336372905629498</v>
      </c>
      <c r="AH531">
        <v>6.920443334595805E-2</v>
      </c>
      <c r="AI531">
        <v>0.22265603657238531</v>
      </c>
      <c r="AJ531">
        <v>7.057268205640066E-2</v>
      </c>
      <c r="AK531">
        <v>0.13180171292389076</v>
      </c>
      <c r="AL531">
        <v>0.2748403974265915</v>
      </c>
      <c r="AM531">
        <v>9.3767096146940454E-2</v>
      </c>
      <c r="AN531">
        <v>9.9808978411933813E-2</v>
      </c>
      <c r="AO531">
        <v>0.16848286459778294</v>
      </c>
      <c r="AR531">
        <v>1.0025462697733634E-3</v>
      </c>
      <c r="AS531">
        <v>4.6500145911773094E-3</v>
      </c>
      <c r="AT531">
        <v>0.10061561379500983</v>
      </c>
      <c r="AU531">
        <v>1.8216625181807118E-3</v>
      </c>
      <c r="AV531">
        <v>1.8299841697024691E-3</v>
      </c>
      <c r="AW531">
        <v>3.2596466873855466E-3</v>
      </c>
      <c r="AX531">
        <v>4.0295646450594358E-4</v>
      </c>
      <c r="AY531">
        <v>3.9632081967429228E-4</v>
      </c>
      <c r="BB531">
        <v>5.4656278936218827E-2</v>
      </c>
      <c r="BC531">
        <v>3.0748163377498534E-2</v>
      </c>
      <c r="BE531">
        <v>31804.687544306613</v>
      </c>
      <c r="BF531">
        <v>21.28380566179019</v>
      </c>
      <c r="BG531">
        <v>33892.751146043367</v>
      </c>
      <c r="BH531">
        <v>21.309913543404129</v>
      </c>
    </row>
    <row r="532" spans="3:60" x14ac:dyDescent="0.2">
      <c r="C532" s="138">
        <v>34981.897883918828</v>
      </c>
      <c r="D532">
        <v>21.664127412031135</v>
      </c>
      <c r="E532" s="138">
        <v>37184.320395931572</v>
      </c>
      <c r="F532" s="138">
        <v>21.660676219571933</v>
      </c>
      <c r="G532" s="138">
        <v>-2202.4225120127448</v>
      </c>
      <c r="H532" s="138">
        <v>3.4511924592024457E-3</v>
      </c>
      <c r="N532" s="138"/>
      <c r="O532" s="138"/>
      <c r="P532" s="138"/>
      <c r="R532">
        <v>183.72016640478952</v>
      </c>
      <c r="S532">
        <v>59.059851220812092</v>
      </c>
      <c r="T532">
        <v>230.15757318230993</v>
      </c>
      <c r="U532">
        <v>98.427496793670372</v>
      </c>
      <c r="X532">
        <v>0.81770932120077022</v>
      </c>
      <c r="Y532">
        <v>0.79469610163476379</v>
      </c>
      <c r="Z532">
        <v>0.89393170868879757</v>
      </c>
      <c r="AA532">
        <v>0.75739642607894619</v>
      </c>
      <c r="AB532">
        <v>0.81801227979441715</v>
      </c>
      <c r="AC532">
        <v>0.80200611199663574</v>
      </c>
      <c r="AD532">
        <v>0.86000500677671909</v>
      </c>
      <c r="AE532">
        <v>0.76584502936875865</v>
      </c>
      <c r="AH532">
        <v>1.0877008454192594E-2</v>
      </c>
      <c r="AI532">
        <v>0.29154660769169827</v>
      </c>
      <c r="AJ532">
        <v>0.10212555165833104</v>
      </c>
      <c r="AK532">
        <v>0.33046820329039095</v>
      </c>
      <c r="AL532">
        <v>0.26047026816185659</v>
      </c>
      <c r="AM532">
        <v>0.18456102563553523</v>
      </c>
      <c r="AN532">
        <v>0.15176266726708432</v>
      </c>
      <c r="AO532">
        <v>6.922064434306141E-2</v>
      </c>
      <c r="AR532">
        <v>9.1108195572997541E-4</v>
      </c>
      <c r="AS532">
        <v>4.1441650568621764E-3</v>
      </c>
      <c r="AT532">
        <v>0.1005074212069248</v>
      </c>
      <c r="AU532">
        <v>2.090011289884619E-3</v>
      </c>
      <c r="AV532">
        <v>1.7958916886988091E-3</v>
      </c>
      <c r="AW532">
        <v>3.3939496336644814E-3</v>
      </c>
      <c r="AX532">
        <v>4.4270617277863966E-4</v>
      </c>
      <c r="AY532">
        <v>5.1012123620908234E-4</v>
      </c>
      <c r="BB532">
        <v>5.2756786335809602E-2</v>
      </c>
      <c r="BC532">
        <v>5.5691378103321032E-2</v>
      </c>
      <c r="BE532">
        <v>34981.897883918828</v>
      </c>
      <c r="BF532">
        <v>21.664127412031135</v>
      </c>
      <c r="BG532">
        <v>37184.320395931572</v>
      </c>
      <c r="BH532">
        <v>21.660676219571933</v>
      </c>
    </row>
    <row r="533" spans="3:60" x14ac:dyDescent="0.2">
      <c r="C533" s="138">
        <v>25172.446252754384</v>
      </c>
      <c r="D533">
        <v>19.632240274419704</v>
      </c>
      <c r="E533" s="138">
        <v>27875.284808709694</v>
      </c>
      <c r="F533" s="138">
        <v>19.611066628292473</v>
      </c>
      <c r="G533" s="138">
        <v>-2702.8385559553099</v>
      </c>
      <c r="H533" s="138">
        <v>2.1173646127230938E-2</v>
      </c>
      <c r="N533" s="138"/>
      <c r="O533" s="138"/>
      <c r="P533" s="138"/>
      <c r="R533">
        <v>70.190586580987741</v>
      </c>
      <c r="S533">
        <v>61.834547797652355</v>
      </c>
      <c r="T533">
        <v>208.43181673667505</v>
      </c>
      <c r="U533">
        <v>74.453436142801579</v>
      </c>
      <c r="X533">
        <v>0.88822561545753786</v>
      </c>
      <c r="Y533">
        <v>0.86632896816888127</v>
      </c>
      <c r="Z533">
        <v>0.70133808270235143</v>
      </c>
      <c r="AA533">
        <v>0.64031447517635087</v>
      </c>
      <c r="AB533">
        <v>0.71314276117602993</v>
      </c>
      <c r="AC533">
        <v>0.55689825996788112</v>
      </c>
      <c r="AD533">
        <v>0.96657268126969864</v>
      </c>
      <c r="AE533">
        <v>0.81706176367603256</v>
      </c>
      <c r="AH533">
        <v>0.21730917887094803</v>
      </c>
      <c r="AI533">
        <v>0.14945196603608524</v>
      </c>
      <c r="AJ533">
        <v>0.13811508360863778</v>
      </c>
      <c r="AK533">
        <v>3.2348047110719702E-2</v>
      </c>
      <c r="AL533">
        <v>0.22279301621405245</v>
      </c>
      <c r="AM533">
        <v>8.6012273276515616E-2</v>
      </c>
      <c r="AN533">
        <v>9.2779416642971624E-2</v>
      </c>
      <c r="AO533">
        <v>1.9029139427625852E-2</v>
      </c>
      <c r="AR533">
        <v>7.6869205457739389E-4</v>
      </c>
      <c r="AS533">
        <v>4.4085833434335054E-3</v>
      </c>
      <c r="AT533">
        <v>9.9417648702502456E-2</v>
      </c>
      <c r="AU533">
        <v>1.8577528300686987E-3</v>
      </c>
      <c r="AV533">
        <v>2.0284990070736919E-3</v>
      </c>
      <c r="AW533">
        <v>3.0828262227910017E-3</v>
      </c>
      <c r="AX533">
        <v>3.9024280973360911E-4</v>
      </c>
      <c r="AY533">
        <v>3.8097263795281361E-4</v>
      </c>
      <c r="BB533">
        <v>3.7704541278194718E-2</v>
      </c>
      <c r="BC533">
        <v>5.5294958292857577E-2</v>
      </c>
      <c r="BE533">
        <v>25172.446252754384</v>
      </c>
      <c r="BF533">
        <v>19.632240274419704</v>
      </c>
      <c r="BG533">
        <v>27875.284808709694</v>
      </c>
      <c r="BH533">
        <v>19.611066628292473</v>
      </c>
    </row>
    <row r="534" spans="3:60" x14ac:dyDescent="0.2">
      <c r="C534" s="138">
        <v>31122.885090204149</v>
      </c>
      <c r="D534">
        <v>21.853342687516474</v>
      </c>
      <c r="E534" s="138">
        <v>32971.898038492422</v>
      </c>
      <c r="F534" s="138">
        <v>21.891506763143006</v>
      </c>
      <c r="G534" s="138">
        <v>-1849.012948288273</v>
      </c>
      <c r="H534" s="138">
        <v>-3.8164075626532679E-2</v>
      </c>
      <c r="N534" s="138"/>
      <c r="O534" s="138"/>
      <c r="P534" s="138"/>
      <c r="R534">
        <v>278.65685799177538</v>
      </c>
      <c r="S534">
        <v>66.411807831952757</v>
      </c>
      <c r="T534">
        <v>291.56357741541945</v>
      </c>
      <c r="U534">
        <v>90.422424823492975</v>
      </c>
      <c r="X534">
        <v>0.88464476401374692</v>
      </c>
      <c r="Y534">
        <v>0.91721401137670167</v>
      </c>
      <c r="Z534">
        <v>0.7777581881213862</v>
      </c>
      <c r="AA534">
        <v>0.64061945001842091</v>
      </c>
      <c r="AB534">
        <v>0.7895566222612922</v>
      </c>
      <c r="AC534">
        <v>0.62091075684608432</v>
      </c>
      <c r="AD534">
        <v>0.81433030675138651</v>
      </c>
      <c r="AE534">
        <v>0.71955710087810376</v>
      </c>
      <c r="AH534">
        <v>0.25535154532996296</v>
      </c>
      <c r="AI534">
        <v>0.12754801919023329</v>
      </c>
      <c r="AJ534">
        <v>2.5050029433669518E-2</v>
      </c>
      <c r="AK534">
        <v>3.4775127935696482E-2</v>
      </c>
      <c r="AL534">
        <v>0.26885076117898765</v>
      </c>
      <c r="AM534">
        <v>0.27868235524573637</v>
      </c>
      <c r="AN534">
        <v>6.6412126796575599E-3</v>
      </c>
      <c r="AO534">
        <v>8.9192119105896306E-2</v>
      </c>
      <c r="AR534">
        <v>9.2139801057178339E-4</v>
      </c>
      <c r="AS534">
        <v>4.4097295534855753E-3</v>
      </c>
      <c r="AT534">
        <v>0.10166071097860285</v>
      </c>
      <c r="AU534">
        <v>1.9123626261613308E-3</v>
      </c>
      <c r="AV534">
        <v>1.8840188330058632E-3</v>
      </c>
      <c r="AW534">
        <v>3.3391574503830145E-3</v>
      </c>
      <c r="AX534">
        <v>4.1912173973945865E-4</v>
      </c>
      <c r="AY534">
        <v>4.5181672153060681E-4</v>
      </c>
      <c r="BB534">
        <v>4.8949945175737052E-2</v>
      </c>
      <c r="BC534">
        <v>5.5836201210410108E-2</v>
      </c>
      <c r="BE534">
        <v>31122.885090204149</v>
      </c>
      <c r="BF534">
        <v>21.853342687516474</v>
      </c>
      <c r="BG534">
        <v>32971.898038492422</v>
      </c>
      <c r="BH534">
        <v>21.891506763143006</v>
      </c>
    </row>
    <row r="535" spans="3:60" x14ac:dyDescent="0.2">
      <c r="C535" s="138">
        <v>31445.265423045905</v>
      </c>
      <c r="D535">
        <v>21.217940518760603</v>
      </c>
      <c r="E535" s="138">
        <v>33202.568895937628</v>
      </c>
      <c r="F535" s="138">
        <v>21.188723781741569</v>
      </c>
      <c r="G535" s="138">
        <v>-1757.3034728917228</v>
      </c>
      <c r="H535" s="138">
        <v>2.9216737019034156E-2</v>
      </c>
      <c r="N535" s="138"/>
      <c r="O535" s="138"/>
      <c r="P535" s="138"/>
      <c r="R535">
        <v>245.39467854836823</v>
      </c>
      <c r="S535">
        <v>79.632149115826635</v>
      </c>
      <c r="T535">
        <v>249.7561222381598</v>
      </c>
      <c r="U535">
        <v>100.52997751847042</v>
      </c>
      <c r="X535">
        <v>0.82535591898028415</v>
      </c>
      <c r="Y535">
        <v>0.74521771515599755</v>
      </c>
      <c r="Z535">
        <v>0.61643196356598395</v>
      </c>
      <c r="AA535">
        <v>0.93278366573597271</v>
      </c>
      <c r="AB535">
        <v>0.79588724073516648</v>
      </c>
      <c r="AC535">
        <v>0.72111942534597784</v>
      </c>
      <c r="AD535">
        <v>0.83530773366002342</v>
      </c>
      <c r="AE535">
        <v>0.75669074315954132</v>
      </c>
      <c r="AH535">
        <v>8.6502625721993853E-2</v>
      </c>
      <c r="AI535">
        <v>0.42845933219780419</v>
      </c>
      <c r="AJ535">
        <v>0.16367093817025091</v>
      </c>
      <c r="AK535">
        <v>0.16565813604961399</v>
      </c>
      <c r="AL535">
        <v>0.28587831434173805</v>
      </c>
      <c r="AM535">
        <v>3.6807148301519321E-2</v>
      </c>
      <c r="AN535">
        <v>0.15459277030112606</v>
      </c>
      <c r="AO535">
        <v>0.17677959572025148</v>
      </c>
      <c r="AR535">
        <v>7.040193818721338E-4</v>
      </c>
      <c r="AS535">
        <v>4.5328445843982879E-3</v>
      </c>
      <c r="AT535">
        <v>9.9847697965283255E-2</v>
      </c>
      <c r="AU535">
        <v>1.9854243361995061E-3</v>
      </c>
      <c r="AV535">
        <v>1.8786086494349096E-3</v>
      </c>
      <c r="AW535">
        <v>3.2290550882904858E-3</v>
      </c>
      <c r="AX535">
        <v>4.2735018927930746E-4</v>
      </c>
      <c r="AY535">
        <v>3.2720588567461943E-4</v>
      </c>
      <c r="BB535">
        <v>5.3347705625471864E-2</v>
      </c>
      <c r="BC535">
        <v>9.6965972980338488E-2</v>
      </c>
      <c r="BE535">
        <v>31445.265423045905</v>
      </c>
      <c r="BF535">
        <v>21.217940518760603</v>
      </c>
      <c r="BG535">
        <v>33202.568895937628</v>
      </c>
      <c r="BH535">
        <v>21.188723781741569</v>
      </c>
    </row>
    <row r="536" spans="3:60" x14ac:dyDescent="0.2">
      <c r="C536" s="138">
        <v>29805.713500707338</v>
      </c>
      <c r="D536">
        <v>21.271008448471257</v>
      </c>
      <c r="E536" s="138">
        <v>31869.113224569923</v>
      </c>
      <c r="F536" s="138">
        <v>21.263145615747817</v>
      </c>
      <c r="G536" s="138">
        <v>-2063.3997238625852</v>
      </c>
      <c r="H536" s="138">
        <v>7.8628327234397943E-3</v>
      </c>
      <c r="N536" s="138"/>
      <c r="O536" s="138"/>
      <c r="P536" s="138"/>
      <c r="R536">
        <v>206.38300791671503</v>
      </c>
      <c r="S536">
        <v>62.735190714186608</v>
      </c>
      <c r="T536">
        <v>242.91137168630408</v>
      </c>
      <c r="U536">
        <v>95.563040759508155</v>
      </c>
      <c r="X536">
        <v>0.65226304005814928</v>
      </c>
      <c r="Y536">
        <v>0.70475861698056175</v>
      </c>
      <c r="Z536">
        <v>0.7503085806750861</v>
      </c>
      <c r="AA536">
        <v>0.69207188322154944</v>
      </c>
      <c r="AB536">
        <v>0.78416528889144188</v>
      </c>
      <c r="AC536">
        <v>0.85491662511024269</v>
      </c>
      <c r="AD536">
        <v>0.67884131382732815</v>
      </c>
      <c r="AE536">
        <v>0.75658215089280267</v>
      </c>
      <c r="AH536">
        <v>5.1420794363327027E-2</v>
      </c>
      <c r="AI536">
        <v>0.11780491396057724</v>
      </c>
      <c r="AJ536">
        <v>0.1781523576841374</v>
      </c>
      <c r="AK536">
        <v>0.13720997588760131</v>
      </c>
      <c r="AL536">
        <v>0.18282045028750304</v>
      </c>
      <c r="AM536">
        <v>8.4750327397732361E-2</v>
      </c>
      <c r="AN536">
        <v>0.24617524715599604</v>
      </c>
      <c r="AO536">
        <v>4.0870558561448833E-2</v>
      </c>
      <c r="AR536">
        <v>8.2231047577612957E-4</v>
      </c>
      <c r="AS536">
        <v>4.5981003778609031E-3</v>
      </c>
      <c r="AT536">
        <v>0.10043978996148539</v>
      </c>
      <c r="AU536">
        <v>2.154736817945313E-3</v>
      </c>
      <c r="AV536">
        <v>1.8308308747291484E-3</v>
      </c>
      <c r="AW536">
        <v>3.255615845755325E-3</v>
      </c>
      <c r="AX536">
        <v>3.5228137228518513E-4</v>
      </c>
      <c r="AY536">
        <v>3.2855394361781733E-4</v>
      </c>
      <c r="BB536">
        <v>5.289606463082186E-2</v>
      </c>
      <c r="BC536">
        <v>5.3196849957498293E-2</v>
      </c>
      <c r="BE536">
        <v>29805.713500707338</v>
      </c>
      <c r="BF536">
        <v>21.271008448471257</v>
      </c>
      <c r="BG536">
        <v>31869.113224569923</v>
      </c>
      <c r="BH536">
        <v>21.263145615747817</v>
      </c>
    </row>
    <row r="537" spans="3:60" x14ac:dyDescent="0.2">
      <c r="C537" s="138">
        <v>29702.525402327556</v>
      </c>
      <c r="D537">
        <v>21.367403344273683</v>
      </c>
      <c r="E537" s="138">
        <v>31783.650961016629</v>
      </c>
      <c r="F537" s="138">
        <v>21.360438277612396</v>
      </c>
      <c r="G537" s="138">
        <v>-2081.1255586890729</v>
      </c>
      <c r="H537" s="138">
        <v>6.9650666612872669E-3</v>
      </c>
      <c r="N537" s="138"/>
      <c r="O537" s="138"/>
      <c r="P537" s="138"/>
      <c r="R537">
        <v>236.03557045434468</v>
      </c>
      <c r="S537">
        <v>65.085803206172969</v>
      </c>
      <c r="T537">
        <v>240.70669117650115</v>
      </c>
      <c r="U537">
        <v>88.417210853495007</v>
      </c>
      <c r="X537">
        <v>0.76668884181778796</v>
      </c>
      <c r="Y537">
        <v>0.80337994691360204</v>
      </c>
      <c r="Z537">
        <v>0.8250696360364429</v>
      </c>
      <c r="AA537">
        <v>0.79385605955563421</v>
      </c>
      <c r="AB537">
        <v>0.7321236879290457</v>
      </c>
      <c r="AC537">
        <v>0.92133080583626736</v>
      </c>
      <c r="AD537">
        <v>0.7327208633832949</v>
      </c>
      <c r="AE537">
        <v>0.65905201690349524</v>
      </c>
      <c r="AH537">
        <v>0.17708499127218691</v>
      </c>
      <c r="AI537">
        <v>4.3494355958499709E-2</v>
      </c>
      <c r="AJ537">
        <v>0.17199257530393419</v>
      </c>
      <c r="AK537">
        <v>0.29163988548956765</v>
      </c>
      <c r="AL537">
        <v>0.21511707095416377</v>
      </c>
      <c r="AM537">
        <v>0.2167688492706763</v>
      </c>
      <c r="AN537">
        <v>0.18338520520409318</v>
      </c>
      <c r="AO537">
        <v>9.9461371512952201E-2</v>
      </c>
      <c r="AR537">
        <v>9.5842275040414204E-4</v>
      </c>
      <c r="AS537">
        <v>4.6093886850446797E-3</v>
      </c>
      <c r="AT537">
        <v>9.8976882700146956E-2</v>
      </c>
      <c r="AU537">
        <v>1.8841532256947688E-3</v>
      </c>
      <c r="AV537">
        <v>2.0530400386108427E-3</v>
      </c>
      <c r="AW537">
        <v>3.4324947356207947E-3</v>
      </c>
      <c r="AX537">
        <v>3.9599019792984426E-4</v>
      </c>
      <c r="AY537">
        <v>4.2000847436711897E-4</v>
      </c>
      <c r="BB537">
        <v>4.695706711601183E-2</v>
      </c>
      <c r="BC537">
        <v>4.5055864666097033E-2</v>
      </c>
      <c r="BE537">
        <v>29702.525402327556</v>
      </c>
      <c r="BF537">
        <v>21.367403344273683</v>
      </c>
      <c r="BG537">
        <v>31783.650961016629</v>
      </c>
      <c r="BH537">
        <v>21.360438277612396</v>
      </c>
    </row>
    <row r="538" spans="3:60" x14ac:dyDescent="0.2">
      <c r="C538" s="138">
        <v>32179.070511119258</v>
      </c>
      <c r="D538">
        <v>20.865251288850892</v>
      </c>
      <c r="E538" s="138">
        <v>34288.854849861287</v>
      </c>
      <c r="F538" s="138">
        <v>20.849073543026826</v>
      </c>
      <c r="G538" s="138">
        <v>-2109.7843387420289</v>
      </c>
      <c r="H538" s="138">
        <v>1.6177745824066392E-2</v>
      </c>
      <c r="N538" s="138"/>
      <c r="O538" s="138"/>
      <c r="P538" s="138"/>
      <c r="R538">
        <v>308.72252132500927</v>
      </c>
      <c r="S538">
        <v>61.477345995066656</v>
      </c>
      <c r="T538">
        <v>253.88006389102682</v>
      </c>
      <c r="U538">
        <v>94.878829285045214</v>
      </c>
      <c r="X538">
        <v>0.92021480918537502</v>
      </c>
      <c r="Y538">
        <v>0.86972505464907512</v>
      </c>
      <c r="Z538">
        <v>0.9060775290377332</v>
      </c>
      <c r="AA538">
        <v>0.89443075678093165</v>
      </c>
      <c r="AB538">
        <v>0.50341838260186011</v>
      </c>
      <c r="AC538">
        <v>0.67252278410383992</v>
      </c>
      <c r="AD538">
        <v>0.93962122252790814</v>
      </c>
      <c r="AE538">
        <v>0.60996080547803389</v>
      </c>
      <c r="AH538">
        <v>0.11966274825203005</v>
      </c>
      <c r="AI538">
        <v>0.1161211466365395</v>
      </c>
      <c r="AJ538">
        <v>9.7034995701392512E-2</v>
      </c>
      <c r="AK538">
        <v>0.1028736454645145</v>
      </c>
      <c r="AL538">
        <v>8.7720563194623846E-2</v>
      </c>
      <c r="AM538">
        <v>4.3715003356289417E-2</v>
      </c>
      <c r="AN538">
        <v>5.8417783107663324E-2</v>
      </c>
      <c r="AO538">
        <v>4.8034169203165389E-2</v>
      </c>
      <c r="AR538">
        <v>7.0682975697490601E-4</v>
      </c>
      <c r="AS538">
        <v>4.6236764228533289E-3</v>
      </c>
      <c r="AT538">
        <v>0.10016611674865994</v>
      </c>
      <c r="AU538">
        <v>1.9036752125399523E-3</v>
      </c>
      <c r="AV538">
        <v>2.0634491567363966E-3</v>
      </c>
      <c r="AW538">
        <v>3.6615778696209578E-3</v>
      </c>
      <c r="AX538">
        <v>4.907472481204822E-4</v>
      </c>
      <c r="AY538">
        <v>4.6911585084175034E-4</v>
      </c>
      <c r="BB538">
        <v>4.3483411793111201E-2</v>
      </c>
      <c r="BC538">
        <v>1.3404593270061571E-2</v>
      </c>
      <c r="BE538">
        <v>32179.070511119258</v>
      </c>
      <c r="BF538">
        <v>20.865251288850892</v>
      </c>
      <c r="BG538">
        <v>34288.854849861287</v>
      </c>
      <c r="BH538">
        <v>20.849073543026826</v>
      </c>
    </row>
    <row r="539" spans="3:60" x14ac:dyDescent="0.2">
      <c r="C539" s="138">
        <v>35298.639821714416</v>
      </c>
      <c r="D539">
        <v>20.816258789377201</v>
      </c>
      <c r="E539" s="138">
        <v>37172.518265327592</v>
      </c>
      <c r="F539" s="138">
        <v>20.778848335490878</v>
      </c>
      <c r="G539" s="138">
        <v>-1873.8784436131755</v>
      </c>
      <c r="H539" s="138">
        <v>3.741045388632358E-2</v>
      </c>
      <c r="N539" s="138"/>
      <c r="O539" s="138"/>
      <c r="P539" s="138"/>
      <c r="R539">
        <v>58.159455878527154</v>
      </c>
      <c r="S539">
        <v>61.210395852061744</v>
      </c>
      <c r="T539">
        <v>235.73981303118401</v>
      </c>
      <c r="U539">
        <v>101.44031028764077</v>
      </c>
      <c r="X539">
        <v>0.81241015396737293</v>
      </c>
      <c r="Y539">
        <v>0.65166507362442172</v>
      </c>
      <c r="Z539">
        <v>0.3425663506714659</v>
      </c>
      <c r="AA539">
        <v>0.75739149666445982</v>
      </c>
      <c r="AB539">
        <v>0.89077896508893151</v>
      </c>
      <c r="AC539">
        <v>0.70151885541650849</v>
      </c>
      <c r="AD539">
        <v>0.5731857377225954</v>
      </c>
      <c r="AE539">
        <v>0.82859156186010474</v>
      </c>
      <c r="AH539">
        <v>0.29818784696427347</v>
      </c>
      <c r="AI539">
        <v>5.5497854113063072E-2</v>
      </c>
      <c r="AJ539">
        <v>0.10039679633202037</v>
      </c>
      <c r="AK539">
        <v>8.3210950807621753E-3</v>
      </c>
      <c r="AL539">
        <v>0.32216254044714188</v>
      </c>
      <c r="AM539">
        <v>0.15697921381439728</v>
      </c>
      <c r="AN539">
        <v>0.23456995919441836</v>
      </c>
      <c r="AO539">
        <v>0.33621087198021005</v>
      </c>
      <c r="AR539">
        <v>9.4722228712107448E-4</v>
      </c>
      <c r="AS539">
        <v>4.0514158845364372E-3</v>
      </c>
      <c r="AT539">
        <v>0.10039181710143974</v>
      </c>
      <c r="AU539">
        <v>1.738498030417813E-3</v>
      </c>
      <c r="AV539">
        <v>2.0970630357671771E-3</v>
      </c>
      <c r="AW539">
        <v>3.330613033679204E-3</v>
      </c>
      <c r="AX539">
        <v>3.7837345291328374E-4</v>
      </c>
      <c r="AY539">
        <v>4.5739968054592239E-4</v>
      </c>
      <c r="BB539">
        <v>5.5387132892417035E-2</v>
      </c>
      <c r="BC539">
        <v>2.9411606360319347E-2</v>
      </c>
      <c r="BE539">
        <v>35298.639821714416</v>
      </c>
      <c r="BF539">
        <v>20.816258789377201</v>
      </c>
      <c r="BG539">
        <v>37172.518265327592</v>
      </c>
      <c r="BH539">
        <v>20.778848335490878</v>
      </c>
    </row>
    <row r="540" spans="3:60" x14ac:dyDescent="0.2">
      <c r="C540" s="138">
        <v>29113.95492397582</v>
      </c>
      <c r="D540">
        <v>20.746759641666785</v>
      </c>
      <c r="E540" s="138">
        <v>31290.824617804188</v>
      </c>
      <c r="F540" s="138">
        <v>20.74078518256529</v>
      </c>
      <c r="G540" s="138">
        <v>-2176.8696938283683</v>
      </c>
      <c r="H540" s="138">
        <v>5.9744591014947446E-3</v>
      </c>
      <c r="N540" s="138"/>
      <c r="O540" s="138"/>
      <c r="P540" s="138"/>
      <c r="R540">
        <v>319.35861049460624</v>
      </c>
      <c r="S540">
        <v>63.962801579674448</v>
      </c>
      <c r="T540">
        <v>263.89073986275031</v>
      </c>
      <c r="U540">
        <v>100.5655154296924</v>
      </c>
      <c r="X540">
        <v>0.6969862743105355</v>
      </c>
      <c r="Y540">
        <v>0.55016835634776862</v>
      </c>
      <c r="Z540">
        <v>0.52122978050666369</v>
      </c>
      <c r="AA540">
        <v>0.76081538418676475</v>
      </c>
      <c r="AB540">
        <v>0.63870694823500351</v>
      </c>
      <c r="AC540">
        <v>0.9171861168800266</v>
      </c>
      <c r="AD540">
        <v>0.5279446627069494</v>
      </c>
      <c r="AE540">
        <v>0.69054779691107704</v>
      </c>
      <c r="AH540">
        <v>0.13718560547839043</v>
      </c>
      <c r="AI540">
        <v>3.4739009243745844E-2</v>
      </c>
      <c r="AJ540">
        <v>0.10484302840757953</v>
      </c>
      <c r="AK540">
        <v>0.24558774458419041</v>
      </c>
      <c r="AL540">
        <v>0.24342113690274259</v>
      </c>
      <c r="AM540">
        <v>0.11862700055269892</v>
      </c>
      <c r="AN540">
        <v>0.11520283912120988</v>
      </c>
      <c r="AO540">
        <v>8.1723476984013721E-2</v>
      </c>
      <c r="AR540">
        <v>9.076216327686959E-4</v>
      </c>
      <c r="AS540">
        <v>4.4175620891323273E-3</v>
      </c>
      <c r="AT540">
        <v>0.10060543863436044</v>
      </c>
      <c r="AU540">
        <v>1.906428221966955E-3</v>
      </c>
      <c r="AV540">
        <v>2.1590861858618027E-3</v>
      </c>
      <c r="AW540">
        <v>3.2369880570241919E-3</v>
      </c>
      <c r="AX540">
        <v>4.3349533871084311E-4</v>
      </c>
      <c r="AY540">
        <v>5.0418423234688259E-4</v>
      </c>
      <c r="BB540">
        <v>5.3559168406993485E-2</v>
      </c>
      <c r="BC540">
        <v>5.9514985428095857E-2</v>
      </c>
      <c r="BE540">
        <v>29113.95492397582</v>
      </c>
      <c r="BF540">
        <v>20.746759641666785</v>
      </c>
      <c r="BG540">
        <v>31290.824617804188</v>
      </c>
      <c r="BH540">
        <v>20.74078518256529</v>
      </c>
    </row>
    <row r="541" spans="3:60" x14ac:dyDescent="0.2">
      <c r="C541" s="138">
        <v>29716.342847848086</v>
      </c>
      <c r="D541">
        <v>21.256146555157365</v>
      </c>
      <c r="E541" s="138">
        <v>31608.723992756713</v>
      </c>
      <c r="F541" s="138">
        <v>21.227634904658021</v>
      </c>
      <c r="G541" s="138">
        <v>-1892.3811449086279</v>
      </c>
      <c r="H541" s="138">
        <v>2.8511650499343233E-2</v>
      </c>
      <c r="N541" s="138"/>
      <c r="O541" s="138"/>
      <c r="P541" s="138"/>
      <c r="R541">
        <v>96.837767232942895</v>
      </c>
      <c r="S541">
        <v>58.858321166201449</v>
      </c>
      <c r="T541">
        <v>230.98901353366736</v>
      </c>
      <c r="U541">
        <v>102.25931926438362</v>
      </c>
      <c r="X541">
        <v>0.76867667579836929</v>
      </c>
      <c r="Y541">
        <v>0.37823615447130959</v>
      </c>
      <c r="Z541">
        <v>0.79144355419977697</v>
      </c>
      <c r="AA541">
        <v>0.66652931358912115</v>
      </c>
      <c r="AB541">
        <v>0.86328241556460994</v>
      </c>
      <c r="AC541">
        <v>0.88127791169801672</v>
      </c>
      <c r="AD541">
        <v>0.96906156327273019</v>
      </c>
      <c r="AE541">
        <v>0.89106797047432662</v>
      </c>
      <c r="AH541">
        <v>7.60949329404218E-2</v>
      </c>
      <c r="AI541">
        <v>0.19256068136219373</v>
      </c>
      <c r="AJ541">
        <v>0.13528953002277067</v>
      </c>
      <c r="AK541">
        <v>4.1889492944817253E-2</v>
      </c>
      <c r="AL541">
        <v>7.0786027818628083E-2</v>
      </c>
      <c r="AM541">
        <v>0.18067770918492276</v>
      </c>
      <c r="AN541">
        <v>0.23970915023857031</v>
      </c>
      <c r="AO541">
        <v>0.17091648706126417</v>
      </c>
      <c r="AR541">
        <v>9.3402669234843305E-4</v>
      </c>
      <c r="AS541">
        <v>4.4097432404732705E-3</v>
      </c>
      <c r="AT541">
        <v>0.10090818663054446</v>
      </c>
      <c r="AU541">
        <v>2.0698778055041611E-3</v>
      </c>
      <c r="AV541">
        <v>1.9847618585371188E-3</v>
      </c>
      <c r="AW541">
        <v>3.5594745574247799E-3</v>
      </c>
      <c r="AX541">
        <v>4.5799125024603704E-4</v>
      </c>
      <c r="AY541">
        <v>5.4645143051557099E-4</v>
      </c>
      <c r="BB541">
        <v>4.743818109676122E-2</v>
      </c>
      <c r="BC541">
        <v>3.0237346340419847E-2</v>
      </c>
      <c r="BE541">
        <v>29716.342847848086</v>
      </c>
      <c r="BF541">
        <v>21.256146555157365</v>
      </c>
      <c r="BG541">
        <v>31608.723992756713</v>
      </c>
      <c r="BH541">
        <v>21.227634904658021</v>
      </c>
    </row>
    <row r="542" spans="3:60" x14ac:dyDescent="0.2">
      <c r="C542" s="138">
        <v>36928.241932815421</v>
      </c>
      <c r="D542">
        <v>21.298615365797463</v>
      </c>
      <c r="E542" s="138">
        <v>38694.930155357011</v>
      </c>
      <c r="F542" s="138">
        <v>21.315130114873636</v>
      </c>
      <c r="G542" s="138">
        <v>-1766.6882225415902</v>
      </c>
      <c r="H542" s="138">
        <v>-1.6514749076172563E-2</v>
      </c>
      <c r="N542" s="138"/>
      <c r="O542" s="138"/>
      <c r="P542" s="138"/>
      <c r="R542">
        <v>408.90277173642829</v>
      </c>
      <c r="S542">
        <v>57.121098862073254</v>
      </c>
      <c r="T542">
        <v>232.12416984237561</v>
      </c>
      <c r="U542">
        <v>89.438805741747899</v>
      </c>
      <c r="X542">
        <v>0.84524143432785404</v>
      </c>
      <c r="Y542">
        <v>0.87928434274124112</v>
      </c>
      <c r="Z542">
        <v>0.48502606759414923</v>
      </c>
      <c r="AA542">
        <v>0.54258234813578365</v>
      </c>
      <c r="AB542">
        <v>0.77751398563130492</v>
      </c>
      <c r="AC542">
        <v>0.87014379801300068</v>
      </c>
      <c r="AD542">
        <v>0.69722395226144507</v>
      </c>
      <c r="AE542">
        <v>0.97206954896065623</v>
      </c>
      <c r="AH542">
        <v>3.7653442634683731E-2</v>
      </c>
      <c r="AI542">
        <v>0.13896208429043055</v>
      </c>
      <c r="AJ542">
        <v>2.9582450046593323E-2</v>
      </c>
      <c r="AK542">
        <v>9.7304924516776192E-2</v>
      </c>
      <c r="AL542">
        <v>0.10092997260822179</v>
      </c>
      <c r="AM542">
        <v>0.14356697345365932</v>
      </c>
      <c r="AN542">
        <v>5.6697240361212375E-2</v>
      </c>
      <c r="AO542">
        <v>0.165244686941867</v>
      </c>
      <c r="AR542">
        <v>8.9457759614564036E-4</v>
      </c>
      <c r="AS542">
        <v>4.7723641640637915E-3</v>
      </c>
      <c r="AT542">
        <v>9.9664442017189436E-2</v>
      </c>
      <c r="AU542">
        <v>1.9511214573362087E-3</v>
      </c>
      <c r="AV542">
        <v>2.2304739750148572E-3</v>
      </c>
      <c r="AW542">
        <v>3.3986520747941082E-3</v>
      </c>
      <c r="AX542">
        <v>3.4349610280833844E-4</v>
      </c>
      <c r="AY542">
        <v>4.8727012750116039E-4</v>
      </c>
      <c r="BB542">
        <v>4.8637521103416979E-2</v>
      </c>
      <c r="BC542">
        <v>1.1140606383324543E-2</v>
      </c>
      <c r="BE542">
        <v>36928.241932815421</v>
      </c>
      <c r="BF542">
        <v>21.298615365797463</v>
      </c>
      <c r="BG542">
        <v>38694.930155357011</v>
      </c>
      <c r="BH542">
        <v>21.315130114873636</v>
      </c>
    </row>
    <row r="543" spans="3:60" x14ac:dyDescent="0.2">
      <c r="C543" s="138">
        <v>33485.953715395131</v>
      </c>
      <c r="D543">
        <v>20.579267241451205</v>
      </c>
      <c r="E543" s="138">
        <v>35338.366022943854</v>
      </c>
      <c r="F543" s="138">
        <v>20.570783763811711</v>
      </c>
      <c r="G543" s="138">
        <v>-1852.4123075487223</v>
      </c>
      <c r="H543" s="138">
        <v>8.4834776394941969E-3</v>
      </c>
      <c r="N543" s="138"/>
      <c r="O543" s="138"/>
      <c r="P543" s="138"/>
      <c r="R543">
        <v>236.15828181009371</v>
      </c>
      <c r="S543">
        <v>59.931031664497183</v>
      </c>
      <c r="T543">
        <v>249.39423541004737</v>
      </c>
      <c r="U543">
        <v>113.28757243984852</v>
      </c>
      <c r="X543">
        <v>0.82094355604839242</v>
      </c>
      <c r="Y543">
        <v>0.70632596456123098</v>
      </c>
      <c r="Z543">
        <v>0.81649024174210849</v>
      </c>
      <c r="AA543">
        <v>0.88180281141854122</v>
      </c>
      <c r="AB543">
        <v>0.7765885104185366</v>
      </c>
      <c r="AC543">
        <v>0.65318579980450198</v>
      </c>
      <c r="AD543">
        <v>0.68389799608104018</v>
      </c>
      <c r="AE543">
        <v>0.37045569162967124</v>
      </c>
      <c r="AH543">
        <v>0.17592491164496771</v>
      </c>
      <c r="AI543">
        <v>0.17699781213867249</v>
      </c>
      <c r="AJ543">
        <v>0.14366593743499112</v>
      </c>
      <c r="AK543">
        <v>0.41884991368290436</v>
      </c>
      <c r="AL543">
        <v>6.7125537675327029E-2</v>
      </c>
      <c r="AM543">
        <v>0.16759509521591021</v>
      </c>
      <c r="AN543">
        <v>6.1702567482319726E-2</v>
      </c>
      <c r="AO543">
        <v>9.1969549361948233E-2</v>
      </c>
      <c r="AR543">
        <v>9.0733217261618204E-4</v>
      </c>
      <c r="AS543">
        <v>4.6626983922983811E-3</v>
      </c>
      <c r="AT543">
        <v>0.10023960787346553</v>
      </c>
      <c r="AU543">
        <v>2.0767938375936268E-3</v>
      </c>
      <c r="AV543">
        <v>2.2103265137453088E-3</v>
      </c>
      <c r="AW543">
        <v>3.3078988690279218E-3</v>
      </c>
      <c r="AX543">
        <v>4.6494818850673081E-4</v>
      </c>
      <c r="AY543">
        <v>4.2215578997699437E-4</v>
      </c>
      <c r="BB543">
        <v>5.6943244045913555E-2</v>
      </c>
      <c r="BC543">
        <v>8.6726113152486128E-2</v>
      </c>
      <c r="BE543">
        <v>33485.953715395131</v>
      </c>
      <c r="BF543">
        <v>20.579267241451205</v>
      </c>
      <c r="BG543">
        <v>35338.366022943854</v>
      </c>
      <c r="BH543">
        <v>20.570783763811711</v>
      </c>
    </row>
    <row r="544" spans="3:60" x14ac:dyDescent="0.2">
      <c r="C544" s="138">
        <v>34022.283316568421</v>
      </c>
      <c r="D544">
        <v>21.250505826779229</v>
      </c>
      <c r="E544" s="138">
        <v>36300.766742120803</v>
      </c>
      <c r="F544" s="138">
        <v>21.249897502288302</v>
      </c>
      <c r="G544" s="138">
        <v>-2278.483425552382</v>
      </c>
      <c r="H544" s="138">
        <v>6.0832449092629304E-4</v>
      </c>
      <c r="N544" s="138"/>
      <c r="O544" s="138"/>
      <c r="P544" s="138"/>
      <c r="R544">
        <v>253.08185206576943</v>
      </c>
      <c r="S544">
        <v>70.853208242282079</v>
      </c>
      <c r="T544">
        <v>249.80895281589758</v>
      </c>
      <c r="U544">
        <v>74.211437459330526</v>
      </c>
      <c r="X544">
        <v>0.89612520966114984</v>
      </c>
      <c r="Y544">
        <v>0.74393629591701937</v>
      </c>
      <c r="Z544">
        <v>0.56289444836261338</v>
      </c>
      <c r="AA544">
        <v>0.67652585716414282</v>
      </c>
      <c r="AB544">
        <v>0.74511074914847064</v>
      </c>
      <c r="AC544">
        <v>0.8495825006097325</v>
      </c>
      <c r="AD544">
        <v>0.73522632937253862</v>
      </c>
      <c r="AE544">
        <v>0.61469496072137342</v>
      </c>
      <c r="AH544">
        <v>0.15223261705936364</v>
      </c>
      <c r="AI544">
        <v>0.17527751665747737</v>
      </c>
      <c r="AJ544">
        <v>0.27598445660164417</v>
      </c>
      <c r="AK544">
        <v>3.3310378262906948E-2</v>
      </c>
      <c r="AL544">
        <v>0.32432404302555684</v>
      </c>
      <c r="AM544">
        <v>0.31406797784151441</v>
      </c>
      <c r="AN544">
        <v>7.6816214876550104E-2</v>
      </c>
      <c r="AO544">
        <v>0.10384140483671855</v>
      </c>
      <c r="AR544">
        <v>9.1548466941782092E-4</v>
      </c>
      <c r="AS544">
        <v>4.5877944669457937E-3</v>
      </c>
      <c r="AT544">
        <v>9.9754375630702094E-2</v>
      </c>
      <c r="AU544">
        <v>1.8595036806124921E-3</v>
      </c>
      <c r="AV544">
        <v>2.1976795055854703E-3</v>
      </c>
      <c r="AW544">
        <v>3.63094278400522E-3</v>
      </c>
      <c r="AX544">
        <v>3.2101259253996135E-4</v>
      </c>
      <c r="AY544">
        <v>5.1056488577050363E-4</v>
      </c>
      <c r="BB544">
        <v>4.5424629768359932E-2</v>
      </c>
      <c r="BC544">
        <v>5.3086152128925201E-2</v>
      </c>
      <c r="BE544">
        <v>34022.283316568421</v>
      </c>
      <c r="BF544">
        <v>21.250505826779229</v>
      </c>
      <c r="BG544">
        <v>36300.766742120803</v>
      </c>
      <c r="BH544">
        <v>21.249897502288302</v>
      </c>
    </row>
    <row r="545" spans="3:60" x14ac:dyDescent="0.2">
      <c r="C545" s="138">
        <v>37418.759247031245</v>
      </c>
      <c r="D545">
        <v>21.304895135500153</v>
      </c>
      <c r="E545" s="138">
        <v>39221.577465342125</v>
      </c>
      <c r="F545" s="138">
        <v>21.284698026695175</v>
      </c>
      <c r="G545" s="138">
        <v>-1802.8182183108802</v>
      </c>
      <c r="H545" s="138">
        <v>2.0197108804978825E-2</v>
      </c>
      <c r="N545" s="138"/>
      <c r="O545" s="138"/>
      <c r="P545" s="138"/>
      <c r="R545">
        <v>402.79513855716345</v>
      </c>
      <c r="S545">
        <v>60.991373984813208</v>
      </c>
      <c r="T545">
        <v>244.10314764270979</v>
      </c>
      <c r="U545">
        <v>97.588325785468598</v>
      </c>
      <c r="X545">
        <v>0.86933112355381459</v>
      </c>
      <c r="Y545">
        <v>0.84382364046165659</v>
      </c>
      <c r="Z545">
        <v>0.63655860769935613</v>
      </c>
      <c r="AA545">
        <v>0.69309822559844947</v>
      </c>
      <c r="AB545">
        <v>0.84853004657422437</v>
      </c>
      <c r="AC545">
        <v>0.67117786942617441</v>
      </c>
      <c r="AD545">
        <v>0.79136232883327495</v>
      </c>
      <c r="AE545">
        <v>0.73702751400356492</v>
      </c>
      <c r="AH545">
        <v>0.16875347755959036</v>
      </c>
      <c r="AI545">
        <v>3.3211422665213597E-2</v>
      </c>
      <c r="AJ545">
        <v>0.25493929763894951</v>
      </c>
      <c r="AK545">
        <v>8.2973183328315381E-2</v>
      </c>
      <c r="AL545">
        <v>0.21916877390690837</v>
      </c>
      <c r="AM545">
        <v>0.14542570520625231</v>
      </c>
      <c r="AN545">
        <v>4.2400920169743839E-2</v>
      </c>
      <c r="AO545">
        <v>7.3963749677319557E-2</v>
      </c>
      <c r="AR545">
        <v>1.0451084357585572E-3</v>
      </c>
      <c r="AS545">
        <v>4.2650625943129253E-3</v>
      </c>
      <c r="AT545">
        <v>0.10123885678564037</v>
      </c>
      <c r="AU545">
        <v>1.9139376505033355E-3</v>
      </c>
      <c r="AV545">
        <v>2.2206020193342724E-3</v>
      </c>
      <c r="AW545">
        <v>3.3717130168358107E-3</v>
      </c>
      <c r="AX545">
        <v>3.2246001494794165E-4</v>
      </c>
      <c r="AY545">
        <v>3.6601594025474724E-4</v>
      </c>
      <c r="BB545">
        <v>5.3614161459869969E-2</v>
      </c>
      <c r="BC545">
        <v>3.7451810197173974E-2</v>
      </c>
      <c r="BE545">
        <v>37418.759247031245</v>
      </c>
      <c r="BF545">
        <v>21.304895135500153</v>
      </c>
      <c r="BG545">
        <v>39221.577465342125</v>
      </c>
      <c r="BH545">
        <v>21.284698026695175</v>
      </c>
    </row>
    <row r="546" spans="3:60" x14ac:dyDescent="0.2">
      <c r="C546" s="138">
        <v>31916.335314721913</v>
      </c>
      <c r="D546">
        <v>21.473970450871366</v>
      </c>
      <c r="E546" s="138">
        <v>34407.797409703402</v>
      </c>
      <c r="F546" s="138">
        <v>21.449566433554825</v>
      </c>
      <c r="G546" s="138">
        <v>-2491.4620949814889</v>
      </c>
      <c r="H546" s="138">
        <v>2.4404017316541626E-2</v>
      </c>
      <c r="N546" s="138"/>
      <c r="O546" s="138"/>
      <c r="P546" s="138"/>
      <c r="R546">
        <v>256.44576036409251</v>
      </c>
      <c r="S546">
        <v>66.018675730315024</v>
      </c>
      <c r="T546">
        <v>281.98906063118892</v>
      </c>
      <c r="U546">
        <v>77.093910998270957</v>
      </c>
      <c r="X546">
        <v>0.87859840957342727</v>
      </c>
      <c r="Y546">
        <v>0.5201618396238179</v>
      </c>
      <c r="Z546">
        <v>0.56840278323200888</v>
      </c>
      <c r="AA546">
        <v>0.67023098803942038</v>
      </c>
      <c r="AB546">
        <v>0.74476531916503708</v>
      </c>
      <c r="AC546">
        <v>0.78636176573587035</v>
      </c>
      <c r="AD546">
        <v>0.84229399017851403</v>
      </c>
      <c r="AE546">
        <v>0.7205409070026989</v>
      </c>
      <c r="AH546">
        <v>0.21881153727775404</v>
      </c>
      <c r="AI546">
        <v>5.1051650870103771E-2</v>
      </c>
      <c r="AJ546">
        <v>0.16921687131412355</v>
      </c>
      <c r="AK546">
        <v>0.28408970295855074</v>
      </c>
      <c r="AL546">
        <v>0.13200303631881505</v>
      </c>
      <c r="AM546">
        <v>4.357309927818187E-2</v>
      </c>
      <c r="AN546">
        <v>0.2282591735874806</v>
      </c>
      <c r="AO546">
        <v>0.11174918239555587</v>
      </c>
      <c r="AR546">
        <v>8.7662720698296641E-4</v>
      </c>
      <c r="AS546">
        <v>4.5287276138216148E-3</v>
      </c>
      <c r="AT546">
        <v>9.8590058945222686E-2</v>
      </c>
      <c r="AU546">
        <v>1.9951793562390549E-3</v>
      </c>
      <c r="AV546">
        <v>1.7826342488801935E-3</v>
      </c>
      <c r="AW546">
        <v>3.4929572045099277E-3</v>
      </c>
      <c r="AX546">
        <v>2.718404586788464E-4</v>
      </c>
      <c r="AY546">
        <v>5.4417306057519266E-4</v>
      </c>
      <c r="BB546">
        <v>4.379729914029331E-2</v>
      </c>
      <c r="BC546">
        <v>3.7970839869603076E-2</v>
      </c>
      <c r="BE546">
        <v>31916.335314721913</v>
      </c>
      <c r="BF546">
        <v>21.473970450871366</v>
      </c>
      <c r="BG546">
        <v>34407.797409703402</v>
      </c>
      <c r="BH546">
        <v>21.449566433554825</v>
      </c>
    </row>
    <row r="547" spans="3:60" x14ac:dyDescent="0.2">
      <c r="C547" s="138">
        <v>30886.852722939981</v>
      </c>
      <c r="D547">
        <v>21.041472255136824</v>
      </c>
      <c r="E547" s="138">
        <v>33104.86097244604</v>
      </c>
      <c r="F547" s="138">
        <v>21.016455761170693</v>
      </c>
      <c r="G547" s="138">
        <v>-2218.0082495060597</v>
      </c>
      <c r="H547" s="138">
        <v>2.5016493966131037E-2</v>
      </c>
      <c r="N547" s="138"/>
      <c r="O547" s="138"/>
      <c r="P547" s="138"/>
      <c r="R547">
        <v>262.37081165487717</v>
      </c>
      <c r="S547">
        <v>53.750098649581027</v>
      </c>
      <c r="T547">
        <v>249.99312617865951</v>
      </c>
      <c r="U547">
        <v>81.951960012931707</v>
      </c>
      <c r="X547">
        <v>0.66964437069699545</v>
      </c>
      <c r="Y547">
        <v>0.8199761818923601</v>
      </c>
      <c r="Z547">
        <v>0.76400269474582561</v>
      </c>
      <c r="AA547">
        <v>0.73379343951830633</v>
      </c>
      <c r="AB547">
        <v>0.79068640815883318</v>
      </c>
      <c r="AC547">
        <v>0.60361674019832345</v>
      </c>
      <c r="AD547">
        <v>0.80496174521631736</v>
      </c>
      <c r="AE547">
        <v>0.72325455059212207</v>
      </c>
      <c r="AH547">
        <v>0.18582210193055249</v>
      </c>
      <c r="AI547">
        <v>0.25875324584993842</v>
      </c>
      <c r="AJ547">
        <v>7.4605963937828035E-2</v>
      </c>
      <c r="AK547">
        <v>2.1397377632995873E-2</v>
      </c>
      <c r="AL547">
        <v>0.31603519304481109</v>
      </c>
      <c r="AM547">
        <v>0.16358656872645216</v>
      </c>
      <c r="AN547">
        <v>9.603594438966967E-3</v>
      </c>
      <c r="AO547">
        <v>0.1406067567226198</v>
      </c>
      <c r="AR547">
        <v>8.6498488441623909E-4</v>
      </c>
      <c r="AS547">
        <v>4.6930760752048606E-3</v>
      </c>
      <c r="AT547">
        <v>0.10206294974720098</v>
      </c>
      <c r="AU547">
        <v>2.0007383565592285E-3</v>
      </c>
      <c r="AV547">
        <v>1.8586027231361647E-3</v>
      </c>
      <c r="AW547">
        <v>3.0874659524311688E-3</v>
      </c>
      <c r="AX547">
        <v>4.1823348561254026E-4</v>
      </c>
      <c r="AY547">
        <v>4.1138132491306244E-4</v>
      </c>
      <c r="BB547">
        <v>4.7342910318148163E-2</v>
      </c>
      <c r="BC547">
        <v>4.5501913140774175E-2</v>
      </c>
      <c r="BE547">
        <v>30886.852722939981</v>
      </c>
      <c r="BF547">
        <v>21.041472255136824</v>
      </c>
      <c r="BG547">
        <v>33104.86097244604</v>
      </c>
      <c r="BH547">
        <v>21.016455761170693</v>
      </c>
    </row>
    <row r="548" spans="3:60" x14ac:dyDescent="0.2">
      <c r="C548" s="138">
        <v>30603.189521569984</v>
      </c>
      <c r="D548">
        <v>20.883165423560861</v>
      </c>
      <c r="E548" s="138">
        <v>32800.778275372744</v>
      </c>
      <c r="F548" s="138">
        <v>20.832111789591195</v>
      </c>
      <c r="G548" s="138">
        <v>-2197.58875380276</v>
      </c>
      <c r="H548" s="138">
        <v>5.1053633969665668E-2</v>
      </c>
      <c r="N548" s="138"/>
      <c r="O548" s="138"/>
      <c r="P548" s="138"/>
      <c r="R548">
        <v>226.06516337035839</v>
      </c>
      <c r="S548">
        <v>57.267644199100936</v>
      </c>
      <c r="T548">
        <v>259.13396786606313</v>
      </c>
      <c r="U548">
        <v>100.77310947847032</v>
      </c>
      <c r="X548">
        <v>0.7797541029035775</v>
      </c>
      <c r="Y548">
        <v>0.86865829353415891</v>
      </c>
      <c r="Z548">
        <v>0.93376392597835922</v>
      </c>
      <c r="AA548">
        <v>0.68466779313310355</v>
      </c>
      <c r="AB548">
        <v>0.82080853023112921</v>
      </c>
      <c r="AC548">
        <v>0.67334512790419265</v>
      </c>
      <c r="AD548">
        <v>0.68493733571295146</v>
      </c>
      <c r="AE548">
        <v>0.51798852433182474</v>
      </c>
      <c r="AH548">
        <v>3.8384380021459497E-2</v>
      </c>
      <c r="AI548">
        <v>0.15625795393380737</v>
      </c>
      <c r="AJ548">
        <v>9.5534213904862608E-2</v>
      </c>
      <c r="AK548">
        <v>9.0163517769033419E-2</v>
      </c>
      <c r="AL548">
        <v>0.14464973351062516</v>
      </c>
      <c r="AM548">
        <v>9.0283870855921156E-2</v>
      </c>
      <c r="AN548">
        <v>9.0141369089108636E-2</v>
      </c>
      <c r="AO548">
        <v>0.12708355232522961</v>
      </c>
      <c r="AR548">
        <v>8.8196614440002772E-4</v>
      </c>
      <c r="AS548">
        <v>4.4182357624516343E-3</v>
      </c>
      <c r="AT548">
        <v>0.10025358727939371</v>
      </c>
      <c r="AU548">
        <v>1.9150969655787123E-3</v>
      </c>
      <c r="AV548">
        <v>2.0885755990456278E-3</v>
      </c>
      <c r="AW548">
        <v>3.5546427616075515E-3</v>
      </c>
      <c r="AX548">
        <v>4.5425705060941901E-4</v>
      </c>
      <c r="AY548">
        <v>3.9974904955486387E-4</v>
      </c>
      <c r="BB548">
        <v>6.1031885538914921E-2</v>
      </c>
      <c r="BC548">
        <v>5.6883499091812673E-2</v>
      </c>
      <c r="BE548">
        <v>30603.189521569984</v>
      </c>
      <c r="BF548">
        <v>20.883165423560861</v>
      </c>
      <c r="BG548">
        <v>32800.778275372744</v>
      </c>
      <c r="BH548">
        <v>20.832111789591195</v>
      </c>
    </row>
    <row r="549" spans="3:60" x14ac:dyDescent="0.2">
      <c r="C549" s="138">
        <v>25142.759733172956</v>
      </c>
      <c r="D549">
        <v>19.195103088778211</v>
      </c>
      <c r="E549" s="138">
        <v>27259.983665969528</v>
      </c>
      <c r="F549" s="138">
        <v>19.116233861792118</v>
      </c>
      <c r="G549" s="138">
        <v>-2117.2239327965726</v>
      </c>
      <c r="H549" s="138">
        <v>7.8869226986093111E-2</v>
      </c>
      <c r="N549" s="138"/>
      <c r="O549" s="138"/>
      <c r="P549" s="138"/>
      <c r="R549">
        <v>187.58850082302834</v>
      </c>
      <c r="S549">
        <v>63.548739511849249</v>
      </c>
      <c r="T549">
        <v>194.3992457481252</v>
      </c>
      <c r="U549">
        <v>107.3284484774607</v>
      </c>
      <c r="X549">
        <v>0.39874875688592293</v>
      </c>
      <c r="Y549">
        <v>0.83596542419790765</v>
      </c>
      <c r="Z549">
        <v>0.72872697973397305</v>
      </c>
      <c r="AA549">
        <v>0.67272182033001782</v>
      </c>
      <c r="AB549">
        <v>0.82791084972052065</v>
      </c>
      <c r="AC549">
        <v>0.71964480523563157</v>
      </c>
      <c r="AD549">
        <v>0.84698964219965989</v>
      </c>
      <c r="AE549">
        <v>0.85054161454967414</v>
      </c>
      <c r="AH549">
        <v>0.10374733559723315</v>
      </c>
      <c r="AI549">
        <v>3.820748322846157E-2</v>
      </c>
      <c r="AJ549">
        <v>0.20140024266770051</v>
      </c>
      <c r="AK549">
        <v>8.5690578153762242E-2</v>
      </c>
      <c r="AL549">
        <v>6.1823469496139039E-2</v>
      </c>
      <c r="AM549">
        <v>8.08312183722808E-2</v>
      </c>
      <c r="AN549">
        <v>7.4828877481335931E-2</v>
      </c>
      <c r="AO549">
        <v>7.9235799223601799E-2</v>
      </c>
      <c r="AR549">
        <v>8.8791137243660057E-4</v>
      </c>
      <c r="AS549">
        <v>4.5492146156054236E-3</v>
      </c>
      <c r="AT549">
        <v>0.10166337135976367</v>
      </c>
      <c r="AU549">
        <v>2.0711218352471583E-3</v>
      </c>
      <c r="AV549">
        <v>2.3061600218523548E-3</v>
      </c>
      <c r="AW549">
        <v>3.1398084011869808E-3</v>
      </c>
      <c r="AX549">
        <v>4.0483626452736399E-4</v>
      </c>
      <c r="AY549">
        <v>5.5557417726748159E-4</v>
      </c>
      <c r="BB549">
        <v>4.8583040263266687E-2</v>
      </c>
      <c r="BC549">
        <v>1.8101978374403107E-2</v>
      </c>
      <c r="BE549">
        <v>25142.759733172956</v>
      </c>
      <c r="BF549">
        <v>19.195103088778211</v>
      </c>
      <c r="BG549">
        <v>27259.983665969528</v>
      </c>
      <c r="BH549">
        <v>19.116233861792118</v>
      </c>
    </row>
    <row r="550" spans="3:60" x14ac:dyDescent="0.2">
      <c r="C550" s="138">
        <v>27844.597868472993</v>
      </c>
      <c r="D550">
        <v>20.952913013636454</v>
      </c>
      <c r="E550" s="138">
        <v>29690.597715913318</v>
      </c>
      <c r="F550" s="138">
        <v>20.947854167610998</v>
      </c>
      <c r="G550" s="138">
        <v>-1845.9998474403255</v>
      </c>
      <c r="H550" s="138">
        <v>5.0588460254559209E-3</v>
      </c>
      <c r="N550" s="138"/>
      <c r="O550" s="138"/>
      <c r="P550" s="138"/>
      <c r="R550">
        <v>75.591155337757442</v>
      </c>
      <c r="S550">
        <v>68.726396952508679</v>
      </c>
      <c r="T550">
        <v>252.07175721000607</v>
      </c>
      <c r="U550">
        <v>94.64583207441251</v>
      </c>
      <c r="X550">
        <v>0.79815831200739629</v>
      </c>
      <c r="Y550">
        <v>0.84725032740919592</v>
      </c>
      <c r="Z550">
        <v>0.76960380126119676</v>
      </c>
      <c r="AA550">
        <v>0.81082873040965064</v>
      </c>
      <c r="AB550">
        <v>0.80918631164355692</v>
      </c>
      <c r="AC550">
        <v>0.72967793786580004</v>
      </c>
      <c r="AD550">
        <v>0.78505233838556809</v>
      </c>
      <c r="AE550">
        <v>0.87709503239145825</v>
      </c>
      <c r="AH550">
        <v>5.8546217921137789E-2</v>
      </c>
      <c r="AI550">
        <v>8.8489192172518938E-2</v>
      </c>
      <c r="AJ550">
        <v>2.5524954617139439E-2</v>
      </c>
      <c r="AK550">
        <v>0.32163798291786705</v>
      </c>
      <c r="AL550">
        <v>7.0735004693439185E-2</v>
      </c>
      <c r="AM550">
        <v>0.16461412636889705</v>
      </c>
      <c r="AN550">
        <v>0.17161306598193971</v>
      </c>
      <c r="AO550">
        <v>8.9298006417367626E-2</v>
      </c>
      <c r="AR550">
        <v>8.1407365804073476E-4</v>
      </c>
      <c r="AS550">
        <v>4.5584273199330561E-3</v>
      </c>
      <c r="AT550">
        <v>9.9844886042134581E-2</v>
      </c>
      <c r="AU550">
        <v>1.9504361580827433E-3</v>
      </c>
      <c r="AV550">
        <v>2.1313240607611084E-3</v>
      </c>
      <c r="AW550">
        <v>3.0914514823039171E-3</v>
      </c>
      <c r="AX550">
        <v>3.3995285283180287E-4</v>
      </c>
      <c r="AY550">
        <v>4.1947715586876535E-4</v>
      </c>
      <c r="BB550">
        <v>5.789295238690173E-2</v>
      </c>
      <c r="BC550">
        <v>1.9454474938150206E-2</v>
      </c>
      <c r="BE550">
        <v>27844.597868472993</v>
      </c>
      <c r="BF550">
        <v>20.952913013636454</v>
      </c>
      <c r="BG550">
        <v>29690.597715913318</v>
      </c>
      <c r="BH550">
        <v>20.947854167610998</v>
      </c>
    </row>
    <row r="551" spans="3:60" x14ac:dyDescent="0.2">
      <c r="C551" s="138">
        <v>29272.875779809201</v>
      </c>
      <c r="D551">
        <v>21.32744982547889</v>
      </c>
      <c r="E551" s="138">
        <v>31289.257504282035</v>
      </c>
      <c r="F551" s="138">
        <v>21.290579908777314</v>
      </c>
      <c r="G551" s="138">
        <v>-2016.3817244728343</v>
      </c>
      <c r="H551" s="138">
        <v>3.6869916701576244E-2</v>
      </c>
      <c r="N551" s="138"/>
      <c r="O551" s="138"/>
      <c r="P551" s="138"/>
      <c r="R551">
        <v>349.23885010085706</v>
      </c>
      <c r="S551">
        <v>67.138967929764846</v>
      </c>
      <c r="T551">
        <v>259.62463686821428</v>
      </c>
      <c r="U551">
        <v>85.577701359613684</v>
      </c>
      <c r="X551">
        <v>0.90755558299952988</v>
      </c>
      <c r="Y551">
        <v>0.61739336042802051</v>
      </c>
      <c r="Z551">
        <v>0.83734727612612492</v>
      </c>
      <c r="AA551">
        <v>0.78048999776814787</v>
      </c>
      <c r="AB551">
        <v>0.73605408032888575</v>
      </c>
      <c r="AC551">
        <v>0.64218514621980971</v>
      </c>
      <c r="AD551">
        <v>0.70766075918367966</v>
      </c>
      <c r="AE551">
        <v>0.68271112972591186</v>
      </c>
      <c r="AH551">
        <v>0.16455696845882506</v>
      </c>
      <c r="AI551">
        <v>7.9556682627107245E-2</v>
      </c>
      <c r="AJ551">
        <v>0.21216507792907846</v>
      </c>
      <c r="AK551">
        <v>0.1437631835715304</v>
      </c>
      <c r="AL551">
        <v>0.17112475200015254</v>
      </c>
      <c r="AM551">
        <v>5.0480010236983119E-2</v>
      </c>
      <c r="AN551">
        <v>0.23375744902129814</v>
      </c>
      <c r="AO551">
        <v>0.14710724665799069</v>
      </c>
      <c r="AR551">
        <v>9.7705731894948133E-4</v>
      </c>
      <c r="AS551">
        <v>4.6168689062752177E-3</v>
      </c>
      <c r="AT551">
        <v>0.10039613072747144</v>
      </c>
      <c r="AU551">
        <v>1.9653196866175225E-3</v>
      </c>
      <c r="AV551">
        <v>2.0819791762897166E-3</v>
      </c>
      <c r="AW551">
        <v>3.6414966535059934E-3</v>
      </c>
      <c r="AX551">
        <v>4.7929217472142405E-4</v>
      </c>
      <c r="AY551">
        <v>3.1271053010655458E-4</v>
      </c>
      <c r="BB551">
        <v>5.3798058757547951E-2</v>
      </c>
      <c r="BC551">
        <v>4.1134555619488568E-2</v>
      </c>
      <c r="BE551">
        <v>29272.875779809201</v>
      </c>
      <c r="BF551">
        <v>21.32744982547889</v>
      </c>
      <c r="BG551">
        <v>31289.257504282035</v>
      </c>
      <c r="BH551">
        <v>21.290579908777314</v>
      </c>
    </row>
    <row r="552" spans="3:60" x14ac:dyDescent="0.2">
      <c r="C552" s="138">
        <v>29287.33674071822</v>
      </c>
      <c r="D552">
        <v>19.858450588726402</v>
      </c>
      <c r="E552" s="138">
        <v>31517.757786632596</v>
      </c>
      <c r="F552" s="138">
        <v>19.786886439715893</v>
      </c>
      <c r="G552" s="138">
        <v>-2230.421045914376</v>
      </c>
      <c r="H552" s="138">
        <v>7.1564149010509226E-2</v>
      </c>
      <c r="N552" s="138"/>
      <c r="O552" s="138"/>
      <c r="P552" s="138"/>
      <c r="R552">
        <v>282.34782288329944</v>
      </c>
      <c r="S552">
        <v>63.599843230227755</v>
      </c>
      <c r="T552">
        <v>244.2615554353718</v>
      </c>
      <c r="U552">
        <v>90.884214465752606</v>
      </c>
      <c r="X552">
        <v>0.70206982621539504</v>
      </c>
      <c r="Y552">
        <v>0.79641386319092333</v>
      </c>
      <c r="Z552">
        <v>0.66163977163804888</v>
      </c>
      <c r="AA552">
        <v>0.66330062292717218</v>
      </c>
      <c r="AB552">
        <v>0.79640173381940493</v>
      </c>
      <c r="AC552">
        <v>0.85100943554181896</v>
      </c>
      <c r="AD552">
        <v>0.89420025050125163</v>
      </c>
      <c r="AE552">
        <v>0.80384318275414424</v>
      </c>
      <c r="AH552">
        <v>0.1007303214148072</v>
      </c>
      <c r="AI552">
        <v>7.7049450056664082E-2</v>
      </c>
      <c r="AJ552">
        <v>5.255378985498349E-2</v>
      </c>
      <c r="AK552">
        <v>0.226332139444964</v>
      </c>
      <c r="AL552">
        <v>0.16410782221158093</v>
      </c>
      <c r="AM552">
        <v>0.11028593572012602</v>
      </c>
      <c r="AN552">
        <v>0.14398897961937851</v>
      </c>
      <c r="AO552">
        <v>2.5607033090502496E-2</v>
      </c>
      <c r="AR552">
        <v>1.0007385138888214E-3</v>
      </c>
      <c r="AS552">
        <v>4.4379538277839305E-3</v>
      </c>
      <c r="AT552">
        <v>0.10095697985425367</v>
      </c>
      <c r="AU552">
        <v>1.891286898001224E-3</v>
      </c>
      <c r="AV552">
        <v>1.9654711273344181E-3</v>
      </c>
      <c r="AW552">
        <v>3.4583335483333588E-3</v>
      </c>
      <c r="AX552">
        <v>3.7899619368107225E-4</v>
      </c>
      <c r="AY552">
        <v>4.0204587180208844E-4</v>
      </c>
      <c r="BB552">
        <v>5.7404779141540296E-2</v>
      </c>
      <c r="BC552">
        <v>3.4579866693124156E-2</v>
      </c>
      <c r="BE552">
        <v>29287.33674071822</v>
      </c>
      <c r="BF552">
        <v>19.858450588726402</v>
      </c>
      <c r="BG552">
        <v>31517.757786632596</v>
      </c>
      <c r="BH552">
        <v>19.786886439715893</v>
      </c>
    </row>
    <row r="553" spans="3:60" x14ac:dyDescent="0.2">
      <c r="C553" s="138">
        <v>30347.06762947232</v>
      </c>
      <c r="D553">
        <v>21.390306885812144</v>
      </c>
      <c r="E553" s="138">
        <v>32896.732765676708</v>
      </c>
      <c r="F553" s="138">
        <v>21.37489288765169</v>
      </c>
      <c r="G553" s="138">
        <v>-2549.6651362043885</v>
      </c>
      <c r="H553" s="138">
        <v>1.5413998160454412E-2</v>
      </c>
      <c r="N553" s="138"/>
      <c r="O553" s="138"/>
      <c r="P553" s="138"/>
      <c r="R553">
        <v>208.04210979661391</v>
      </c>
      <c r="S553">
        <v>55.697731658247775</v>
      </c>
      <c r="T553">
        <v>238.23461083791659</v>
      </c>
      <c r="U553">
        <v>118.98006820275238</v>
      </c>
      <c r="X553">
        <v>0.76021657554820976</v>
      </c>
      <c r="Y553">
        <v>0.81716077906930829</v>
      </c>
      <c r="Z553">
        <v>0.6911624006739453</v>
      </c>
      <c r="AA553">
        <v>0.71424355024951192</v>
      </c>
      <c r="AB553">
        <v>0.86579948733545231</v>
      </c>
      <c r="AC553">
        <v>0.88129281121781111</v>
      </c>
      <c r="AD553">
        <v>0.76608896487779921</v>
      </c>
      <c r="AE553">
        <v>0.6382582016459516</v>
      </c>
      <c r="AH553">
        <v>0.31972381216008638</v>
      </c>
      <c r="AI553">
        <v>0.19916543941766374</v>
      </c>
      <c r="AJ553">
        <v>9.963931798047565E-2</v>
      </c>
      <c r="AK553">
        <v>6.3394245184417497E-2</v>
      </c>
      <c r="AL553">
        <v>0.21730631178444493</v>
      </c>
      <c r="AM553">
        <v>6.5225600529995487E-2</v>
      </c>
      <c r="AN553">
        <v>0.2162415282640785</v>
      </c>
      <c r="AO553">
        <v>0.10874582154755263</v>
      </c>
      <c r="AR553">
        <v>9.5944766418354366E-4</v>
      </c>
      <c r="AS553">
        <v>4.5602064388321484E-3</v>
      </c>
      <c r="AT553">
        <v>0.10041310766740053</v>
      </c>
      <c r="AU553">
        <v>1.903275410886953E-3</v>
      </c>
      <c r="AV553">
        <v>2.132080401519354E-3</v>
      </c>
      <c r="AW553">
        <v>3.452582515868774E-3</v>
      </c>
      <c r="AX553">
        <v>4.6387857889362838E-4</v>
      </c>
      <c r="AY553">
        <v>4.8984885899283626E-4</v>
      </c>
      <c r="BB553">
        <v>4.7621629889920469E-2</v>
      </c>
      <c r="BC553">
        <v>5.341419882433629E-2</v>
      </c>
      <c r="BE553">
        <v>30347.06762947232</v>
      </c>
      <c r="BF553">
        <v>21.390306885812144</v>
      </c>
      <c r="BG553">
        <v>32896.732765676708</v>
      </c>
      <c r="BH553">
        <v>21.37489288765169</v>
      </c>
    </row>
    <row r="554" spans="3:60" x14ac:dyDescent="0.2">
      <c r="C554" s="138">
        <v>31063.512173681869</v>
      </c>
      <c r="D554">
        <v>21.186335706576575</v>
      </c>
      <c r="E554" s="138">
        <v>33494.386249550182</v>
      </c>
      <c r="F554" s="138">
        <v>21.166018059484738</v>
      </c>
      <c r="G554" s="138">
        <v>-2430.8740758683125</v>
      </c>
      <c r="H554" s="138">
        <v>2.0317647091836477E-2</v>
      </c>
      <c r="N554" s="138"/>
      <c r="O554" s="138"/>
      <c r="P554" s="138"/>
      <c r="R554">
        <v>328.90188574931278</v>
      </c>
      <c r="S554">
        <v>57.322571825521521</v>
      </c>
      <c r="T554">
        <v>219.69504915413481</v>
      </c>
      <c r="U554">
        <v>108.9580570558482</v>
      </c>
      <c r="X554">
        <v>0.66487855420205366</v>
      </c>
      <c r="Y554">
        <v>0.9503660853970235</v>
      </c>
      <c r="Z554">
        <v>0.52659695732282896</v>
      </c>
      <c r="AA554">
        <v>0.70300957112414708</v>
      </c>
      <c r="AB554">
        <v>0.72559732368722296</v>
      </c>
      <c r="AC554">
        <v>0.69929913424406265</v>
      </c>
      <c r="AD554">
        <v>0.90621312836133106</v>
      </c>
      <c r="AE554">
        <v>0.88007559063978313</v>
      </c>
      <c r="AH554">
        <v>0.16596495679881862</v>
      </c>
      <c r="AI554">
        <v>0.13570315292349477</v>
      </c>
      <c r="AJ554">
        <v>0.10114496689152552</v>
      </c>
      <c r="AK554">
        <v>0.1813833400588033</v>
      </c>
      <c r="AL554">
        <v>0.15411431423478139</v>
      </c>
      <c r="AM554">
        <v>5.1865833887699164E-2</v>
      </c>
      <c r="AN554">
        <v>0.10322708602870589</v>
      </c>
      <c r="AO554">
        <v>0.18832594501392486</v>
      </c>
      <c r="AR554">
        <v>8.6223357546723334E-4</v>
      </c>
      <c r="AS554">
        <v>4.7458182346798994E-3</v>
      </c>
      <c r="AT554">
        <v>0.10110356081970573</v>
      </c>
      <c r="AU554">
        <v>1.746962451303208E-3</v>
      </c>
      <c r="AV554">
        <v>1.8771080404910963E-3</v>
      </c>
      <c r="AW554">
        <v>3.4688995164029457E-3</v>
      </c>
      <c r="AX554">
        <v>4.3030376891328714E-4</v>
      </c>
      <c r="AY554">
        <v>3.7065927048346149E-4</v>
      </c>
      <c r="BB554">
        <v>4.7682427033118736E-2</v>
      </c>
      <c r="BC554">
        <v>5.9228419022635093E-2</v>
      </c>
      <c r="BE554">
        <v>31063.512173681869</v>
      </c>
      <c r="BF554">
        <v>21.186335706576575</v>
      </c>
      <c r="BG554">
        <v>33494.386249550182</v>
      </c>
      <c r="BH554">
        <v>21.166018059484738</v>
      </c>
    </row>
    <row r="555" spans="3:60" x14ac:dyDescent="0.2">
      <c r="C555" s="138">
        <v>31799.553551786466</v>
      </c>
      <c r="D555">
        <v>21.464247528740213</v>
      </c>
      <c r="E555" s="138">
        <v>33606.489307674849</v>
      </c>
      <c r="F555" s="138">
        <v>21.440466280538978</v>
      </c>
      <c r="G555" s="138">
        <v>-1806.9357558883821</v>
      </c>
      <c r="H555" s="138">
        <v>2.3781248201235172E-2</v>
      </c>
      <c r="N555" s="138"/>
      <c r="O555" s="138"/>
      <c r="P555" s="138"/>
      <c r="R555">
        <v>228.97450471539699</v>
      </c>
      <c r="S555">
        <v>62.176406274042549</v>
      </c>
      <c r="T555">
        <v>275.76799303862617</v>
      </c>
      <c r="U555">
        <v>100.94687595641528</v>
      </c>
      <c r="X555">
        <v>0.67023659458412033</v>
      </c>
      <c r="Y555">
        <v>0.9198320210342934</v>
      </c>
      <c r="Z555">
        <v>0.54518339244905178</v>
      </c>
      <c r="AA555">
        <v>0.59734596071377477</v>
      </c>
      <c r="AB555">
        <v>0.82579261137841464</v>
      </c>
      <c r="AC555">
        <v>0.73101853239033432</v>
      </c>
      <c r="AD555">
        <v>0.67676697723956958</v>
      </c>
      <c r="AE555">
        <v>0.94255327852217829</v>
      </c>
      <c r="AH555">
        <v>2.1491870319118256E-2</v>
      </c>
      <c r="AI555">
        <v>0.35178108320576351</v>
      </c>
      <c r="AJ555">
        <v>4.8773298072089855E-2</v>
      </c>
      <c r="AK555">
        <v>0.10860806242780929</v>
      </c>
      <c r="AL555">
        <v>2.1485568339048022E-2</v>
      </c>
      <c r="AM555">
        <v>4.2555679912174016E-3</v>
      </c>
      <c r="AN555">
        <v>4.1963199643071047E-2</v>
      </c>
      <c r="AO555">
        <v>9.7423995115471618E-2</v>
      </c>
      <c r="AR555">
        <v>8.728252169902678E-4</v>
      </c>
      <c r="AS555">
        <v>4.4524348516288316E-3</v>
      </c>
      <c r="AT555">
        <v>9.8637365821084053E-2</v>
      </c>
      <c r="AU555">
        <v>2.0020385291444898E-3</v>
      </c>
      <c r="AV555">
        <v>1.909187416263928E-3</v>
      </c>
      <c r="AW555">
        <v>3.7909935522367766E-3</v>
      </c>
      <c r="AX555">
        <v>2.7716593739693471E-4</v>
      </c>
      <c r="AY555">
        <v>4.4881439218835695E-4</v>
      </c>
      <c r="BB555">
        <v>5.5994680549796727E-2</v>
      </c>
      <c r="BC555">
        <v>5.5630859216559303E-2</v>
      </c>
      <c r="BE555">
        <v>31799.553551786466</v>
      </c>
      <c r="BF555">
        <v>21.464247528740213</v>
      </c>
      <c r="BG555">
        <v>33606.489307674849</v>
      </c>
      <c r="BH555">
        <v>21.440466280538978</v>
      </c>
    </row>
    <row r="556" spans="3:60" x14ac:dyDescent="0.2">
      <c r="C556" s="138">
        <v>31140.918232782835</v>
      </c>
      <c r="D556">
        <v>20.927316272295954</v>
      </c>
      <c r="E556" s="138">
        <v>33147.595571626793</v>
      </c>
      <c r="F556" s="138">
        <v>20.889787001611271</v>
      </c>
      <c r="G556" s="138">
        <v>-2006.6773388439578</v>
      </c>
      <c r="H556" s="138">
        <v>3.7529270684682814E-2</v>
      </c>
      <c r="N556" s="138"/>
      <c r="O556" s="138"/>
      <c r="P556" s="138"/>
      <c r="R556">
        <v>174.05429435085705</v>
      </c>
      <c r="S556">
        <v>65.095121813534064</v>
      </c>
      <c r="T556">
        <v>232.98803083990691</v>
      </c>
      <c r="U556">
        <v>83.683835546319713</v>
      </c>
      <c r="X556">
        <v>0.60609696050399098</v>
      </c>
      <c r="Y556">
        <v>0.69595124536125341</v>
      </c>
      <c r="Z556">
        <v>0.8743070187538835</v>
      </c>
      <c r="AA556">
        <v>0.57767996176225944</v>
      </c>
      <c r="AB556">
        <v>0.80717724753257247</v>
      </c>
      <c r="AC556">
        <v>0.83013557104870761</v>
      </c>
      <c r="AD556">
        <v>0.57989900601143496</v>
      </c>
      <c r="AE556">
        <v>0.74630390477153374</v>
      </c>
      <c r="AH556">
        <v>0.12033508269730608</v>
      </c>
      <c r="AI556">
        <v>4.0879723756440445E-2</v>
      </c>
      <c r="AJ556">
        <v>0.21090312036446157</v>
      </c>
      <c r="AK556">
        <v>0.11909647668636048</v>
      </c>
      <c r="AL556">
        <v>0.2079074801496883</v>
      </c>
      <c r="AM556">
        <v>4.3898255035042522E-2</v>
      </c>
      <c r="AN556">
        <v>4.2155012195423502E-2</v>
      </c>
      <c r="AO556">
        <v>7.9299193265800927E-2</v>
      </c>
      <c r="AR556">
        <v>9.2221480418952506E-4</v>
      </c>
      <c r="AS556">
        <v>4.296550522125046E-3</v>
      </c>
      <c r="AT556">
        <v>9.8795232910785818E-2</v>
      </c>
      <c r="AU556">
        <v>1.9313748967680225E-3</v>
      </c>
      <c r="AV556">
        <v>1.9787734521767523E-3</v>
      </c>
      <c r="AW556">
        <v>3.2993143277696246E-3</v>
      </c>
      <c r="AX556">
        <v>3.4866286135874574E-4</v>
      </c>
      <c r="AY556">
        <v>4.601156036453391E-4</v>
      </c>
      <c r="BB556">
        <v>5.847290848341602E-2</v>
      </c>
      <c r="BC556">
        <v>3.0826438739122688E-2</v>
      </c>
      <c r="BE556">
        <v>31140.918232782835</v>
      </c>
      <c r="BF556">
        <v>20.927316272295954</v>
      </c>
      <c r="BG556">
        <v>33147.595571626793</v>
      </c>
      <c r="BH556">
        <v>20.889787001611271</v>
      </c>
    </row>
    <row r="557" spans="3:60" x14ac:dyDescent="0.2">
      <c r="C557" s="138">
        <v>24944.491877863165</v>
      </c>
      <c r="D557">
        <v>21.763156683182434</v>
      </c>
      <c r="E557" s="138">
        <v>26633.747789506378</v>
      </c>
      <c r="F557" s="138">
        <v>21.805394529237645</v>
      </c>
      <c r="G557" s="138">
        <v>-1689.255911643213</v>
      </c>
      <c r="H557" s="138">
        <v>-4.2237846055211747E-2</v>
      </c>
      <c r="N557" s="138"/>
      <c r="O557" s="138"/>
      <c r="P557" s="138"/>
      <c r="R557">
        <v>188.28261780802961</v>
      </c>
      <c r="S557">
        <v>74.388156787562622</v>
      </c>
      <c r="T557">
        <v>282.8996172845458</v>
      </c>
      <c r="U557">
        <v>107.30042205226347</v>
      </c>
      <c r="X557">
        <v>0.84427008998326303</v>
      </c>
      <c r="Y557">
        <v>0.91208424503062258</v>
      </c>
      <c r="Z557">
        <v>0.80070965138497319</v>
      </c>
      <c r="AA557">
        <v>0.79569512123853436</v>
      </c>
      <c r="AB557">
        <v>0.81862284103028571</v>
      </c>
      <c r="AC557">
        <v>0.80737992652721147</v>
      </c>
      <c r="AD557">
        <v>0.86120998591767306</v>
      </c>
      <c r="AE557">
        <v>0.90245610259805575</v>
      </c>
      <c r="AH557">
        <v>8.3378663277765996E-2</v>
      </c>
      <c r="AI557">
        <v>0.13151843057381396</v>
      </c>
      <c r="AJ557">
        <v>8.2685795983252985E-2</v>
      </c>
      <c r="AK557">
        <v>0.10137260237804591</v>
      </c>
      <c r="AL557">
        <v>0.20846196648355819</v>
      </c>
      <c r="AM557">
        <v>0.12190563953549338</v>
      </c>
      <c r="AN557">
        <v>0.19555329863616533</v>
      </c>
      <c r="AO557">
        <v>8.7013489202682481E-2</v>
      </c>
      <c r="AR557">
        <v>7.6568134255181324E-4</v>
      </c>
      <c r="AS557">
        <v>4.40545266422531E-3</v>
      </c>
      <c r="AT557">
        <v>9.9231668093101438E-2</v>
      </c>
      <c r="AU557">
        <v>1.9193872647751387E-3</v>
      </c>
      <c r="AV557">
        <v>2.1941697851732833E-3</v>
      </c>
      <c r="AW557">
        <v>3.1797701262653152E-3</v>
      </c>
      <c r="AX557">
        <v>4.1656885539331778E-4</v>
      </c>
      <c r="AY557">
        <v>4.7295165696636943E-4</v>
      </c>
      <c r="BB557">
        <v>4.536284696185644E-2</v>
      </c>
      <c r="BC557">
        <v>5.0914759672626597E-2</v>
      </c>
      <c r="BE557">
        <v>24944.491877863165</v>
      </c>
      <c r="BF557">
        <v>21.763156683182434</v>
      </c>
      <c r="BG557">
        <v>26633.747789506378</v>
      </c>
      <c r="BH557">
        <v>21.805394529237645</v>
      </c>
    </row>
    <row r="558" spans="3:60" x14ac:dyDescent="0.2">
      <c r="C558" s="138">
        <v>33337.678239594279</v>
      </c>
      <c r="D558">
        <v>20.333545150262296</v>
      </c>
      <c r="E558" s="138">
        <v>35503.091612315802</v>
      </c>
      <c r="F558" s="138">
        <v>20.302313485913768</v>
      </c>
      <c r="G558" s="138">
        <v>-2165.413372721523</v>
      </c>
      <c r="H558" s="138">
        <v>3.1231664348528199E-2</v>
      </c>
      <c r="N558" s="138"/>
      <c r="O558" s="138"/>
      <c r="P558" s="138"/>
      <c r="R558">
        <v>265.96527201457661</v>
      </c>
      <c r="S558">
        <v>61.257490778553937</v>
      </c>
      <c r="T558">
        <v>252.47344384474587</v>
      </c>
      <c r="U558">
        <v>98.62611178944708</v>
      </c>
      <c r="X558">
        <v>0.65874942138150339</v>
      </c>
      <c r="Y558">
        <v>0.75803814836144856</v>
      </c>
      <c r="Z558">
        <v>0.91544155947546124</v>
      </c>
      <c r="AA558">
        <v>0.62147263059560165</v>
      </c>
      <c r="AB558">
        <v>0.85414190242275201</v>
      </c>
      <c r="AC558">
        <v>0.81687071468377781</v>
      </c>
      <c r="AD558">
        <v>0.91980979019063847</v>
      </c>
      <c r="AE558">
        <v>0.88957326538759018</v>
      </c>
      <c r="AH558">
        <v>9.0742643855801552E-2</v>
      </c>
      <c r="AI558">
        <v>5.7773979567028233E-2</v>
      </c>
      <c r="AJ558">
        <v>0.21466346766668443</v>
      </c>
      <c r="AK558">
        <v>0.20701205491350205</v>
      </c>
      <c r="AL558">
        <v>0.24261878984064034</v>
      </c>
      <c r="AM558">
        <v>0.13223332945560229</v>
      </c>
      <c r="AN558">
        <v>0.18410988867097089</v>
      </c>
      <c r="AO558">
        <v>0.10178736058173377</v>
      </c>
      <c r="AR558">
        <v>8.9321946432119326E-4</v>
      </c>
      <c r="AS558">
        <v>4.3161216072867209E-3</v>
      </c>
      <c r="AT558">
        <v>9.9428473322279012E-2</v>
      </c>
      <c r="AU558">
        <v>1.9113694006048533E-3</v>
      </c>
      <c r="AV558">
        <v>1.904212665083078E-3</v>
      </c>
      <c r="AW558">
        <v>3.3713956671472256E-3</v>
      </c>
      <c r="AX558">
        <v>4.3330314201417419E-4</v>
      </c>
      <c r="AY558">
        <v>4.3449271890759722E-4</v>
      </c>
      <c r="BB558">
        <v>4.6965599912910196E-2</v>
      </c>
      <c r="BC558">
        <v>0.16063038234299676</v>
      </c>
      <c r="BE558">
        <v>33337.678239594279</v>
      </c>
      <c r="BF558">
        <v>20.333545150262296</v>
      </c>
      <c r="BG558">
        <v>35503.091612315802</v>
      </c>
      <c r="BH558">
        <v>20.302313485913768</v>
      </c>
    </row>
    <row r="559" spans="3:60" x14ac:dyDescent="0.2">
      <c r="C559" s="138">
        <v>31092.810980699836</v>
      </c>
      <c r="D559">
        <v>20.822544954995603</v>
      </c>
      <c r="E559" s="138">
        <v>33246.505680071161</v>
      </c>
      <c r="F559" s="138">
        <v>20.794133779312702</v>
      </c>
      <c r="G559" s="138">
        <v>-2153.6946993713245</v>
      </c>
      <c r="H559" s="138">
        <v>2.8411175682901302E-2</v>
      </c>
      <c r="N559" s="138"/>
      <c r="O559" s="138"/>
      <c r="P559" s="138"/>
      <c r="R559">
        <v>-41.40054743871184</v>
      </c>
      <c r="S559">
        <v>57.427682220023634</v>
      </c>
      <c r="T559">
        <v>227.14713823930626</v>
      </c>
      <c r="U559">
        <v>102.85638095553473</v>
      </c>
      <c r="X559">
        <v>0.84830654519133231</v>
      </c>
      <c r="Y559">
        <v>0.87841642371425244</v>
      </c>
      <c r="Z559">
        <v>0.7088834037394145</v>
      </c>
      <c r="AA559">
        <v>0.78399632727668678</v>
      </c>
      <c r="AB559">
        <v>0.53774972199023974</v>
      </c>
      <c r="AC559">
        <v>0.76120211713286989</v>
      </c>
      <c r="AD559">
        <v>0.6930379603237532</v>
      </c>
      <c r="AE559">
        <v>0.77833224321019301</v>
      </c>
      <c r="AH559">
        <v>4.820365488067746E-2</v>
      </c>
      <c r="AI559">
        <v>0.12735016374741082</v>
      </c>
      <c r="AJ559">
        <v>0.31976876485183137</v>
      </c>
      <c r="AK559">
        <v>0.12239001444782205</v>
      </c>
      <c r="AL559">
        <v>8.1749983760461387E-2</v>
      </c>
      <c r="AM559">
        <v>0.13705436623030465</v>
      </c>
      <c r="AN559">
        <v>6.5932547254153651E-2</v>
      </c>
      <c r="AO559">
        <v>6.9351143584508557E-2</v>
      </c>
      <c r="AR559">
        <v>8.9526096371850272E-4</v>
      </c>
      <c r="AS559">
        <v>4.2971529153670359E-3</v>
      </c>
      <c r="AT559">
        <v>0.10013233453051662</v>
      </c>
      <c r="AU559">
        <v>2.2153728304156184E-3</v>
      </c>
      <c r="AV559">
        <v>1.8500967622805118E-3</v>
      </c>
      <c r="AW559">
        <v>3.377750625368619E-3</v>
      </c>
      <c r="AX559">
        <v>3.9381298165685753E-4</v>
      </c>
      <c r="AY559">
        <v>5.5729168389717643E-4</v>
      </c>
      <c r="BB559">
        <v>5.2460129194566996E-2</v>
      </c>
      <c r="BC559">
        <v>1.8872097110123807E-2</v>
      </c>
      <c r="BE559">
        <v>31092.810980699836</v>
      </c>
      <c r="BF559">
        <v>20.822544954995603</v>
      </c>
      <c r="BG559">
        <v>33246.505680071161</v>
      </c>
      <c r="BH559">
        <v>20.794133779312702</v>
      </c>
    </row>
    <row r="560" spans="3:60" x14ac:dyDescent="0.2">
      <c r="C560" s="138">
        <v>32353.208471417649</v>
      </c>
      <c r="D560">
        <v>21.169801873222507</v>
      </c>
      <c r="E560" s="138">
        <v>34558.661815292282</v>
      </c>
      <c r="F560" s="138">
        <v>21.159205314654137</v>
      </c>
      <c r="G560" s="138">
        <v>-2205.453343874633</v>
      </c>
      <c r="H560" s="138">
        <v>1.0596558568369829E-2</v>
      </c>
      <c r="N560" s="138"/>
      <c r="O560" s="138"/>
      <c r="P560" s="138"/>
      <c r="R560">
        <v>163.4306619962374</v>
      </c>
      <c r="S560">
        <v>64.98004105812457</v>
      </c>
      <c r="T560">
        <v>266.38465773483881</v>
      </c>
      <c r="U560">
        <v>99.729714234163026</v>
      </c>
      <c r="X560">
        <v>0.82874291882717055</v>
      </c>
      <c r="Y560">
        <v>0.87793840189303518</v>
      </c>
      <c r="Z560">
        <v>0.76052018986592451</v>
      </c>
      <c r="AA560">
        <v>0.83213319260482077</v>
      </c>
      <c r="AB560">
        <v>0.76747784592559554</v>
      </c>
      <c r="AC560">
        <v>0.41629919702085433</v>
      </c>
      <c r="AD560">
        <v>0.79701572559796841</v>
      </c>
      <c r="AE560">
        <v>0.66385288717267232</v>
      </c>
      <c r="AH560">
        <v>0.10703533252917252</v>
      </c>
      <c r="AI560">
        <v>8.7795760678760826E-2</v>
      </c>
      <c r="AJ560">
        <v>0.12135432070508445</v>
      </c>
      <c r="AK560">
        <v>0.24240407901822614</v>
      </c>
      <c r="AL560">
        <v>4.9745742057481168E-2</v>
      </c>
      <c r="AM560">
        <v>0.3107510529744465</v>
      </c>
      <c r="AN560">
        <v>0.15246489887744308</v>
      </c>
      <c r="AO560">
        <v>4.1063343598622293E-2</v>
      </c>
      <c r="AR560">
        <v>8.1412421558630179E-4</v>
      </c>
      <c r="AS560">
        <v>4.4038634744695852E-3</v>
      </c>
      <c r="AT560">
        <v>0.10053781761500191</v>
      </c>
      <c r="AU560">
        <v>2.0962294292400374E-3</v>
      </c>
      <c r="AV560">
        <v>2.0399420205740038E-3</v>
      </c>
      <c r="AW560">
        <v>3.5356253495433254E-3</v>
      </c>
      <c r="AX560">
        <v>3.572436623101009E-4</v>
      </c>
      <c r="AY560">
        <v>4.7217768690566153E-4</v>
      </c>
      <c r="BB560">
        <v>5.3936286646788068E-2</v>
      </c>
      <c r="BC560">
        <v>2.9057788032204566E-2</v>
      </c>
      <c r="BE560">
        <v>32353.208471417649</v>
      </c>
      <c r="BF560">
        <v>21.169801873222507</v>
      </c>
      <c r="BG560">
        <v>34558.661815292282</v>
      </c>
      <c r="BH560">
        <v>21.159205314654137</v>
      </c>
    </row>
    <row r="561" spans="3:60" x14ac:dyDescent="0.2">
      <c r="C561" s="138">
        <v>30025.030697656322</v>
      </c>
      <c r="D561">
        <v>21.359845423202216</v>
      </c>
      <c r="E561" s="138">
        <v>31685.44095643111</v>
      </c>
      <c r="F561" s="138">
        <v>21.366300079301659</v>
      </c>
      <c r="G561" s="138">
        <v>-1660.4102587747875</v>
      </c>
      <c r="H561" s="138">
        <v>-6.4546560994429569E-3</v>
      </c>
      <c r="N561" s="138"/>
      <c r="O561" s="138"/>
      <c r="P561" s="138"/>
      <c r="R561">
        <v>443.21816336627626</v>
      </c>
      <c r="S561">
        <v>62.239591096851449</v>
      </c>
      <c r="T561">
        <v>224.71533715304719</v>
      </c>
      <c r="U561">
        <v>84.800949493085881</v>
      </c>
      <c r="X561">
        <v>0.79677906088207706</v>
      </c>
      <c r="Y561">
        <v>0.81709465893811717</v>
      </c>
      <c r="Z561">
        <v>0.89393170624246365</v>
      </c>
      <c r="AA561">
        <v>0.83353979951726553</v>
      </c>
      <c r="AB561">
        <v>0.88127505231458958</v>
      </c>
      <c r="AC561">
        <v>0.96954423473655948</v>
      </c>
      <c r="AD561">
        <v>0.96876961322042654</v>
      </c>
      <c r="AE561">
        <v>0.71364776073096559</v>
      </c>
      <c r="AH561">
        <v>0.22462894340644568</v>
      </c>
      <c r="AI561">
        <v>5.5734334808366537E-2</v>
      </c>
      <c r="AJ561">
        <v>0.14688207342715076</v>
      </c>
      <c r="AK561">
        <v>0.3454176520088178</v>
      </c>
      <c r="AL561">
        <v>0.1111159887433496</v>
      </c>
      <c r="AM561">
        <v>8.7221330503066241E-2</v>
      </c>
      <c r="AN561">
        <v>0.10326305911915235</v>
      </c>
      <c r="AO561">
        <v>7.1865432537359109E-2</v>
      </c>
      <c r="AR561">
        <v>9.6611467370089077E-4</v>
      </c>
      <c r="AS561">
        <v>4.5324951307985639E-3</v>
      </c>
      <c r="AT561">
        <v>0.10081183748974054</v>
      </c>
      <c r="AU561">
        <v>2.1316312910403257E-3</v>
      </c>
      <c r="AV561">
        <v>2.2277654961123661E-3</v>
      </c>
      <c r="AW561">
        <v>4.0336014893609384E-3</v>
      </c>
      <c r="AX561">
        <v>3.7862567797837125E-4</v>
      </c>
      <c r="AY561">
        <v>6.2469981550627995E-4</v>
      </c>
      <c r="BB561">
        <v>6.2888577490487041E-2</v>
      </c>
      <c r="BC561">
        <v>1.6343790433198318E-2</v>
      </c>
      <c r="BE561">
        <v>30025.030697656322</v>
      </c>
      <c r="BF561">
        <v>21.359845423202216</v>
      </c>
      <c r="BG561">
        <v>31685.44095643111</v>
      </c>
      <c r="BH561">
        <v>21.366300079301659</v>
      </c>
    </row>
    <row r="562" spans="3:60" x14ac:dyDescent="0.2">
      <c r="C562" s="138">
        <v>38886.310885878149</v>
      </c>
      <c r="D562">
        <v>20.97361960274009</v>
      </c>
      <c r="E562" s="138">
        <v>41402.810315429</v>
      </c>
      <c r="F562" s="138">
        <v>20.953943597779045</v>
      </c>
      <c r="G562" s="138">
        <v>-2516.4994295508513</v>
      </c>
      <c r="H562" s="138">
        <v>1.9676004961045379E-2</v>
      </c>
      <c r="N562" s="138"/>
      <c r="O562" s="138"/>
      <c r="P562" s="138"/>
      <c r="R562">
        <v>148.10971662379916</v>
      </c>
      <c r="S562">
        <v>73.815746529234502</v>
      </c>
      <c r="T562">
        <v>297.48787385078617</v>
      </c>
      <c r="U562">
        <v>81.725793308069953</v>
      </c>
      <c r="X562">
        <v>0.77797727230793534</v>
      </c>
      <c r="Y562">
        <v>0.61221208484337786</v>
      </c>
      <c r="Z562">
        <v>0.77797730238805152</v>
      </c>
      <c r="AA562">
        <v>0.81153720592872258</v>
      </c>
      <c r="AB562">
        <v>0.65539557138664373</v>
      </c>
      <c r="AC562">
        <v>0.93700212500059199</v>
      </c>
      <c r="AD562">
        <v>0.74581436308895777</v>
      </c>
      <c r="AE562">
        <v>0.65095547011880783</v>
      </c>
      <c r="AH562">
        <v>3.3396382356799981E-2</v>
      </c>
      <c r="AI562">
        <v>0.16671740548235625</v>
      </c>
      <c r="AJ562">
        <v>0.22519487880593347</v>
      </c>
      <c r="AK562">
        <v>0.11814836641895909</v>
      </c>
      <c r="AL562">
        <v>0.15952196761323334</v>
      </c>
      <c r="AM562">
        <v>0.20471440846317956</v>
      </c>
      <c r="AN562">
        <v>0.16901201765190388</v>
      </c>
      <c r="AO562">
        <v>0.11203351394656214</v>
      </c>
      <c r="AR562">
        <v>1.0679509906130757E-3</v>
      </c>
      <c r="AS562">
        <v>4.4342378611994041E-3</v>
      </c>
      <c r="AT562">
        <v>0.10245920872455938</v>
      </c>
      <c r="AU562">
        <v>1.8342373636059432E-3</v>
      </c>
      <c r="AV562">
        <v>2.033478466683114E-3</v>
      </c>
      <c r="AW562">
        <v>3.3514995707471349E-3</v>
      </c>
      <c r="AX562">
        <v>4.1377820932186893E-4</v>
      </c>
      <c r="AY562">
        <v>3.091059882740925E-4</v>
      </c>
      <c r="BB562">
        <v>4.3629400298235949E-2</v>
      </c>
      <c r="BC562">
        <v>0.12262331768285306</v>
      </c>
      <c r="BE562">
        <v>38886.310885878149</v>
      </c>
      <c r="BF562">
        <v>20.97361960274009</v>
      </c>
      <c r="BG562">
        <v>41402.810315429</v>
      </c>
      <c r="BH562">
        <v>20.953943597779045</v>
      </c>
    </row>
    <row r="563" spans="3:60" x14ac:dyDescent="0.2">
      <c r="C563" s="138">
        <v>32500.700085217428</v>
      </c>
      <c r="D563">
        <v>20.821064444909954</v>
      </c>
      <c r="E563" s="138">
        <v>34365.741118215919</v>
      </c>
      <c r="F563" s="138">
        <v>20.798303582312453</v>
      </c>
      <c r="G563" s="138">
        <v>-1865.0410329984916</v>
      </c>
      <c r="H563" s="138">
        <v>2.2760862597500875E-2</v>
      </c>
      <c r="N563" s="138"/>
      <c r="O563" s="138"/>
      <c r="P563" s="138"/>
      <c r="R563">
        <v>260.78590711138759</v>
      </c>
      <c r="S563">
        <v>61.970316414912268</v>
      </c>
      <c r="T563">
        <v>252.85702584112565</v>
      </c>
      <c r="U563">
        <v>88.078483989889421</v>
      </c>
      <c r="X563">
        <v>0.700844324548063</v>
      </c>
      <c r="Y563">
        <v>0.83138960162918818</v>
      </c>
      <c r="Z563">
        <v>0.8362875290879469</v>
      </c>
      <c r="AA563">
        <v>0.83911356460497866</v>
      </c>
      <c r="AB563">
        <v>0.63013033570330712</v>
      </c>
      <c r="AC563">
        <v>0.70499642577260269</v>
      </c>
      <c r="AD563">
        <v>0.64299766543328429</v>
      </c>
      <c r="AE563">
        <v>0.77233559776380067</v>
      </c>
      <c r="AH563">
        <v>7.363521829409847E-2</v>
      </c>
      <c r="AI563">
        <v>0.14423375678556061</v>
      </c>
      <c r="AJ563">
        <v>0.11972468646185674</v>
      </c>
      <c r="AK563">
        <v>0.32587973095669587</v>
      </c>
      <c r="AL563">
        <v>0.10670042166443972</v>
      </c>
      <c r="AM563">
        <v>0.28410650063909626</v>
      </c>
      <c r="AN563">
        <v>0.22593756735293202</v>
      </c>
      <c r="AO563">
        <v>3.5619923571391432E-2</v>
      </c>
      <c r="AR563">
        <v>9.9503457546079588E-4</v>
      </c>
      <c r="AS563">
        <v>4.3356764225682938E-3</v>
      </c>
      <c r="AT563">
        <v>9.9252538136410676E-2</v>
      </c>
      <c r="AU563">
        <v>1.9076951111278257E-3</v>
      </c>
      <c r="AV563">
        <v>2.1159408017442649E-3</v>
      </c>
      <c r="AW563">
        <v>3.4181084134795592E-3</v>
      </c>
      <c r="AX563">
        <v>3.1829468360325072E-4</v>
      </c>
      <c r="AY563">
        <v>4.3693198865834605E-4</v>
      </c>
      <c r="BB563">
        <v>5.368192915160086E-2</v>
      </c>
      <c r="BC563">
        <v>3.4158348217896067E-2</v>
      </c>
      <c r="BE563">
        <v>32500.700085217428</v>
      </c>
      <c r="BF563">
        <v>20.821064444909954</v>
      </c>
      <c r="BG563">
        <v>34365.741118215919</v>
      </c>
      <c r="BH563">
        <v>20.798303582312453</v>
      </c>
    </row>
    <row r="564" spans="3:60" x14ac:dyDescent="0.2">
      <c r="C564" s="138">
        <v>31353.503283107078</v>
      </c>
      <c r="D564">
        <v>21.20568144415483</v>
      </c>
      <c r="E564" s="138">
        <v>33480.721218849882</v>
      </c>
      <c r="F564" s="138">
        <v>21.195006444932371</v>
      </c>
      <c r="G564" s="138">
        <v>-2127.2179357428031</v>
      </c>
      <c r="H564" s="138">
        <v>1.0674999222459292E-2</v>
      </c>
      <c r="N564" s="138"/>
      <c r="O564" s="138"/>
      <c r="P564" s="138"/>
      <c r="R564">
        <v>263.40329797175173</v>
      </c>
      <c r="S564">
        <v>50.28955339693961</v>
      </c>
      <c r="T564">
        <v>225.56083850342546</v>
      </c>
      <c r="U564">
        <v>94.022109419951747</v>
      </c>
      <c r="X564">
        <v>0.71014794437375783</v>
      </c>
      <c r="Y564">
        <v>0.81155304264727024</v>
      </c>
      <c r="Z564">
        <v>0.68724066086692903</v>
      </c>
      <c r="AA564">
        <v>0.88582057526796909</v>
      </c>
      <c r="AB564">
        <v>0.83232570014763874</v>
      </c>
      <c r="AC564">
        <v>0.66881892881494887</v>
      </c>
      <c r="AD564">
        <v>0.54500433900734513</v>
      </c>
      <c r="AE564">
        <v>0.81111185049062273</v>
      </c>
      <c r="AH564">
        <v>0.36950698759844547</v>
      </c>
      <c r="AI564">
        <v>6.3776378963243396E-2</v>
      </c>
      <c r="AJ564">
        <v>3.5839617179335703E-2</v>
      </c>
      <c r="AK564">
        <v>0.29101720073226556</v>
      </c>
      <c r="AL564">
        <v>0.11919391190568962</v>
      </c>
      <c r="AM564">
        <v>7.1224229315156151E-2</v>
      </c>
      <c r="AN564">
        <v>8.5504688079570346E-2</v>
      </c>
      <c r="AO564">
        <v>8.3544183554536744E-2</v>
      </c>
      <c r="AR564">
        <v>1.0211034872861235E-3</v>
      </c>
      <c r="AS564">
        <v>4.01175667457844E-3</v>
      </c>
      <c r="AT564">
        <v>0.10076259943418042</v>
      </c>
      <c r="AU564">
        <v>1.9461223682415137E-3</v>
      </c>
      <c r="AV564">
        <v>2.1533476482281655E-3</v>
      </c>
      <c r="AW564">
        <v>3.551194159843396E-3</v>
      </c>
      <c r="AX564">
        <v>3.8727903028163942E-4</v>
      </c>
      <c r="AY564">
        <v>4.2829287896216568E-4</v>
      </c>
      <c r="BB564">
        <v>5.3426850449313057E-2</v>
      </c>
      <c r="BC564">
        <v>3.774662508696483E-2</v>
      </c>
      <c r="BE564">
        <v>31353.503283107078</v>
      </c>
      <c r="BF564">
        <v>21.20568144415483</v>
      </c>
      <c r="BG564">
        <v>33480.721218849882</v>
      </c>
      <c r="BH564">
        <v>21.195006444932371</v>
      </c>
    </row>
    <row r="565" spans="3:60" x14ac:dyDescent="0.2">
      <c r="C565" s="138">
        <v>30414.97396384762</v>
      </c>
      <c r="D565">
        <v>20.862172136650411</v>
      </c>
      <c r="E565" s="138">
        <v>32526.266243488157</v>
      </c>
      <c r="F565" s="138">
        <v>20.811711271157133</v>
      </c>
      <c r="G565" s="138">
        <v>-2111.2922796405364</v>
      </c>
      <c r="H565" s="138">
        <v>5.0460865493278106E-2</v>
      </c>
      <c r="N565" s="138"/>
      <c r="O565" s="138"/>
      <c r="P565" s="138"/>
      <c r="R565">
        <v>237.13243282879003</v>
      </c>
      <c r="S565">
        <v>66.362016837659894</v>
      </c>
      <c r="T565">
        <v>257.60729805099419</v>
      </c>
      <c r="U565">
        <v>87.14340552100029</v>
      </c>
      <c r="X565">
        <v>0.69531966815803892</v>
      </c>
      <c r="Y565">
        <v>0.87184463453486227</v>
      </c>
      <c r="Z565">
        <v>0.88425747377568298</v>
      </c>
      <c r="AA565">
        <v>0.88520007267544965</v>
      </c>
      <c r="AB565">
        <v>0.84176652905037785</v>
      </c>
      <c r="AC565">
        <v>0.65013013267679054</v>
      </c>
      <c r="AD565">
        <v>0.87962054272539569</v>
      </c>
      <c r="AE565">
        <v>0.6178884287523575</v>
      </c>
      <c r="AH565">
        <v>3.0800701857048862E-2</v>
      </c>
      <c r="AI565">
        <v>9.259705595222012E-2</v>
      </c>
      <c r="AJ565">
        <v>3.8957520267824619E-2</v>
      </c>
      <c r="AK565">
        <v>0.24047873214281046</v>
      </c>
      <c r="AL565">
        <v>7.5744239571264638E-2</v>
      </c>
      <c r="AM565">
        <v>0.21494319684867724</v>
      </c>
      <c r="AN565">
        <v>0.10888395967303566</v>
      </c>
      <c r="AO565">
        <v>1.6257177559072522E-2</v>
      </c>
      <c r="AR565">
        <v>1.040574685184259E-3</v>
      </c>
      <c r="AS565">
        <v>4.6584799149361755E-3</v>
      </c>
      <c r="AT565">
        <v>0.10053603412563639</v>
      </c>
      <c r="AU565">
        <v>1.9401784247364353E-3</v>
      </c>
      <c r="AV565">
        <v>1.9594323159825822E-3</v>
      </c>
      <c r="AW565">
        <v>3.2543982941235969E-3</v>
      </c>
      <c r="AX565">
        <v>4.2743107141940406E-4</v>
      </c>
      <c r="AY565">
        <v>4.623963599490466E-4</v>
      </c>
      <c r="BB565">
        <v>4.0545438469832863E-2</v>
      </c>
      <c r="BC565">
        <v>6.2831952027176396E-2</v>
      </c>
      <c r="BE565">
        <v>30414.97396384762</v>
      </c>
      <c r="BF565">
        <v>20.862172136650411</v>
      </c>
      <c r="BG565">
        <v>32526.266243488157</v>
      </c>
      <c r="BH565">
        <v>20.811711271157133</v>
      </c>
    </row>
    <row r="566" spans="3:60" x14ac:dyDescent="0.2">
      <c r="C566" s="138">
        <v>28285.582006191129</v>
      </c>
      <c r="D566">
        <v>21.159670014818104</v>
      </c>
      <c r="E566" s="138">
        <v>30423.613254005209</v>
      </c>
      <c r="F566" s="138">
        <v>21.146164542179697</v>
      </c>
      <c r="G566" s="138">
        <v>-2138.0312478140804</v>
      </c>
      <c r="H566" s="138">
        <v>1.3505472638406957E-2</v>
      </c>
      <c r="N566" s="138"/>
      <c r="O566" s="138"/>
      <c r="P566" s="138"/>
      <c r="R566">
        <v>131.67474915650041</v>
      </c>
      <c r="S566">
        <v>64.461432168007036</v>
      </c>
      <c r="T566">
        <v>260.77634019083843</v>
      </c>
      <c r="U566">
        <v>88.746878746445759</v>
      </c>
      <c r="X566">
        <v>0.54611438567228987</v>
      </c>
      <c r="Y566">
        <v>0.80522019260838862</v>
      </c>
      <c r="Z566">
        <v>0.67322245702906036</v>
      </c>
      <c r="AA566">
        <v>0.68957341630952118</v>
      </c>
      <c r="AB566">
        <v>0.69672900715736186</v>
      </c>
      <c r="AC566">
        <v>0.89608381709475049</v>
      </c>
      <c r="AD566">
        <v>0.90858127744962125</v>
      </c>
      <c r="AE566">
        <v>0.86989493074736512</v>
      </c>
      <c r="AH566">
        <v>2.3508551944352529E-2</v>
      </c>
      <c r="AI566">
        <v>0.21316385940404869</v>
      </c>
      <c r="AJ566">
        <v>5.3099513458361614E-2</v>
      </c>
      <c r="AK566">
        <v>0.15411116458600449</v>
      </c>
      <c r="AL566">
        <v>0.1314707736302777</v>
      </c>
      <c r="AM566">
        <v>0.11294196876461304</v>
      </c>
      <c r="AN566">
        <v>7.569270049461152E-2</v>
      </c>
      <c r="AO566">
        <v>3.4114614089914785E-2</v>
      </c>
      <c r="AR566">
        <v>9.651672857293736E-4</v>
      </c>
      <c r="AS566">
        <v>4.4771840827469737E-3</v>
      </c>
      <c r="AT566">
        <v>0.10161901915495797</v>
      </c>
      <c r="AU566">
        <v>1.8782222734529173E-3</v>
      </c>
      <c r="AV566">
        <v>1.8540112334965472E-3</v>
      </c>
      <c r="AW566">
        <v>3.6592962507344673E-3</v>
      </c>
      <c r="AX566">
        <v>4.3713268330369814E-4</v>
      </c>
      <c r="AY566">
        <v>3.8067217322002055E-4</v>
      </c>
      <c r="BB566">
        <v>5.4192431674440877E-2</v>
      </c>
      <c r="BC566">
        <v>4.7794801533760922E-2</v>
      </c>
      <c r="BE566">
        <v>28285.582006191129</v>
      </c>
      <c r="BF566">
        <v>21.159670014818104</v>
      </c>
      <c r="BG566">
        <v>30423.613254005209</v>
      </c>
      <c r="BH566">
        <v>21.146164542179697</v>
      </c>
    </row>
    <row r="567" spans="3:60" x14ac:dyDescent="0.2">
      <c r="C567" s="138">
        <v>32382.072335295212</v>
      </c>
      <c r="D567">
        <v>20.64235410396304</v>
      </c>
      <c r="E567" s="138">
        <v>34717.186631842545</v>
      </c>
      <c r="F567" s="138">
        <v>20.588816802798046</v>
      </c>
      <c r="G567" s="138">
        <v>-2335.1142965473337</v>
      </c>
      <c r="H567" s="138">
        <v>5.3537301164993778E-2</v>
      </c>
      <c r="N567" s="138"/>
      <c r="O567" s="138"/>
      <c r="P567" s="138"/>
      <c r="R567">
        <v>115.82356152372273</v>
      </c>
      <c r="S567">
        <v>69.752496977017842</v>
      </c>
      <c r="T567">
        <v>236.40409510296266</v>
      </c>
      <c r="U567">
        <v>94.07454833037896</v>
      </c>
      <c r="X567">
        <v>0.90005337171467503</v>
      </c>
      <c r="Y567">
        <v>0.34086317390302651</v>
      </c>
      <c r="Z567">
        <v>0.83692572227156603</v>
      </c>
      <c r="AA567">
        <v>0.87762144954008381</v>
      </c>
      <c r="AB567">
        <v>0.80906651178388156</v>
      </c>
      <c r="AC567">
        <v>0.82157172553087643</v>
      </c>
      <c r="AD567">
        <v>0.71268072438034435</v>
      </c>
      <c r="AE567">
        <v>0.90696676730771975</v>
      </c>
      <c r="AH567">
        <v>3.6838452407131683E-2</v>
      </c>
      <c r="AI567">
        <v>5.1683698080276397E-2</v>
      </c>
      <c r="AJ567">
        <v>0.37425477883647784</v>
      </c>
      <c r="AK567">
        <v>0.29468198557908121</v>
      </c>
      <c r="AL567">
        <v>9.6569942391514063E-2</v>
      </c>
      <c r="AM567">
        <v>2.791361675855919E-2</v>
      </c>
      <c r="AN567">
        <v>0.17256794616033622</v>
      </c>
      <c r="AO567">
        <v>8.3986432266761391E-2</v>
      </c>
      <c r="AR567">
        <v>9.5992793328791848E-4</v>
      </c>
      <c r="AS567">
        <v>4.3744115817430478E-3</v>
      </c>
      <c r="AT567">
        <v>0.10060679093394054</v>
      </c>
      <c r="AU567">
        <v>2.0731149288359951E-3</v>
      </c>
      <c r="AV567">
        <v>2.0682846331209204E-3</v>
      </c>
      <c r="AW567">
        <v>3.397436637226945E-3</v>
      </c>
      <c r="AX567">
        <v>3.9702839987465488E-4</v>
      </c>
      <c r="AY567">
        <v>4.9792724042974079E-4</v>
      </c>
      <c r="BB567">
        <v>5.1560008115926537E-2</v>
      </c>
      <c r="BC567">
        <v>4.9680099291485424E-2</v>
      </c>
      <c r="BE567">
        <v>32382.072335295212</v>
      </c>
      <c r="BF567">
        <v>20.64235410396304</v>
      </c>
      <c r="BG567">
        <v>34717.186631842545</v>
      </c>
      <c r="BH567">
        <v>20.588816802798046</v>
      </c>
    </row>
    <row r="568" spans="3:60" x14ac:dyDescent="0.2">
      <c r="C568" s="138">
        <v>34082.644041622836</v>
      </c>
      <c r="D568">
        <v>20.141493618502977</v>
      </c>
      <c r="E568" s="138">
        <v>36356.508236920221</v>
      </c>
      <c r="F568" s="138">
        <v>20.089321031121127</v>
      </c>
      <c r="G568" s="138">
        <v>-2273.8641952973849</v>
      </c>
      <c r="H568" s="138">
        <v>5.2172587381850377E-2</v>
      </c>
      <c r="N568" s="138"/>
      <c r="O568" s="138"/>
      <c r="P568" s="138"/>
      <c r="R568">
        <v>293.62045354630737</v>
      </c>
      <c r="S568">
        <v>70.347341437046566</v>
      </c>
      <c r="T568">
        <v>281.57260793459847</v>
      </c>
      <c r="U568">
        <v>100.64132657891929</v>
      </c>
      <c r="X568">
        <v>0.85932067063268724</v>
      </c>
      <c r="Y568">
        <v>0.71368436985422135</v>
      </c>
      <c r="Z568">
        <v>0.75084730055232485</v>
      </c>
      <c r="AA568">
        <v>0.45535501175436877</v>
      </c>
      <c r="AB568">
        <v>0.54076215107415526</v>
      </c>
      <c r="AC568">
        <v>0.63693939106698327</v>
      </c>
      <c r="AD568">
        <v>0.81019812086346343</v>
      </c>
      <c r="AE568">
        <v>0.82814737842161434</v>
      </c>
      <c r="AH568">
        <v>4.5608879669926772E-2</v>
      </c>
      <c r="AI568">
        <v>0.17012663063257749</v>
      </c>
      <c r="AJ568">
        <v>0.18609404870599533</v>
      </c>
      <c r="AK568">
        <v>5.7498300800422619E-2</v>
      </c>
      <c r="AL568">
        <v>0.18122250092311465</v>
      </c>
      <c r="AM568">
        <v>0.1027623917996332</v>
      </c>
      <c r="AN568">
        <v>0.1282287755269832</v>
      </c>
      <c r="AO568">
        <v>0.10933690243432204</v>
      </c>
      <c r="AR568">
        <v>8.4160203133186613E-4</v>
      </c>
      <c r="AS568">
        <v>4.544074552501165E-3</v>
      </c>
      <c r="AT568">
        <v>0.10174187003629165</v>
      </c>
      <c r="AU568">
        <v>1.9500568246876907E-3</v>
      </c>
      <c r="AV568">
        <v>1.9616190119351902E-3</v>
      </c>
      <c r="AW568">
        <v>3.4567583179341277E-3</v>
      </c>
      <c r="AX568">
        <v>4.6437088476503074E-4</v>
      </c>
      <c r="AY568">
        <v>3.7268133690098886E-4</v>
      </c>
      <c r="BB568">
        <v>4.6813523268212899E-2</v>
      </c>
      <c r="BC568">
        <v>2.460999744402953E-2</v>
      </c>
      <c r="BE568">
        <v>34082.644041622836</v>
      </c>
      <c r="BF568">
        <v>20.141493618502977</v>
      </c>
      <c r="BG568">
        <v>36356.508236920221</v>
      </c>
      <c r="BH568">
        <v>20.089321031121127</v>
      </c>
    </row>
    <row r="569" spans="3:60" x14ac:dyDescent="0.2">
      <c r="C569" s="138">
        <v>31195.650697243163</v>
      </c>
      <c r="D569">
        <v>19.621121933223222</v>
      </c>
      <c r="E569" s="138">
        <v>33057.524841225306</v>
      </c>
      <c r="F569" s="138">
        <v>19.57405596523277</v>
      </c>
      <c r="G569" s="138">
        <v>-1861.8741439821424</v>
      </c>
      <c r="H569" s="138">
        <v>4.7065967990452151E-2</v>
      </c>
      <c r="N569" s="138"/>
      <c r="O569" s="138"/>
      <c r="P569" s="138"/>
      <c r="R569">
        <v>351.63270152256405</v>
      </c>
      <c r="S569">
        <v>58.084816994823328</v>
      </c>
      <c r="T569">
        <v>267.72007847960782</v>
      </c>
      <c r="U569">
        <v>101.25361281417017</v>
      </c>
      <c r="X569">
        <v>0.90955165958350759</v>
      </c>
      <c r="Y569">
        <v>0.95010720358474388</v>
      </c>
      <c r="Z569">
        <v>0.51262114266471626</v>
      </c>
      <c r="AA569">
        <v>0.87551842639891797</v>
      </c>
      <c r="AB569">
        <v>0.82163575261845079</v>
      </c>
      <c r="AC569">
        <v>0.91301159467019621</v>
      </c>
      <c r="AD569">
        <v>0.7453996408381165</v>
      </c>
      <c r="AE569">
        <v>0.79921832979461838</v>
      </c>
      <c r="AH569">
        <v>8.152761407765885E-2</v>
      </c>
      <c r="AI569">
        <v>1.736389751752665E-2</v>
      </c>
      <c r="AJ569">
        <v>0.19559594033830774</v>
      </c>
      <c r="AK569">
        <v>0.14061648274325789</v>
      </c>
      <c r="AL569">
        <v>0.10655107259099039</v>
      </c>
      <c r="AM569">
        <v>0.11849145209214751</v>
      </c>
      <c r="AN569">
        <v>8.2656037225049106E-2</v>
      </c>
      <c r="AO569">
        <v>5.7179810903553951E-2</v>
      </c>
      <c r="AR569">
        <v>7.349488281708467E-4</v>
      </c>
      <c r="AS569">
        <v>4.4312960562190272E-3</v>
      </c>
      <c r="AT569">
        <v>9.993338448826046E-2</v>
      </c>
      <c r="AU569">
        <v>1.8923892758490807E-3</v>
      </c>
      <c r="AV569">
        <v>1.8605481699159564E-3</v>
      </c>
      <c r="AW569">
        <v>3.4225804823223571E-3</v>
      </c>
      <c r="AX569">
        <v>3.8676294265997994E-4</v>
      </c>
      <c r="AY569">
        <v>4.6186771217204825E-4</v>
      </c>
      <c r="BB569">
        <v>4.7381902553266755E-2</v>
      </c>
      <c r="BC569">
        <v>3.2936280385857705E-2</v>
      </c>
      <c r="BE569">
        <v>31195.650697243163</v>
      </c>
      <c r="BF569">
        <v>19.621121933223222</v>
      </c>
      <c r="BG569">
        <v>33057.524841225306</v>
      </c>
      <c r="BH569">
        <v>19.57405596523277</v>
      </c>
    </row>
    <row r="570" spans="3:60" x14ac:dyDescent="0.2">
      <c r="C570" s="138">
        <v>33587.396536174921</v>
      </c>
      <c r="D570">
        <v>20.543902258565147</v>
      </c>
      <c r="E570" s="138">
        <v>35773.722142000493</v>
      </c>
      <c r="F570" s="138">
        <v>20.49288297605888</v>
      </c>
      <c r="G570" s="138">
        <v>-2186.325605825572</v>
      </c>
      <c r="H570" s="138">
        <v>5.1019282506267416E-2</v>
      </c>
      <c r="N570" s="138"/>
      <c r="O570" s="138"/>
      <c r="P570" s="138"/>
      <c r="R570">
        <v>150.45754239524211</v>
      </c>
      <c r="S570">
        <v>67.702186918990279</v>
      </c>
      <c r="T570">
        <v>249.27820688925868</v>
      </c>
      <c r="U570">
        <v>102.81880948471721</v>
      </c>
      <c r="X570">
        <v>0.767069794322224</v>
      </c>
      <c r="Y570">
        <v>0.55466841340569828</v>
      </c>
      <c r="Z570">
        <v>0.69485347735008096</v>
      </c>
      <c r="AA570">
        <v>0.80171390766539385</v>
      </c>
      <c r="AB570">
        <v>0.77483285608234465</v>
      </c>
      <c r="AC570">
        <v>0.65541820490414859</v>
      </c>
      <c r="AD570">
        <v>0.78206644748175735</v>
      </c>
      <c r="AE570">
        <v>0.79562835404809096</v>
      </c>
      <c r="AH570">
        <v>0.18791639507362801</v>
      </c>
      <c r="AI570">
        <v>0.19411391623301522</v>
      </c>
      <c r="AJ570">
        <v>5.1055760215372059E-2</v>
      </c>
      <c r="AK570">
        <v>6.0760378415957828E-2</v>
      </c>
      <c r="AL570">
        <v>0.11418021951557211</v>
      </c>
      <c r="AM570">
        <v>0.17636493183216362</v>
      </c>
      <c r="AN570">
        <v>0.10755973572397681</v>
      </c>
      <c r="AO570">
        <v>8.1338008644351589E-2</v>
      </c>
      <c r="AR570">
        <v>1.0153069803938708E-3</v>
      </c>
      <c r="AS570">
        <v>4.1400836519851717E-3</v>
      </c>
      <c r="AT570">
        <v>0.10070297841390485</v>
      </c>
      <c r="AU570">
        <v>2.2396416746235381E-3</v>
      </c>
      <c r="AV570">
        <v>1.8775935996286847E-3</v>
      </c>
      <c r="AW570">
        <v>3.4071444762101555E-3</v>
      </c>
      <c r="AX570">
        <v>3.1935660992115121E-4</v>
      </c>
      <c r="AY570">
        <v>4.899682478451961E-4</v>
      </c>
      <c r="BB570">
        <v>4.3304487898569055E-2</v>
      </c>
      <c r="BC570">
        <v>5.9302986874458341E-2</v>
      </c>
      <c r="BE570">
        <v>33587.396536174921</v>
      </c>
      <c r="BF570">
        <v>20.543902258565147</v>
      </c>
      <c r="BG570">
        <v>35773.722142000493</v>
      </c>
      <c r="BH570">
        <v>20.49288297605888</v>
      </c>
    </row>
    <row r="571" spans="3:60" x14ac:dyDescent="0.2">
      <c r="C571" s="138">
        <v>33226.369367796826</v>
      </c>
      <c r="D571">
        <v>20.970422281225272</v>
      </c>
      <c r="E571" s="138">
        <v>34985.304634894077</v>
      </c>
      <c r="F571" s="138">
        <v>20.927241243060624</v>
      </c>
      <c r="G571" s="138">
        <v>-1758.9352670972512</v>
      </c>
      <c r="H571" s="138">
        <v>4.3181038164647134E-2</v>
      </c>
      <c r="N571" s="138"/>
      <c r="O571" s="138"/>
      <c r="P571" s="138"/>
      <c r="R571">
        <v>524.47222774423722</v>
      </c>
      <c r="S571">
        <v>59.877275788404496</v>
      </c>
      <c r="T571">
        <v>260.98692806740127</v>
      </c>
      <c r="U571">
        <v>101.00227775800684</v>
      </c>
      <c r="X571">
        <v>0.564216982255905</v>
      </c>
      <c r="Y571">
        <v>0.59773968782291342</v>
      </c>
      <c r="Z571">
        <v>0.6584580991821426</v>
      </c>
      <c r="AA571">
        <v>0.79963759846848048</v>
      </c>
      <c r="AB571">
        <v>0.50331241101017243</v>
      </c>
      <c r="AC571">
        <v>0.6415475923348869</v>
      </c>
      <c r="AD571">
        <v>0.58614611474792377</v>
      </c>
      <c r="AE571">
        <v>0.83220163684998028</v>
      </c>
      <c r="AH571">
        <v>8.5889083674650424E-2</v>
      </c>
      <c r="AI571">
        <v>6.4798561272183974E-2</v>
      </c>
      <c r="AJ571">
        <v>3.5586115842496935E-2</v>
      </c>
      <c r="AK571">
        <v>9.6373366915102565E-2</v>
      </c>
      <c r="AL571">
        <v>0.19707367792228692</v>
      </c>
      <c r="AM571">
        <v>3.0546391783130233E-2</v>
      </c>
      <c r="AN571">
        <v>3.8842701325038531E-2</v>
      </c>
      <c r="AO571">
        <v>0.11973259826433458</v>
      </c>
      <c r="AR571">
        <v>8.3926717289235613E-4</v>
      </c>
      <c r="AS571">
        <v>4.268653451581457E-3</v>
      </c>
      <c r="AT571">
        <v>9.8898538558051877E-2</v>
      </c>
      <c r="AU571">
        <v>2.0853781475734801E-3</v>
      </c>
      <c r="AV571">
        <v>1.9199159940231714E-3</v>
      </c>
      <c r="AW571">
        <v>3.3113754484217998E-3</v>
      </c>
      <c r="AX571">
        <v>4.4728799647997253E-4</v>
      </c>
      <c r="AY571">
        <v>5.1950426229507851E-4</v>
      </c>
      <c r="BB571">
        <v>4.4210205057356386E-2</v>
      </c>
      <c r="BC571">
        <v>1.6640687245823602E-2</v>
      </c>
      <c r="BE571">
        <v>33226.369367796826</v>
      </c>
      <c r="BF571">
        <v>20.970422281225272</v>
      </c>
      <c r="BG571">
        <v>34985.304634894077</v>
      </c>
      <c r="BH571">
        <v>20.927241243060624</v>
      </c>
    </row>
    <row r="572" spans="3:60" x14ac:dyDescent="0.2">
      <c r="C572" s="138">
        <v>30534.208618238583</v>
      </c>
      <c r="D572">
        <v>21.729577552773161</v>
      </c>
      <c r="E572" s="138">
        <v>32939.286723492842</v>
      </c>
      <c r="F572" s="138">
        <v>21.722608760167244</v>
      </c>
      <c r="G572" s="138">
        <v>-2405.0781052542588</v>
      </c>
      <c r="H572" s="138">
        <v>6.9687926059174288E-3</v>
      </c>
      <c r="N572" s="138"/>
      <c r="O572" s="138"/>
      <c r="P572" s="138"/>
      <c r="R572">
        <v>253.37304474468488</v>
      </c>
      <c r="S572">
        <v>63.139964004696246</v>
      </c>
      <c r="T572">
        <v>240.96073991019892</v>
      </c>
      <c r="U572">
        <v>92.263652590848309</v>
      </c>
      <c r="X572">
        <v>0.65926331762600876</v>
      </c>
      <c r="Y572">
        <v>0.64745348579823858</v>
      </c>
      <c r="Z572">
        <v>0.64226573042662138</v>
      </c>
      <c r="AA572">
        <v>0.86474859044901431</v>
      </c>
      <c r="AB572">
        <v>0.62302580530475227</v>
      </c>
      <c r="AC572">
        <v>0.84043123019923249</v>
      </c>
      <c r="AD572">
        <v>0.66106326153329631</v>
      </c>
      <c r="AE572">
        <v>0.75822786387788643</v>
      </c>
      <c r="AH572">
        <v>0.263721200379193</v>
      </c>
      <c r="AI572">
        <v>9.7650177881033473E-2</v>
      </c>
      <c r="AJ572">
        <v>3.6325325040326595E-2</v>
      </c>
      <c r="AK572">
        <v>6.1883045311994622E-2</v>
      </c>
      <c r="AL572">
        <v>0.27805356881721655</v>
      </c>
      <c r="AM572">
        <v>0.12239406455812318</v>
      </c>
      <c r="AN572">
        <v>5.834189598165751E-2</v>
      </c>
      <c r="AO572">
        <v>0.1706809864453126</v>
      </c>
      <c r="AR572">
        <v>7.2969956329781041E-4</v>
      </c>
      <c r="AS572">
        <v>4.5255904746508424E-3</v>
      </c>
      <c r="AT572">
        <v>0.10111354215024315</v>
      </c>
      <c r="AU572">
        <v>1.948361620797183E-3</v>
      </c>
      <c r="AV572">
        <v>2.2267440652438131E-3</v>
      </c>
      <c r="AW572">
        <v>3.4561038439894221E-3</v>
      </c>
      <c r="AX572">
        <v>3.8276281429533231E-4</v>
      </c>
      <c r="AY572">
        <v>4.4965650615469421E-4</v>
      </c>
      <c r="BB572">
        <v>4.2081659162835156E-2</v>
      </c>
      <c r="BC572">
        <v>3.4919756534416667E-2</v>
      </c>
      <c r="BE572">
        <v>30534.208618238583</v>
      </c>
      <c r="BF572">
        <v>21.729577552773161</v>
      </c>
      <c r="BG572">
        <v>32939.286723492842</v>
      </c>
      <c r="BH572">
        <v>21.722608760167244</v>
      </c>
    </row>
    <row r="573" spans="3:60" x14ac:dyDescent="0.2">
      <c r="C573" s="138">
        <v>30563.317241217526</v>
      </c>
      <c r="D573">
        <v>20.99841377715013</v>
      </c>
      <c r="E573" s="138">
        <v>32492.49804663637</v>
      </c>
      <c r="F573" s="138">
        <v>20.977203419188829</v>
      </c>
      <c r="G573" s="138">
        <v>-1929.1808054188441</v>
      </c>
      <c r="H573" s="138">
        <v>2.121035796130144E-2</v>
      </c>
      <c r="N573" s="138"/>
      <c r="O573" s="138"/>
      <c r="P573" s="138"/>
      <c r="R573">
        <v>166.740050432294</v>
      </c>
      <c r="S573">
        <v>68.025503728530808</v>
      </c>
      <c r="T573">
        <v>250.95527436516537</v>
      </c>
      <c r="U573">
        <v>88.665646889610258</v>
      </c>
      <c r="X573">
        <v>0.80877356027103242</v>
      </c>
      <c r="Y573">
        <v>0.8430159951619407</v>
      </c>
      <c r="Z573">
        <v>0.3063573936864224</v>
      </c>
      <c r="AA573">
        <v>0.8176764514344258</v>
      </c>
      <c r="AB573">
        <v>0.67715606393489935</v>
      </c>
      <c r="AC573">
        <v>0.68230030792726504</v>
      </c>
      <c r="AD573">
        <v>0.88035020578290957</v>
      </c>
      <c r="AE573">
        <v>0.81628935289712934</v>
      </c>
      <c r="AH573">
        <v>2.4347894463191411E-2</v>
      </c>
      <c r="AI573">
        <v>0.23227925699055374</v>
      </c>
      <c r="AJ573">
        <v>2.3024071056540585E-2</v>
      </c>
      <c r="AK573">
        <v>0.10135216397975488</v>
      </c>
      <c r="AL573">
        <v>4.8066608919109632E-2</v>
      </c>
      <c r="AM573">
        <v>5.3310382934401712E-2</v>
      </c>
      <c r="AN573">
        <v>4.4294881119871121E-2</v>
      </c>
      <c r="AO573">
        <v>2.2674804565367412E-2</v>
      </c>
      <c r="AR573">
        <v>9.4114733129191386E-4</v>
      </c>
      <c r="AS573">
        <v>4.4366504309437567E-3</v>
      </c>
      <c r="AT573">
        <v>9.9721846266862257E-2</v>
      </c>
      <c r="AU573">
        <v>2.0628039900667527E-3</v>
      </c>
      <c r="AV573">
        <v>1.9459529212864036E-3</v>
      </c>
      <c r="AW573">
        <v>3.6406025124138264E-3</v>
      </c>
      <c r="AX573">
        <v>3.2898242060694805E-4</v>
      </c>
      <c r="AY573">
        <v>3.8280148956203511E-4</v>
      </c>
      <c r="BB573">
        <v>4.7345740237485778E-2</v>
      </c>
      <c r="BC573">
        <v>3.2807939963543926E-2</v>
      </c>
      <c r="BE573">
        <v>30563.317241217526</v>
      </c>
      <c r="BF573">
        <v>20.99841377715013</v>
      </c>
      <c r="BG573">
        <v>32492.49804663637</v>
      </c>
      <c r="BH573">
        <v>20.977203419188829</v>
      </c>
    </row>
    <row r="574" spans="3:60" x14ac:dyDescent="0.2">
      <c r="C574" s="138">
        <v>29401.031990565742</v>
      </c>
      <c r="D574">
        <v>21.412156110814436</v>
      </c>
      <c r="E574" s="138">
        <v>31687.931767603135</v>
      </c>
      <c r="F574" s="138">
        <v>21.402555071701631</v>
      </c>
      <c r="G574" s="138">
        <v>-2286.8997770373935</v>
      </c>
      <c r="H574" s="138">
        <v>9.6010391128054096E-3</v>
      </c>
      <c r="N574" s="138"/>
      <c r="O574" s="138"/>
      <c r="P574" s="138"/>
      <c r="R574">
        <v>211.05382604147059</v>
      </c>
      <c r="S574">
        <v>64.66924327116385</v>
      </c>
      <c r="T574">
        <v>217.68672398558795</v>
      </c>
      <c r="U574">
        <v>98.226755546545036</v>
      </c>
      <c r="X574">
        <v>0.81534839731607689</v>
      </c>
      <c r="Y574">
        <v>0.75447648245375698</v>
      </c>
      <c r="Z574">
        <v>0.8532065145803932</v>
      </c>
      <c r="AA574">
        <v>0.78157950734533777</v>
      </c>
      <c r="AB574">
        <v>0.59056450562440277</v>
      </c>
      <c r="AC574">
        <v>0.74893775676711882</v>
      </c>
      <c r="AD574">
        <v>0.88480502182394916</v>
      </c>
      <c r="AE574">
        <v>0.6448862612179449</v>
      </c>
      <c r="AH574">
        <v>0.2635898273065217</v>
      </c>
      <c r="AI574">
        <v>0.19962082565205552</v>
      </c>
      <c r="AJ574">
        <v>4.9295369143014023E-2</v>
      </c>
      <c r="AK574">
        <v>0.37493239871594986</v>
      </c>
      <c r="AL574">
        <v>0.13863612290187455</v>
      </c>
      <c r="AM574">
        <v>0.13961411237622157</v>
      </c>
      <c r="AN574">
        <v>9.6761921783455884E-2</v>
      </c>
      <c r="AO574">
        <v>0.19546876437834926</v>
      </c>
      <c r="AR574">
        <v>8.4761505808550572E-4</v>
      </c>
      <c r="AS574">
        <v>4.2567918678456116E-3</v>
      </c>
      <c r="AT574">
        <v>9.9122802466753479E-2</v>
      </c>
      <c r="AU574">
        <v>1.8869820353128784E-3</v>
      </c>
      <c r="AV574">
        <v>2.0247559151601591E-3</v>
      </c>
      <c r="AW574">
        <v>3.0875086802212765E-3</v>
      </c>
      <c r="AX574">
        <v>2.9235382526280647E-4</v>
      </c>
      <c r="AY574">
        <v>4.0610135711223732E-4</v>
      </c>
      <c r="BB574">
        <v>5.3141624019099387E-2</v>
      </c>
      <c r="BC574">
        <v>2.7957520011415216E-2</v>
      </c>
      <c r="BE574">
        <v>29401.031990565742</v>
      </c>
      <c r="BF574">
        <v>21.412156110814436</v>
      </c>
      <c r="BG574">
        <v>31687.931767603135</v>
      </c>
      <c r="BH574">
        <v>21.402555071701631</v>
      </c>
    </row>
    <row r="575" spans="3:60" x14ac:dyDescent="0.2">
      <c r="C575" s="138">
        <v>34369.534010749398</v>
      </c>
      <c r="D575">
        <v>20.466364220283253</v>
      </c>
      <c r="E575" s="138">
        <v>36329.848757135151</v>
      </c>
      <c r="F575" s="138">
        <v>20.431349529479611</v>
      </c>
      <c r="G575" s="138">
        <v>-1960.3147463857531</v>
      </c>
      <c r="H575" s="138">
        <v>3.5014690803642168E-2</v>
      </c>
      <c r="N575" s="138"/>
      <c r="O575" s="138"/>
      <c r="P575" s="138"/>
      <c r="R575">
        <v>220.2120574293792</v>
      </c>
      <c r="S575">
        <v>67.067986403235039</v>
      </c>
      <c r="T575">
        <v>279.72843576488123</v>
      </c>
      <c r="U575">
        <v>83.765979503624465</v>
      </c>
      <c r="X575">
        <v>0.72641401031551189</v>
      </c>
      <c r="Y575">
        <v>0.71560829235338963</v>
      </c>
      <c r="Z575">
        <v>0.8077517337208675</v>
      </c>
      <c r="AA575">
        <v>0.6255462444346418</v>
      </c>
      <c r="AB575">
        <v>0.70481240744183427</v>
      </c>
      <c r="AC575">
        <v>0.92120264181859979</v>
      </c>
      <c r="AD575">
        <v>0.57868516984932761</v>
      </c>
      <c r="AE575">
        <v>0.76931772105219842</v>
      </c>
      <c r="AH575">
        <v>0.10401870934273183</v>
      </c>
      <c r="AI575">
        <v>0.23831256477409613</v>
      </c>
      <c r="AJ575">
        <v>2.994846627351011E-2</v>
      </c>
      <c r="AK575">
        <v>5.8400220894184951E-2</v>
      </c>
      <c r="AL575">
        <v>6.0901010776279629E-2</v>
      </c>
      <c r="AM575">
        <v>6.274029967217265E-3</v>
      </c>
      <c r="AN575">
        <v>0.21156926995786673</v>
      </c>
      <c r="AO575">
        <v>3.5127226819822388E-2</v>
      </c>
      <c r="AR575">
        <v>8.1828065457073508E-4</v>
      </c>
      <c r="AS575">
        <v>4.7849734329837856E-3</v>
      </c>
      <c r="AT575">
        <v>9.97198806362245E-2</v>
      </c>
      <c r="AU575">
        <v>2.0097468145222619E-3</v>
      </c>
      <c r="AV575">
        <v>2.0103882107407323E-3</v>
      </c>
      <c r="AW575">
        <v>3.2622145889691298E-3</v>
      </c>
      <c r="AX575">
        <v>4.0385945377641175E-4</v>
      </c>
      <c r="AY575">
        <v>4.9195823105530057E-4</v>
      </c>
      <c r="BB575">
        <v>4.8912789968696399E-2</v>
      </c>
      <c r="BC575">
        <v>5.306519317330638E-2</v>
      </c>
      <c r="BE575">
        <v>34369.534010749398</v>
      </c>
      <c r="BF575">
        <v>20.466364220283253</v>
      </c>
      <c r="BG575">
        <v>36329.848757135151</v>
      </c>
      <c r="BH575">
        <v>20.431349529479611</v>
      </c>
    </row>
    <row r="576" spans="3:60" x14ac:dyDescent="0.2">
      <c r="C576" s="138">
        <v>29551.845127192169</v>
      </c>
      <c r="D576">
        <v>21.347282536008162</v>
      </c>
      <c r="E576" s="138">
        <v>31475.383505137022</v>
      </c>
      <c r="F576" s="138">
        <v>21.340032575592868</v>
      </c>
      <c r="G576" s="138">
        <v>-1923.538377944853</v>
      </c>
      <c r="H576" s="138">
        <v>7.2499604152937991E-3</v>
      </c>
      <c r="N576" s="138"/>
      <c r="O576" s="138"/>
      <c r="P576" s="138"/>
      <c r="R576">
        <v>205.58296820206201</v>
      </c>
      <c r="S576">
        <v>63.149450555402012</v>
      </c>
      <c r="T576">
        <v>212.38635874257596</v>
      </c>
      <c r="U576">
        <v>110.18174363104748</v>
      </c>
      <c r="X576">
        <v>0.94591568564114903</v>
      </c>
      <c r="Y576">
        <v>0.52633621673655551</v>
      </c>
      <c r="Z576">
        <v>0.63693154316981204</v>
      </c>
      <c r="AA576">
        <v>0.73406771265845783</v>
      </c>
      <c r="AB576">
        <v>0.82880785019843861</v>
      </c>
      <c r="AC576">
        <v>0.83633142773875457</v>
      </c>
      <c r="AD576">
        <v>0.66633711676451668</v>
      </c>
      <c r="AE576">
        <v>0.72151930017283072</v>
      </c>
      <c r="AH576">
        <v>0.12742313446815023</v>
      </c>
      <c r="AI576">
        <v>0.10354451474075188</v>
      </c>
      <c r="AJ576">
        <v>9.6086584625613147E-2</v>
      </c>
      <c r="AK576">
        <v>0.13537802067890614</v>
      </c>
      <c r="AL576">
        <v>3.6209521060699523E-2</v>
      </c>
      <c r="AM576">
        <v>2.3086776866547476E-2</v>
      </c>
      <c r="AN576">
        <v>0.21904863838357924</v>
      </c>
      <c r="AO576">
        <v>2.4272698156227346E-2</v>
      </c>
      <c r="AR576">
        <v>8.7440164873893076E-4</v>
      </c>
      <c r="AS576">
        <v>4.6077088437782576E-3</v>
      </c>
      <c r="AT576">
        <v>0.10010774114862142</v>
      </c>
      <c r="AU576">
        <v>1.9349340195496804E-3</v>
      </c>
      <c r="AV576">
        <v>1.9626832256162095E-3</v>
      </c>
      <c r="AW576">
        <v>3.2992969019578649E-3</v>
      </c>
      <c r="AX576">
        <v>4.6570155404412894E-4</v>
      </c>
      <c r="AY576">
        <v>4.4563250039673474E-4</v>
      </c>
      <c r="BB576">
        <v>3.7570213474591663E-2</v>
      </c>
      <c r="BC576">
        <v>2.7628516403173695E-2</v>
      </c>
      <c r="BE576">
        <v>29551.845127192169</v>
      </c>
      <c r="BF576">
        <v>21.347282536008162</v>
      </c>
      <c r="BG576">
        <v>31475.383505137022</v>
      </c>
      <c r="BH576">
        <v>21.340032575592868</v>
      </c>
    </row>
    <row r="577" spans="3:60" x14ac:dyDescent="0.2">
      <c r="C577" s="138">
        <v>28940.033469808746</v>
      </c>
      <c r="D577">
        <v>20.905147932578263</v>
      </c>
      <c r="E577" s="138">
        <v>31149.161534376566</v>
      </c>
      <c r="F577" s="138">
        <v>20.881966533455916</v>
      </c>
      <c r="G577" s="138">
        <v>-2209.1280645678198</v>
      </c>
      <c r="H577" s="138">
        <v>2.3181399122346846E-2</v>
      </c>
      <c r="N577" s="138"/>
      <c r="O577" s="138"/>
      <c r="P577" s="138"/>
      <c r="R577">
        <v>150.94858187946116</v>
      </c>
      <c r="S577">
        <v>68.284058843354103</v>
      </c>
      <c r="T577">
        <v>248.48291740315281</v>
      </c>
      <c r="U577">
        <v>101.97407383317989</v>
      </c>
      <c r="X577">
        <v>0.76808468189971491</v>
      </c>
      <c r="Y577">
        <v>0.86324459732907555</v>
      </c>
      <c r="Z577">
        <v>0.82725560584642777</v>
      </c>
      <c r="AA577">
        <v>0.82084013754106566</v>
      </c>
      <c r="AB577">
        <v>0.65811235139340085</v>
      </c>
      <c r="AC577">
        <v>0.75978846657915289</v>
      </c>
      <c r="AD577">
        <v>0.66911134568535025</v>
      </c>
      <c r="AE577">
        <v>0.77728194860073874</v>
      </c>
      <c r="AH577">
        <v>0.22139218388174819</v>
      </c>
      <c r="AI577">
        <v>7.8237685999292594E-2</v>
      </c>
      <c r="AJ577">
        <v>0.18743236913819128</v>
      </c>
      <c r="AK577">
        <v>0.12928447243224328</v>
      </c>
      <c r="AL577">
        <v>3.6107633097682168E-2</v>
      </c>
      <c r="AM577">
        <v>1.9432892503487897E-2</v>
      </c>
      <c r="AN577">
        <v>0.10809231528543128</v>
      </c>
      <c r="AO577">
        <v>2.0230398232389146E-2</v>
      </c>
      <c r="AR577">
        <v>9.1646241556087027E-4</v>
      </c>
      <c r="AS577">
        <v>4.5657711780585641E-3</v>
      </c>
      <c r="AT577">
        <v>0.10011127876861758</v>
      </c>
      <c r="AU577">
        <v>2.038955239858975E-3</v>
      </c>
      <c r="AV577">
        <v>2.0095859660450577E-3</v>
      </c>
      <c r="AW577">
        <v>3.5550562884608672E-3</v>
      </c>
      <c r="AX577">
        <v>3.9920166292495285E-4</v>
      </c>
      <c r="AY577">
        <v>5.0133985697375927E-4</v>
      </c>
      <c r="BB577">
        <v>6.0984868800790903E-2</v>
      </c>
      <c r="BC577">
        <v>7.310803357788942E-2</v>
      </c>
      <c r="BE577">
        <v>28940.033469808746</v>
      </c>
      <c r="BF577">
        <v>20.905147932578263</v>
      </c>
      <c r="BG577">
        <v>31149.161534376566</v>
      </c>
      <c r="BH577">
        <v>20.881966533455916</v>
      </c>
    </row>
    <row r="578" spans="3:60" x14ac:dyDescent="0.2">
      <c r="C578" s="138">
        <v>26328.598858255933</v>
      </c>
      <c r="D578">
        <v>21.027142752772161</v>
      </c>
      <c r="E578" s="138">
        <v>28675.627690470425</v>
      </c>
      <c r="F578" s="138">
        <v>21.00616628221513</v>
      </c>
      <c r="G578" s="138">
        <v>-2347.0288322144916</v>
      </c>
      <c r="H578" s="138">
        <v>2.097647055703078E-2</v>
      </c>
      <c r="N578" s="138"/>
      <c r="O578" s="138"/>
      <c r="P578" s="138"/>
      <c r="R578">
        <v>153.94262083807118</v>
      </c>
      <c r="S578">
        <v>58.854970724796594</v>
      </c>
      <c r="T578">
        <v>255.82585556354309</v>
      </c>
      <c r="U578">
        <v>107.21354446078993</v>
      </c>
      <c r="X578">
        <v>0.78249480165885588</v>
      </c>
      <c r="Y578">
        <v>0.73086106150082131</v>
      </c>
      <c r="Z578">
        <v>0.55440787779379086</v>
      </c>
      <c r="AA578">
        <v>0.87456313594593549</v>
      </c>
      <c r="AB578">
        <v>0.75063746327581038</v>
      </c>
      <c r="AC578">
        <v>0.47546257029457395</v>
      </c>
      <c r="AD578">
        <v>0.91960269437294173</v>
      </c>
      <c r="AE578">
        <v>0.77288123589576041</v>
      </c>
      <c r="AH578">
        <v>6.4865117506756831E-2</v>
      </c>
      <c r="AI578">
        <v>3.1556420420561171E-2</v>
      </c>
      <c r="AJ578">
        <v>0.15052354607528728</v>
      </c>
      <c r="AK578">
        <v>0.24858775519624388</v>
      </c>
      <c r="AL578">
        <v>0.10561662863857935</v>
      </c>
      <c r="AM578">
        <v>0.17748361915438138</v>
      </c>
      <c r="AN578">
        <v>3.0537880650043481E-2</v>
      </c>
      <c r="AO578">
        <v>4.4302064052183954E-2</v>
      </c>
      <c r="AR578">
        <v>1.0714019572179989E-3</v>
      </c>
      <c r="AS578">
        <v>4.6013322414806268E-3</v>
      </c>
      <c r="AT578">
        <v>9.9513488441723266E-2</v>
      </c>
      <c r="AU578">
        <v>1.8623699843455805E-3</v>
      </c>
      <c r="AV578">
        <v>2.2557728512903052E-3</v>
      </c>
      <c r="AW578">
        <v>3.4822776508863784E-3</v>
      </c>
      <c r="AX578">
        <v>4.2904264050436236E-4</v>
      </c>
      <c r="AY578">
        <v>3.8822157214277127E-4</v>
      </c>
      <c r="BB578">
        <v>4.7619502469437268E-2</v>
      </c>
      <c r="BC578">
        <v>4.0564414318426043E-2</v>
      </c>
      <c r="BE578">
        <v>26328.598858255933</v>
      </c>
      <c r="BF578">
        <v>21.027142752772161</v>
      </c>
      <c r="BG578">
        <v>28675.627690470425</v>
      </c>
      <c r="BH578">
        <v>21.00616628221513</v>
      </c>
    </row>
    <row r="579" spans="3:60" x14ac:dyDescent="0.2">
      <c r="C579" s="138">
        <v>30060.760634931175</v>
      </c>
      <c r="D579">
        <v>20.445761914606592</v>
      </c>
      <c r="E579" s="138">
        <v>32238.643287814852</v>
      </c>
      <c r="F579" s="138">
        <v>20.398545459136781</v>
      </c>
      <c r="G579" s="138">
        <v>-2177.8826528836762</v>
      </c>
      <c r="H579" s="138">
        <v>4.7216455469811791E-2</v>
      </c>
      <c r="N579" s="138"/>
      <c r="O579" s="138"/>
      <c r="P579" s="138"/>
      <c r="R579">
        <v>378.16143759818772</v>
      </c>
      <c r="S579">
        <v>59.405470762450989</v>
      </c>
      <c r="T579">
        <v>251.32152596132988</v>
      </c>
      <c r="U579">
        <v>88.688662307277411</v>
      </c>
      <c r="X579">
        <v>0.8530872935423871</v>
      </c>
      <c r="Y579">
        <v>0.8380009805422004</v>
      </c>
      <c r="Z579">
        <v>0.5086991568059851</v>
      </c>
      <c r="AA579">
        <v>0.688386892939994</v>
      </c>
      <c r="AB579">
        <v>0.63289929180805238</v>
      </c>
      <c r="AC579">
        <v>0.82714375860821321</v>
      </c>
      <c r="AD579">
        <v>0.66782298289842523</v>
      </c>
      <c r="AE579">
        <v>0.5145725246262508</v>
      </c>
      <c r="AH579">
        <v>7.7424014086833637E-2</v>
      </c>
      <c r="AI579">
        <v>0.3065003669284202</v>
      </c>
      <c r="AJ579">
        <v>0.17802491327878156</v>
      </c>
      <c r="AK579">
        <v>0.18782852880465362</v>
      </c>
      <c r="AL579">
        <v>0.20595229951336158</v>
      </c>
      <c r="AM579">
        <v>6.2535335978060158E-2</v>
      </c>
      <c r="AN579">
        <v>0.25889624222754792</v>
      </c>
      <c r="AO579">
        <v>2.1347720677252546E-2</v>
      </c>
      <c r="AR579">
        <v>8.7819920113442994E-4</v>
      </c>
      <c r="AS579">
        <v>4.5326814901541779E-3</v>
      </c>
      <c r="AT579">
        <v>9.8816199772895519E-2</v>
      </c>
      <c r="AU579">
        <v>2.0284807556610884E-3</v>
      </c>
      <c r="AV579">
        <v>1.7765419401334114E-3</v>
      </c>
      <c r="AW579">
        <v>3.542741182915865E-3</v>
      </c>
      <c r="AX579">
        <v>3.2294301078669002E-4</v>
      </c>
      <c r="AY579">
        <v>4.0428246702712845E-4</v>
      </c>
      <c r="BB579">
        <v>5.3928673552082085E-2</v>
      </c>
      <c r="BC579">
        <v>6.0182596977235603E-2</v>
      </c>
      <c r="BE579">
        <v>30060.760634931175</v>
      </c>
      <c r="BF579">
        <v>20.445761914606592</v>
      </c>
      <c r="BG579">
        <v>32238.643287814852</v>
      </c>
      <c r="BH579">
        <v>20.398545459136781</v>
      </c>
    </row>
    <row r="580" spans="3:60" x14ac:dyDescent="0.2">
      <c r="C580" s="138">
        <v>29566.610332020347</v>
      </c>
      <c r="D580">
        <v>19.192497909914042</v>
      </c>
      <c r="E580" s="138">
        <v>31279.255810335206</v>
      </c>
      <c r="F580" s="138">
        <v>19.099963243610947</v>
      </c>
      <c r="G580" s="138">
        <v>-1712.6454783148583</v>
      </c>
      <c r="H580" s="138">
        <v>9.2534666303095037E-2</v>
      </c>
      <c r="N580" s="138"/>
      <c r="O580" s="138"/>
      <c r="P580" s="138"/>
      <c r="R580">
        <v>171.50691206075601</v>
      </c>
      <c r="S580">
        <v>63.662122068595735</v>
      </c>
      <c r="T580">
        <v>226.33361372931637</v>
      </c>
      <c r="U580">
        <v>71.84756205109619</v>
      </c>
      <c r="X580">
        <v>0.67371603909257849</v>
      </c>
      <c r="Y580">
        <v>0.53443777375562596</v>
      </c>
      <c r="Z580">
        <v>0.77301817902800951</v>
      </c>
      <c r="AA580">
        <v>0.92371245392988788</v>
      </c>
      <c r="AB580">
        <v>0.58258042735330418</v>
      </c>
      <c r="AC580">
        <v>0.85506057497013122</v>
      </c>
      <c r="AD580">
        <v>0.69078878971184554</v>
      </c>
      <c r="AE580">
        <v>0.64769935031855708</v>
      </c>
      <c r="AH580">
        <v>0.19432364275682679</v>
      </c>
      <c r="AI580">
        <v>0.14488316929187328</v>
      </c>
      <c r="AJ580">
        <v>1.7306661374905774E-2</v>
      </c>
      <c r="AK580">
        <v>9.6924061888794877E-2</v>
      </c>
      <c r="AL580">
        <v>0.30563600006136971</v>
      </c>
      <c r="AM580">
        <v>9.1090818327799417E-2</v>
      </c>
      <c r="AN580">
        <v>0.12053306016448651</v>
      </c>
      <c r="AO580">
        <v>0.15904751393134542</v>
      </c>
      <c r="AR580">
        <v>8.0009797471037127E-4</v>
      </c>
      <c r="AS580">
        <v>4.3696571736012765E-3</v>
      </c>
      <c r="AT580">
        <v>9.8906624792072725E-2</v>
      </c>
      <c r="AU580">
        <v>1.8689109716853362E-3</v>
      </c>
      <c r="AV580">
        <v>2.0676375298644967E-3</v>
      </c>
      <c r="AW580">
        <v>3.3660511030636419E-3</v>
      </c>
      <c r="AX580">
        <v>3.8982307275200746E-4</v>
      </c>
      <c r="AY580">
        <v>4.3974695601053547E-4</v>
      </c>
      <c r="BB580">
        <v>4.8121075037465412E-2</v>
      </c>
      <c r="BC580">
        <v>0.11140535752956293</v>
      </c>
      <c r="BE580">
        <v>29566.610332020347</v>
      </c>
      <c r="BF580">
        <v>19.192497909914042</v>
      </c>
      <c r="BG580">
        <v>31279.255810335206</v>
      </c>
      <c r="BH580">
        <v>19.099963243610947</v>
      </c>
    </row>
    <row r="581" spans="3:60" x14ac:dyDescent="0.2">
      <c r="C581" s="138">
        <v>31933.389346488842</v>
      </c>
      <c r="D581">
        <v>20.947673704285336</v>
      </c>
      <c r="E581" s="138">
        <v>34200.065735341777</v>
      </c>
      <c r="F581" s="138">
        <v>20.919483137214325</v>
      </c>
      <c r="G581" s="138">
        <v>-2266.6763888529349</v>
      </c>
      <c r="H581" s="138">
        <v>2.8190567071010975E-2</v>
      </c>
      <c r="N581" s="138"/>
      <c r="O581" s="138"/>
      <c r="P581" s="138"/>
      <c r="R581">
        <v>191.40354745911247</v>
      </c>
      <c r="S581">
        <v>64.888408980828515</v>
      </c>
      <c r="T581">
        <v>264.28648654021731</v>
      </c>
      <c r="U581">
        <v>75.916086196402489</v>
      </c>
      <c r="X581">
        <v>0.68968473334358682</v>
      </c>
      <c r="Y581">
        <v>0.83752613816433308</v>
      </c>
      <c r="Z581">
        <v>0.81880904268001875</v>
      </c>
      <c r="AA581">
        <v>0.71382805834912733</v>
      </c>
      <c r="AB581">
        <v>0.73323916396703204</v>
      </c>
      <c r="AC581">
        <v>0.83046917157558753</v>
      </c>
      <c r="AD581">
        <v>0.89315484622746832</v>
      </c>
      <c r="AE581">
        <v>0.87053096718221179</v>
      </c>
      <c r="AH581">
        <v>0.20296438221440427</v>
      </c>
      <c r="AI581">
        <v>0.1627374204867984</v>
      </c>
      <c r="AJ581">
        <v>2.9949248102463466E-2</v>
      </c>
      <c r="AK581">
        <v>5.7808374232227178E-2</v>
      </c>
      <c r="AL581">
        <v>0.12927306661641136</v>
      </c>
      <c r="AM581">
        <v>7.6125990417759581E-2</v>
      </c>
      <c r="AN581">
        <v>9.7782507848736655E-2</v>
      </c>
      <c r="AO581">
        <v>0.22665075053280981</v>
      </c>
      <c r="AR581">
        <v>8.803032855183476E-4</v>
      </c>
      <c r="AS581">
        <v>4.5085707331847802E-3</v>
      </c>
      <c r="AT581">
        <v>9.9114984479098292E-2</v>
      </c>
      <c r="AU581">
        <v>1.8618683968457618E-3</v>
      </c>
      <c r="AV581">
        <v>1.9930361927065392E-3</v>
      </c>
      <c r="AW581">
        <v>3.3533404074524292E-3</v>
      </c>
      <c r="AX581">
        <v>5.0575153395016059E-4</v>
      </c>
      <c r="AY581">
        <v>3.7545349393697887E-4</v>
      </c>
      <c r="BB581">
        <v>4.397763106269223E-2</v>
      </c>
      <c r="BC581">
        <v>9.7206071088441703E-2</v>
      </c>
      <c r="BE581">
        <v>31933.389346488842</v>
      </c>
      <c r="BF581">
        <v>20.947673704285336</v>
      </c>
      <c r="BG581">
        <v>34200.065735341777</v>
      </c>
      <c r="BH581">
        <v>20.919483137214325</v>
      </c>
    </row>
    <row r="582" spans="3:60" x14ac:dyDescent="0.2">
      <c r="C582" s="138">
        <v>32334.636960549866</v>
      </c>
      <c r="D582">
        <v>21.381548457586749</v>
      </c>
      <c r="E582" s="138">
        <v>34607.701910128329</v>
      </c>
      <c r="F582" s="138">
        <v>21.365904214697387</v>
      </c>
      <c r="G582" s="138">
        <v>-2273.0649495784637</v>
      </c>
      <c r="H582" s="138">
        <v>1.5644242889361948E-2</v>
      </c>
      <c r="N582" s="138"/>
      <c r="O582" s="138"/>
      <c r="P582" s="138"/>
      <c r="R582">
        <v>289.63923433839244</v>
      </c>
      <c r="S582">
        <v>66.929245299002659</v>
      </c>
      <c r="T582">
        <v>248.76895804530537</v>
      </c>
      <c r="U582">
        <v>92.997558831281964</v>
      </c>
      <c r="X582">
        <v>0.68768805134758426</v>
      </c>
      <c r="Y582">
        <v>0.73023918081119521</v>
      </c>
      <c r="Z582">
        <v>0.95081783982558532</v>
      </c>
      <c r="AA582">
        <v>0.89796857516861983</v>
      </c>
      <c r="AB582">
        <v>0.72272977991651011</v>
      </c>
      <c r="AC582">
        <v>0.73361338028038481</v>
      </c>
      <c r="AD582">
        <v>0.6345456832960974</v>
      </c>
      <c r="AE582">
        <v>0.703829951094043</v>
      </c>
      <c r="AH582">
        <v>0.13662386104092927</v>
      </c>
      <c r="AI582">
        <v>5.9109833024123981E-2</v>
      </c>
      <c r="AJ582">
        <v>0.22809367229297228</v>
      </c>
      <c r="AK582">
        <v>0.10490150714444413</v>
      </c>
      <c r="AL582">
        <v>7.8780620350048958E-2</v>
      </c>
      <c r="AM582">
        <v>0.13193509637352985</v>
      </c>
      <c r="AN582">
        <v>4.4065250767572284E-2</v>
      </c>
      <c r="AO582">
        <v>0.12293553348243413</v>
      </c>
      <c r="AR582">
        <v>8.6777560311994948E-4</v>
      </c>
      <c r="AS582">
        <v>4.4507257528931263E-3</v>
      </c>
      <c r="AT582">
        <v>9.7595148438814908E-2</v>
      </c>
      <c r="AU582">
        <v>1.9261430480037938E-3</v>
      </c>
      <c r="AV582">
        <v>2.1175670279949266E-3</v>
      </c>
      <c r="AW582">
        <v>3.1608716768895687E-3</v>
      </c>
      <c r="AX582">
        <v>4.2650351776263307E-4</v>
      </c>
      <c r="AY582">
        <v>4.6754959432282472E-4</v>
      </c>
      <c r="BB582">
        <v>5.4932864375447643E-2</v>
      </c>
      <c r="BC582">
        <v>5.428186866705087E-2</v>
      </c>
      <c r="BE582">
        <v>32334.636960549866</v>
      </c>
      <c r="BF582">
        <v>21.381548457586749</v>
      </c>
      <c r="BG582">
        <v>34607.701910128329</v>
      </c>
      <c r="BH582">
        <v>21.365904214697387</v>
      </c>
    </row>
    <row r="583" spans="3:60" x14ac:dyDescent="0.2">
      <c r="C583" s="138">
        <v>44435.793323590187</v>
      </c>
      <c r="D583">
        <v>20.008426120078354</v>
      </c>
      <c r="E583" s="138">
        <v>47526.374115860184</v>
      </c>
      <c r="F583" s="138">
        <v>19.932623401342425</v>
      </c>
      <c r="G583" s="138">
        <v>-3090.5807922699969</v>
      </c>
      <c r="H583" s="138">
        <v>7.580271873592892E-2</v>
      </c>
      <c r="N583" s="138"/>
      <c r="O583" s="138"/>
      <c r="P583" s="138"/>
      <c r="R583">
        <v>212.00479408057868</v>
      </c>
      <c r="S583">
        <v>61.744232193271642</v>
      </c>
      <c r="T583">
        <v>287.58067652210423</v>
      </c>
      <c r="U583">
        <v>95.103558061893679</v>
      </c>
      <c r="X583">
        <v>0.67047127012586394</v>
      </c>
      <c r="Y583">
        <v>0.7626864194956261</v>
      </c>
      <c r="Z583">
        <v>0.8700623933962055</v>
      </c>
      <c r="AA583">
        <v>0.63174939729703605</v>
      </c>
      <c r="AB583">
        <v>0.85895306819783201</v>
      </c>
      <c r="AC583">
        <v>0.86735877964571595</v>
      </c>
      <c r="AD583">
        <v>0.61695240933012196</v>
      </c>
      <c r="AE583">
        <v>0.62158969992781821</v>
      </c>
      <c r="AH583">
        <v>8.340240392640963E-2</v>
      </c>
      <c r="AI583">
        <v>0.12833120315567137</v>
      </c>
      <c r="AJ583">
        <v>0.15097335391299094</v>
      </c>
      <c r="AK583">
        <v>3.775384635540735E-2</v>
      </c>
      <c r="AL583">
        <v>0.14562168401261588</v>
      </c>
      <c r="AM583">
        <v>0.11587194128769529</v>
      </c>
      <c r="AN583">
        <v>0.10995127748671785</v>
      </c>
      <c r="AO583">
        <v>9.3014362573074383E-2</v>
      </c>
      <c r="AR583">
        <v>9.0116581500943038E-4</v>
      </c>
      <c r="AS583">
        <v>4.4380465463806223E-3</v>
      </c>
      <c r="AT583">
        <v>0.10063919879762739</v>
      </c>
      <c r="AU583">
        <v>2.2727135755262751E-3</v>
      </c>
      <c r="AV583">
        <v>2.02376073729027E-3</v>
      </c>
      <c r="AW583">
        <v>3.5571299270565904E-3</v>
      </c>
      <c r="AX583">
        <v>3.8598676086452996E-4</v>
      </c>
      <c r="AY583">
        <v>4.2424174940859454E-4</v>
      </c>
      <c r="BB583">
        <v>5.2117932164704173E-2</v>
      </c>
      <c r="BC583">
        <v>4.0616411392087756E-2</v>
      </c>
      <c r="BE583">
        <v>44435.793323590187</v>
      </c>
      <c r="BF583">
        <v>20.008426120078354</v>
      </c>
      <c r="BG583">
        <v>47526.374115860184</v>
      </c>
      <c r="BH583">
        <v>19.932623401342425</v>
      </c>
    </row>
    <row r="584" spans="3:60" x14ac:dyDescent="0.2">
      <c r="C584" s="138">
        <v>29202.622079063371</v>
      </c>
      <c r="D584">
        <v>21.304741281364883</v>
      </c>
      <c r="E584" s="138">
        <v>31119.156536047507</v>
      </c>
      <c r="F584" s="138">
        <v>21.304045855748011</v>
      </c>
      <c r="G584" s="138">
        <v>-1916.5344569841363</v>
      </c>
      <c r="H584" s="138">
        <v>6.9542561687185867E-4</v>
      </c>
      <c r="N584" s="138"/>
      <c r="O584" s="138"/>
      <c r="P584" s="138"/>
      <c r="R584">
        <v>262.48873277601319</v>
      </c>
      <c r="S584">
        <v>59.162975175796198</v>
      </c>
      <c r="T584">
        <v>251.94054820431413</v>
      </c>
      <c r="U584">
        <v>91.072959392141584</v>
      </c>
      <c r="X584">
        <v>0.6290573787412419</v>
      </c>
      <c r="Y584">
        <v>0.78192486247814352</v>
      </c>
      <c r="Z584">
        <v>0.65521189924358769</v>
      </c>
      <c r="AA584">
        <v>0.74527176118891347</v>
      </c>
      <c r="AB584">
        <v>0.86863933269194504</v>
      </c>
      <c r="AC584">
        <v>0.56390956461881625</v>
      </c>
      <c r="AD584">
        <v>0.69165564579992744</v>
      </c>
      <c r="AE584">
        <v>0.77468323410486573</v>
      </c>
      <c r="AH584">
        <v>5.4112745702251441E-2</v>
      </c>
      <c r="AI584">
        <v>8.8948481445995209E-2</v>
      </c>
      <c r="AJ584">
        <v>0.10082748242633621</v>
      </c>
      <c r="AK584">
        <v>0.20301863919281238</v>
      </c>
      <c r="AL584">
        <v>9.7007072588635834E-2</v>
      </c>
      <c r="AM584">
        <v>2.1083849787742914E-2</v>
      </c>
      <c r="AN584">
        <v>9.2925208495016065E-2</v>
      </c>
      <c r="AO584">
        <v>9.7516555296369933E-2</v>
      </c>
      <c r="AR584">
        <v>9.661655008010861E-4</v>
      </c>
      <c r="AS584">
        <v>4.7513674308792275E-3</v>
      </c>
      <c r="AT584">
        <v>0.10052278377296897</v>
      </c>
      <c r="AU584">
        <v>1.8427937905972805E-3</v>
      </c>
      <c r="AV584">
        <v>2.0243727614538409E-3</v>
      </c>
      <c r="AW584">
        <v>3.241083187304972E-3</v>
      </c>
      <c r="AX584">
        <v>5.2034860325234078E-4</v>
      </c>
      <c r="AY584">
        <v>5.1352718331076908E-4</v>
      </c>
      <c r="BB584">
        <v>4.9882960241239394E-2</v>
      </c>
      <c r="BC584">
        <v>5.1125975000160251E-2</v>
      </c>
      <c r="BE584">
        <v>29202.622079063371</v>
      </c>
      <c r="BF584">
        <v>21.304741281364883</v>
      </c>
      <c r="BG584">
        <v>31119.156536047507</v>
      </c>
      <c r="BH584">
        <v>21.304045855748011</v>
      </c>
    </row>
    <row r="585" spans="3:60" x14ac:dyDescent="0.2">
      <c r="C585" s="138">
        <v>35367.541217379679</v>
      </c>
      <c r="D585">
        <v>21.28875418102594</v>
      </c>
      <c r="E585" s="138">
        <v>38048.863186699906</v>
      </c>
      <c r="F585" s="138">
        <v>21.273555696544317</v>
      </c>
      <c r="G585" s="138">
        <v>-2681.3219693202263</v>
      </c>
      <c r="H585" s="138">
        <v>1.5198484481622643E-2</v>
      </c>
      <c r="N585" s="138"/>
      <c r="O585" s="138"/>
      <c r="P585" s="138"/>
      <c r="R585">
        <v>322.14663047578898</v>
      </c>
      <c r="S585">
        <v>49.236520525600888</v>
      </c>
      <c r="T585">
        <v>242.28625463454341</v>
      </c>
      <c r="U585">
        <v>95.058938299491885</v>
      </c>
      <c r="X585">
        <v>0.77076684568796816</v>
      </c>
      <c r="Y585">
        <v>0.56852087708658827</v>
      </c>
      <c r="Z585">
        <v>0.72503189897024634</v>
      </c>
      <c r="AA585">
        <v>0.76822960499617521</v>
      </c>
      <c r="AB585">
        <v>0.95795162300437786</v>
      </c>
      <c r="AC585">
        <v>0.80618605477875604</v>
      </c>
      <c r="AD585">
        <v>0.7371450825915391</v>
      </c>
      <c r="AE585">
        <v>0.92555836617896015</v>
      </c>
      <c r="AH585">
        <v>0.12198623650266005</v>
      </c>
      <c r="AI585">
        <v>0.16623270525518852</v>
      </c>
      <c r="AJ585">
        <v>0.23797664885200243</v>
      </c>
      <c r="AK585">
        <v>0.12286741368805865</v>
      </c>
      <c r="AL585">
        <v>3.9212724043094616E-2</v>
      </c>
      <c r="AM585">
        <v>6.786194961456804E-2</v>
      </c>
      <c r="AN585">
        <v>0.1097565387353866</v>
      </c>
      <c r="AO585">
        <v>0.10257740995959963</v>
      </c>
      <c r="AR585">
        <v>9.9303780091186677E-4</v>
      </c>
      <c r="AS585">
        <v>4.4244162596004822E-3</v>
      </c>
      <c r="AT585">
        <v>0.10052656020838224</v>
      </c>
      <c r="AU585">
        <v>1.9655427243678216E-3</v>
      </c>
      <c r="AV585">
        <v>1.7184717495082155E-3</v>
      </c>
      <c r="AW585">
        <v>3.425079789418306E-3</v>
      </c>
      <c r="AX585">
        <v>3.228150179533498E-4</v>
      </c>
      <c r="AY585">
        <v>5.2059192482034611E-4</v>
      </c>
      <c r="BB585">
        <v>4.4030308037951917E-2</v>
      </c>
      <c r="BC585">
        <v>8.8415548617608808E-2</v>
      </c>
      <c r="BE585">
        <v>35367.541217379679</v>
      </c>
      <c r="BF585">
        <v>21.28875418102594</v>
      </c>
      <c r="BG585">
        <v>38048.863186699906</v>
      </c>
      <c r="BH585">
        <v>21.273555696544317</v>
      </c>
    </row>
    <row r="586" spans="3:60" x14ac:dyDescent="0.2">
      <c r="C586" s="138">
        <v>30655.635800483837</v>
      </c>
      <c r="D586">
        <v>21.141859019381052</v>
      </c>
      <c r="E586" s="138">
        <v>32895.43490836861</v>
      </c>
      <c r="F586" s="138">
        <v>21.113782906628959</v>
      </c>
      <c r="G586" s="138">
        <v>-2239.7991078847735</v>
      </c>
      <c r="H586" s="138">
        <v>2.8076112752092541E-2</v>
      </c>
      <c r="N586" s="138"/>
      <c r="O586" s="138"/>
      <c r="P586" s="138"/>
      <c r="R586">
        <v>124.82937992657139</v>
      </c>
      <c r="S586">
        <v>70.770712368199838</v>
      </c>
      <c r="T586">
        <v>224.98325323954484</v>
      </c>
      <c r="U586">
        <v>96.610508948322703</v>
      </c>
      <c r="X586">
        <v>0.85312508177467317</v>
      </c>
      <c r="Y586">
        <v>0.89805853849692918</v>
      </c>
      <c r="Z586">
        <v>0.87931863177755398</v>
      </c>
      <c r="AA586">
        <v>0.55957652514460199</v>
      </c>
      <c r="AB586">
        <v>0.5639709173441072</v>
      </c>
      <c r="AC586">
        <v>0.64701556285077344</v>
      </c>
      <c r="AD586">
        <v>0.5411328126485706</v>
      </c>
      <c r="AE586">
        <v>0.55273966337046754</v>
      </c>
      <c r="AH586">
        <v>0.12556859494813621</v>
      </c>
      <c r="AI586">
        <v>9.4686738601050147E-2</v>
      </c>
      <c r="AJ586">
        <v>0.16879193208675591</v>
      </c>
      <c r="AK586">
        <v>0.12675922462906175</v>
      </c>
      <c r="AL586">
        <v>0.24801800734900092</v>
      </c>
      <c r="AM586">
        <v>0.10116745394775495</v>
      </c>
      <c r="AN586">
        <v>0.16105263106917844</v>
      </c>
      <c r="AO586">
        <v>8.5138140737640589E-2</v>
      </c>
      <c r="AR586">
        <v>7.4449737423339427E-4</v>
      </c>
      <c r="AS586">
        <v>4.473513783615584E-3</v>
      </c>
      <c r="AT586">
        <v>0.10158046701716206</v>
      </c>
      <c r="AU586">
        <v>1.8643610310045335E-3</v>
      </c>
      <c r="AV586">
        <v>1.8753003895325287E-3</v>
      </c>
      <c r="AW586">
        <v>3.207277396414483E-3</v>
      </c>
      <c r="AX586">
        <v>5.2013310269638513E-4</v>
      </c>
      <c r="AY586">
        <v>4.1616899914571876E-4</v>
      </c>
      <c r="BB586">
        <v>5.8371189963847714E-2</v>
      </c>
      <c r="BC586">
        <v>3.1547205388683996E-2</v>
      </c>
      <c r="BE586">
        <v>30655.635800483837</v>
      </c>
      <c r="BF586">
        <v>21.141859019381052</v>
      </c>
      <c r="BG586">
        <v>32895.43490836861</v>
      </c>
      <c r="BH586">
        <v>21.113782906628959</v>
      </c>
    </row>
    <row r="587" spans="3:60" x14ac:dyDescent="0.2">
      <c r="C587" s="138">
        <v>36634.918718857698</v>
      </c>
      <c r="D587">
        <v>21.524088335786757</v>
      </c>
      <c r="E587" s="138">
        <v>38702.522096307388</v>
      </c>
      <c r="F587" s="138">
        <v>21.499009365610679</v>
      </c>
      <c r="G587" s="138">
        <v>-2067.60337744969</v>
      </c>
      <c r="H587" s="138">
        <v>2.5078970176078741E-2</v>
      </c>
      <c r="N587" s="138"/>
      <c r="O587" s="138"/>
      <c r="P587" s="138"/>
      <c r="R587">
        <v>225.40182139594287</v>
      </c>
      <c r="S587">
        <v>63.183183983652413</v>
      </c>
      <c r="T587">
        <v>265.82442586261806</v>
      </c>
      <c r="U587">
        <v>98.774284116017654</v>
      </c>
      <c r="X587">
        <v>0.88135395052418763</v>
      </c>
      <c r="Y587">
        <v>0.59452906101911351</v>
      </c>
      <c r="Z587">
        <v>0.82184814778881865</v>
      </c>
      <c r="AA587">
        <v>0.80770939065774006</v>
      </c>
      <c r="AB587">
        <v>0.82048900873042485</v>
      </c>
      <c r="AC587">
        <v>0.90009350639520425</v>
      </c>
      <c r="AD587">
        <v>0.70953386130120399</v>
      </c>
      <c r="AE587">
        <v>0.88739813285602831</v>
      </c>
      <c r="AH587">
        <v>7.8134857302247229E-2</v>
      </c>
      <c r="AI587">
        <v>8.7641618985191738E-2</v>
      </c>
      <c r="AJ587">
        <v>5.4039280568849657E-2</v>
      </c>
      <c r="AK587">
        <v>0.13019054142113162</v>
      </c>
      <c r="AL587">
        <v>6.9882632770714048E-2</v>
      </c>
      <c r="AM587">
        <v>0.13172245335278909</v>
      </c>
      <c r="AN587">
        <v>0.13857684087375632</v>
      </c>
      <c r="AO587">
        <v>7.74671353898162E-2</v>
      </c>
      <c r="AR587">
        <v>8.8242915516224916E-4</v>
      </c>
      <c r="AS587">
        <v>4.6244130770306535E-3</v>
      </c>
      <c r="AT587">
        <v>9.9186446126357006E-2</v>
      </c>
      <c r="AU587">
        <v>1.8634931698423094E-3</v>
      </c>
      <c r="AV587">
        <v>1.8003982820044746E-3</v>
      </c>
      <c r="AW587">
        <v>3.2201944164502068E-3</v>
      </c>
      <c r="AX587">
        <v>2.8215349105220139E-4</v>
      </c>
      <c r="AY587">
        <v>4.2011343244106132E-4</v>
      </c>
      <c r="BB587">
        <v>5.2532927365950055E-2</v>
      </c>
      <c r="BC587">
        <v>3.964571927393324E-2</v>
      </c>
      <c r="BE587">
        <v>36634.918718857698</v>
      </c>
      <c r="BF587">
        <v>21.524088335786757</v>
      </c>
      <c r="BG587">
        <v>38702.522096307388</v>
      </c>
      <c r="BH587">
        <v>21.499009365610679</v>
      </c>
    </row>
    <row r="588" spans="3:60" x14ac:dyDescent="0.2">
      <c r="C588" s="138">
        <v>33900.634831704352</v>
      </c>
      <c r="D588">
        <v>21.079403834246872</v>
      </c>
      <c r="E588" s="138">
        <v>35520.823885105303</v>
      </c>
      <c r="F588" s="138">
        <v>21.06072690307851</v>
      </c>
      <c r="G588" s="138">
        <v>-1620.1890534009508</v>
      </c>
      <c r="H588" s="138">
        <v>1.8676931168361222E-2</v>
      </c>
      <c r="N588" s="138"/>
      <c r="O588" s="138"/>
      <c r="P588" s="138"/>
      <c r="R588">
        <v>357.57406172646364</v>
      </c>
      <c r="S588">
        <v>53.741953518134267</v>
      </c>
      <c r="T588">
        <v>248.45161220191173</v>
      </c>
      <c r="U588">
        <v>83.824670162411039</v>
      </c>
      <c r="X588">
        <v>0.40910487190466449</v>
      </c>
      <c r="Y588">
        <v>0.74280557699445282</v>
      </c>
      <c r="Z588">
        <v>0.54209370415589053</v>
      </c>
      <c r="AA588">
        <v>0.64047480671135282</v>
      </c>
      <c r="AB588">
        <v>0.86765167518977426</v>
      </c>
      <c r="AC588">
        <v>0.92235893948367487</v>
      </c>
      <c r="AD588">
        <v>0.7571719707280733</v>
      </c>
      <c r="AE588">
        <v>0.89117979869168529</v>
      </c>
      <c r="AH588">
        <v>0.10116982395444429</v>
      </c>
      <c r="AI588">
        <v>0.202135791675364</v>
      </c>
      <c r="AJ588">
        <v>0.3955519500374074</v>
      </c>
      <c r="AK588">
        <v>0.22503565048990826</v>
      </c>
      <c r="AL588">
        <v>9.4187939661660502E-2</v>
      </c>
      <c r="AM588">
        <v>0.10709999289292926</v>
      </c>
      <c r="AN588">
        <v>0.14747228408796031</v>
      </c>
      <c r="AO588">
        <v>0.1412457588398176</v>
      </c>
      <c r="AR588">
        <v>7.6579201137937601E-4</v>
      </c>
      <c r="AS588">
        <v>4.1119617132259062E-3</v>
      </c>
      <c r="AT588">
        <v>0.10010716673496745</v>
      </c>
      <c r="AU588">
        <v>2.116869673021049E-3</v>
      </c>
      <c r="AV588">
        <v>1.9027380885545896E-3</v>
      </c>
      <c r="AW588">
        <v>3.5342539900602432E-3</v>
      </c>
      <c r="AX588">
        <v>3.3108618312381816E-4</v>
      </c>
      <c r="AY588">
        <v>3.6396571050087098E-4</v>
      </c>
      <c r="BB588">
        <v>4.8795586956741292E-2</v>
      </c>
      <c r="BC588">
        <v>6.6936385240739971E-2</v>
      </c>
      <c r="BE588">
        <v>33900.634831704352</v>
      </c>
      <c r="BF588">
        <v>21.079403834246872</v>
      </c>
      <c r="BG588">
        <v>35520.823885105303</v>
      </c>
      <c r="BH588">
        <v>21.06072690307851</v>
      </c>
    </row>
    <row r="589" spans="3:60" x14ac:dyDescent="0.2">
      <c r="C589" s="138">
        <v>28964.554764451401</v>
      </c>
      <c r="D589">
        <v>20.75060762928609</v>
      </c>
      <c r="E589" s="138">
        <v>30604.242667178121</v>
      </c>
      <c r="F589" s="138">
        <v>20.704786558732145</v>
      </c>
      <c r="G589" s="138">
        <v>-1639.6879027267205</v>
      </c>
      <c r="H589" s="138">
        <v>4.582107055394502E-2</v>
      </c>
      <c r="N589" s="138"/>
      <c r="O589" s="138"/>
      <c r="P589" s="138"/>
      <c r="R589">
        <v>419.1202146554611</v>
      </c>
      <c r="S589">
        <v>66.881794309384745</v>
      </c>
      <c r="T589">
        <v>272.81653861337333</v>
      </c>
      <c r="U589">
        <v>84.267659723382565</v>
      </c>
      <c r="X589">
        <v>0.85998265030028875</v>
      </c>
      <c r="Y589">
        <v>0.67005965749239615</v>
      </c>
      <c r="Z589">
        <v>0.95874845061278391</v>
      </c>
      <c r="AA589">
        <v>0.87763669788595289</v>
      </c>
      <c r="AB589">
        <v>0.86433260808107959</v>
      </c>
      <c r="AC589">
        <v>0.91784216022598553</v>
      </c>
      <c r="AD589">
        <v>0.64505375070124082</v>
      </c>
      <c r="AE589">
        <v>0.66009590921130956</v>
      </c>
      <c r="AH589">
        <v>0.25710813269440913</v>
      </c>
      <c r="AI589">
        <v>5.6158471955567668E-2</v>
      </c>
      <c r="AJ589">
        <v>2.1524721565525429E-2</v>
      </c>
      <c r="AK589">
        <v>2.9949158886046545E-2</v>
      </c>
      <c r="AL589">
        <v>4.4976662186771543E-2</v>
      </c>
      <c r="AM589">
        <v>8.5324507331251187E-2</v>
      </c>
      <c r="AN589">
        <v>0.13411974951287409</v>
      </c>
      <c r="AO589">
        <v>8.5495462396474653E-2</v>
      </c>
      <c r="AR589">
        <v>9.3993609786446886E-4</v>
      </c>
      <c r="AS589">
        <v>4.127545628644016E-3</v>
      </c>
      <c r="AT589">
        <v>9.9420983461148874E-2</v>
      </c>
      <c r="AU589">
        <v>2.1031140770954027E-3</v>
      </c>
      <c r="AV589">
        <v>1.8944600044864565E-3</v>
      </c>
      <c r="AW589">
        <v>3.1786317177913866E-3</v>
      </c>
      <c r="AX589">
        <v>4.0093340102620445E-4</v>
      </c>
      <c r="AY589">
        <v>4.1597344010785851E-4</v>
      </c>
      <c r="BB589">
        <v>4.4964351232413186E-2</v>
      </c>
      <c r="BC589">
        <v>4.4214032609282458E-2</v>
      </c>
      <c r="BE589">
        <v>28964.554764451401</v>
      </c>
      <c r="BF589">
        <v>20.75060762928609</v>
      </c>
      <c r="BG589">
        <v>30604.242667178121</v>
      </c>
      <c r="BH589">
        <v>20.704786558732145</v>
      </c>
    </row>
    <row r="590" spans="3:60" x14ac:dyDescent="0.2">
      <c r="C590" s="138">
        <v>34605.547104522455</v>
      </c>
      <c r="D590">
        <v>20.194973252757475</v>
      </c>
      <c r="E590" s="138">
        <v>36481.912178256665</v>
      </c>
      <c r="F590" s="138">
        <v>20.144004383341841</v>
      </c>
      <c r="G590" s="138">
        <v>-1876.3650737342105</v>
      </c>
      <c r="H590" s="138">
        <v>5.0968869415633833E-2</v>
      </c>
      <c r="N590" s="138"/>
      <c r="O590" s="138"/>
      <c r="P590" s="138"/>
      <c r="R590">
        <v>163.28719736464782</v>
      </c>
      <c r="S590">
        <v>73.198174902689601</v>
      </c>
      <c r="T590">
        <v>230.96854738742218</v>
      </c>
      <c r="U590">
        <v>99.849639964810095</v>
      </c>
      <c r="X590">
        <v>0.92587677677972624</v>
      </c>
      <c r="Y590">
        <v>0.64580702527843936</v>
      </c>
      <c r="Z590">
        <v>0.78789506021569777</v>
      </c>
      <c r="AA590">
        <v>0.7707246389615755</v>
      </c>
      <c r="AB590">
        <v>0.78038394191398874</v>
      </c>
      <c r="AC590">
        <v>0.693086386420942</v>
      </c>
      <c r="AD590">
        <v>0.77148718534423877</v>
      </c>
      <c r="AE590">
        <v>0.56503449243091364</v>
      </c>
      <c r="AH590">
        <v>6.0492307589482763E-2</v>
      </c>
      <c r="AI590">
        <v>8.3317987486981937E-2</v>
      </c>
      <c r="AJ590">
        <v>0.22523266500176908</v>
      </c>
      <c r="AK590">
        <v>7.6496329318528788E-2</v>
      </c>
      <c r="AL590">
        <v>0.20129535773787177</v>
      </c>
      <c r="AM590">
        <v>0.27420968727923167</v>
      </c>
      <c r="AN590">
        <v>0.19377784483470717</v>
      </c>
      <c r="AO590">
        <v>0.10624468096384332</v>
      </c>
      <c r="AR590">
        <v>7.8366423254834928E-4</v>
      </c>
      <c r="AS590">
        <v>4.5089368172772648E-3</v>
      </c>
      <c r="AT590">
        <v>0.10036298567633006</v>
      </c>
      <c r="AU590">
        <v>2.1041957339620332E-3</v>
      </c>
      <c r="AV590">
        <v>2.2344426486443636E-3</v>
      </c>
      <c r="AW590">
        <v>2.9774438749034793E-3</v>
      </c>
      <c r="AX590">
        <v>3.7157508871211742E-4</v>
      </c>
      <c r="AY590">
        <v>4.8734929466465182E-4</v>
      </c>
      <c r="BB590">
        <v>4.7048383381179379E-2</v>
      </c>
      <c r="BC590">
        <v>3.2066903314705061E-2</v>
      </c>
      <c r="BE590">
        <v>34605.547104522455</v>
      </c>
      <c r="BF590">
        <v>20.194973252757475</v>
      </c>
      <c r="BG590">
        <v>36481.912178256665</v>
      </c>
      <c r="BH590">
        <v>20.144004383341841</v>
      </c>
    </row>
    <row r="591" spans="3:60" x14ac:dyDescent="0.2">
      <c r="C591" s="138">
        <v>31348.840285390797</v>
      </c>
      <c r="D591">
        <v>20.840040019042441</v>
      </c>
      <c r="E591" s="138">
        <v>34179.783932444225</v>
      </c>
      <c r="F591" s="138">
        <v>20.801142287617086</v>
      </c>
      <c r="G591" s="138">
        <v>-2830.9436470534274</v>
      </c>
      <c r="H591" s="138">
        <v>3.8897731425354465E-2</v>
      </c>
      <c r="N591" s="138"/>
      <c r="O591" s="138"/>
      <c r="P591" s="138"/>
      <c r="R591">
        <v>111.18920910132329</v>
      </c>
      <c r="S591">
        <v>71.250259940390222</v>
      </c>
      <c r="T591">
        <v>243.07946315744792</v>
      </c>
      <c r="U591">
        <v>111.46097923542555</v>
      </c>
      <c r="X591">
        <v>0.75130985412363349</v>
      </c>
      <c r="Y591">
        <v>0.71710720764100377</v>
      </c>
      <c r="Z591">
        <v>0.63753274697151097</v>
      </c>
      <c r="AA591">
        <v>0.84865460446060992</v>
      </c>
      <c r="AB591">
        <v>0.55576542045056943</v>
      </c>
      <c r="AC591">
        <v>0.87009706049522673</v>
      </c>
      <c r="AD591">
        <v>0.56202338421321929</v>
      </c>
      <c r="AE591">
        <v>0.89151079320179916</v>
      </c>
      <c r="AH591">
        <v>5.2464857887409511E-2</v>
      </c>
      <c r="AI591">
        <v>0.24055155446694565</v>
      </c>
      <c r="AJ591">
        <v>0.15995068774289767</v>
      </c>
      <c r="AK591">
        <v>0.15863152401733815</v>
      </c>
      <c r="AL591">
        <v>1.2250377624869802E-2</v>
      </c>
      <c r="AM591">
        <v>0.17906251726465905</v>
      </c>
      <c r="AN591">
        <v>0.12702107743025826</v>
      </c>
      <c r="AO591">
        <v>0.30829519522607041</v>
      </c>
      <c r="AR591">
        <v>8.2616565535216318E-4</v>
      </c>
      <c r="AS591">
        <v>3.9838266719611388E-3</v>
      </c>
      <c r="AT591">
        <v>0.10144822030953482</v>
      </c>
      <c r="AU591">
        <v>1.8611071620376876E-3</v>
      </c>
      <c r="AV591">
        <v>1.9271671640531431E-3</v>
      </c>
      <c r="AW591">
        <v>3.4889321912296989E-3</v>
      </c>
      <c r="AX591">
        <v>4.7573081890428526E-4</v>
      </c>
      <c r="AY591">
        <v>3.9761798120783201E-4</v>
      </c>
      <c r="BB591">
        <v>4.8065841189485745E-2</v>
      </c>
      <c r="BC591">
        <v>3.0227645049233941E-2</v>
      </c>
      <c r="BE591">
        <v>31348.840285390797</v>
      </c>
      <c r="BF591">
        <v>20.840040019042441</v>
      </c>
      <c r="BG591">
        <v>34179.783932444225</v>
      </c>
      <c r="BH591">
        <v>20.801142287617086</v>
      </c>
    </row>
    <row r="592" spans="3:60" x14ac:dyDescent="0.2">
      <c r="C592" s="138">
        <v>35810.009356966628</v>
      </c>
      <c r="D592">
        <v>20.616999810651262</v>
      </c>
      <c r="E592" s="138">
        <v>38640.89946102463</v>
      </c>
      <c r="F592" s="138">
        <v>20.59334677516274</v>
      </c>
      <c r="G592" s="138">
        <v>-2830.8901040580022</v>
      </c>
      <c r="H592" s="138">
        <v>2.3653035488521823E-2</v>
      </c>
      <c r="N592" s="138"/>
      <c r="O592" s="138"/>
      <c r="P592" s="138"/>
      <c r="R592">
        <v>263.54321880121887</v>
      </c>
      <c r="S592">
        <v>65.757430497358087</v>
      </c>
      <c r="T592">
        <v>227.15994836983157</v>
      </c>
      <c r="U592">
        <v>103.28051039654066</v>
      </c>
      <c r="X592">
        <v>0.74658736796577885</v>
      </c>
      <c r="Y592">
        <v>0.74069561703214382</v>
      </c>
      <c r="Z592">
        <v>0.44190012402953621</v>
      </c>
      <c r="AA592">
        <v>0.78904274615798875</v>
      </c>
      <c r="AB592">
        <v>0.7303829326728084</v>
      </c>
      <c r="AC592">
        <v>0.88704898318876735</v>
      </c>
      <c r="AD592">
        <v>0.81490836994562477</v>
      </c>
      <c r="AE592">
        <v>0.74471897074828264</v>
      </c>
      <c r="AH592">
        <v>0.20188359902628727</v>
      </c>
      <c r="AI592">
        <v>0.18979342463906812</v>
      </c>
      <c r="AJ592">
        <v>4.5188258677442694E-2</v>
      </c>
      <c r="AK592">
        <v>5.5633244742542609E-2</v>
      </c>
      <c r="AL592">
        <v>0.10788044264597307</v>
      </c>
      <c r="AM592">
        <v>3.0423616998236369E-2</v>
      </c>
      <c r="AN592">
        <v>3.877742973217746E-2</v>
      </c>
      <c r="AO592">
        <v>9.1884376621295116E-2</v>
      </c>
      <c r="AR592">
        <v>1.0927788081269707E-3</v>
      </c>
      <c r="AS592">
        <v>4.5229798409184285E-3</v>
      </c>
      <c r="AT592">
        <v>0.10125315763209619</v>
      </c>
      <c r="AU592">
        <v>1.8703354955920725E-3</v>
      </c>
      <c r="AV592">
        <v>1.9568627081274518E-3</v>
      </c>
      <c r="AW592">
        <v>3.2802891865032517E-3</v>
      </c>
      <c r="AX592">
        <v>4.0274384492222648E-4</v>
      </c>
      <c r="AY592">
        <v>5.4282717891374066E-4</v>
      </c>
      <c r="BB592">
        <v>4.9799097426244082E-2</v>
      </c>
      <c r="BC592">
        <v>2.8606205251771141E-2</v>
      </c>
      <c r="BE592">
        <v>35810.009356966628</v>
      </c>
      <c r="BF592">
        <v>20.616999810651262</v>
      </c>
      <c r="BG592">
        <v>38640.89946102463</v>
      </c>
      <c r="BH592">
        <v>20.59334677516274</v>
      </c>
    </row>
    <row r="593" spans="3:60" x14ac:dyDescent="0.2">
      <c r="C593" s="138">
        <v>26524.485606116232</v>
      </c>
      <c r="D593">
        <v>21.47637750791089</v>
      </c>
      <c r="E593" s="138">
        <v>28478.61571328342</v>
      </c>
      <c r="F593" s="138">
        <v>21.463235565029169</v>
      </c>
      <c r="G593" s="138">
        <v>-1954.1301071671878</v>
      </c>
      <c r="H593" s="138">
        <v>1.3141942881720325E-2</v>
      </c>
      <c r="N593" s="138"/>
      <c r="O593" s="138"/>
      <c r="P593" s="138"/>
      <c r="R593">
        <v>178.96017917773699</v>
      </c>
      <c r="S593">
        <v>68.425484912068001</v>
      </c>
      <c r="T593">
        <v>236.76649693473161</v>
      </c>
      <c r="U593">
        <v>100.99156930129784</v>
      </c>
      <c r="X593">
        <v>0.795118790642801</v>
      </c>
      <c r="Y593">
        <v>0.84050679408195028</v>
      </c>
      <c r="Z593">
        <v>0.50479936572464434</v>
      </c>
      <c r="AA593">
        <v>0.88224635674335417</v>
      </c>
      <c r="AB593">
        <v>0.57678609837940054</v>
      </c>
      <c r="AC593">
        <v>0.8327391839679118</v>
      </c>
      <c r="AD593">
        <v>0.87198367385049524</v>
      </c>
      <c r="AE593">
        <v>0.82253960410524229</v>
      </c>
      <c r="AH593">
        <v>0.18486239449688602</v>
      </c>
      <c r="AI593">
        <v>2.0413550269807401E-2</v>
      </c>
      <c r="AJ593">
        <v>4.1784403073767962E-2</v>
      </c>
      <c r="AK593">
        <v>5.2049659964914174E-2</v>
      </c>
      <c r="AL593">
        <v>3.9734832093334171E-2</v>
      </c>
      <c r="AM593">
        <v>0.13754386934190832</v>
      </c>
      <c r="AN593">
        <v>0.20579914047547676</v>
      </c>
      <c r="AO593">
        <v>0.1267198112442961</v>
      </c>
      <c r="AR593">
        <v>8.5755227517323829E-4</v>
      </c>
      <c r="AS593">
        <v>4.5462802352391751E-3</v>
      </c>
      <c r="AT593">
        <v>9.8982687480137735E-2</v>
      </c>
      <c r="AU593">
        <v>2.0668568992879832E-3</v>
      </c>
      <c r="AV593">
        <v>2.070454449964898E-3</v>
      </c>
      <c r="AW593">
        <v>3.6334995445774787E-3</v>
      </c>
      <c r="AX593">
        <v>3.0459951022621123E-4</v>
      </c>
      <c r="AY593">
        <v>5.2684799702717999E-4</v>
      </c>
      <c r="BB593">
        <v>4.304304579326651E-2</v>
      </c>
      <c r="BC593">
        <v>1.4160064177721055E-2</v>
      </c>
      <c r="BE593">
        <v>26524.485606116232</v>
      </c>
      <c r="BF593">
        <v>21.47637750791089</v>
      </c>
      <c r="BG593">
        <v>28478.61571328342</v>
      </c>
      <c r="BH593">
        <v>21.463235565029169</v>
      </c>
    </row>
    <row r="594" spans="3:60" x14ac:dyDescent="0.2">
      <c r="C594" s="138">
        <v>29836.781048845463</v>
      </c>
      <c r="D594">
        <v>20.914675160871749</v>
      </c>
      <c r="E594" s="138">
        <v>32074.738601685378</v>
      </c>
      <c r="F594" s="138">
        <v>20.906125822444324</v>
      </c>
      <c r="G594" s="138">
        <v>-2237.9575528399146</v>
      </c>
      <c r="H594" s="138">
        <v>8.5493384274251127E-3</v>
      </c>
      <c r="N594" s="138"/>
      <c r="O594" s="138"/>
      <c r="P594" s="138"/>
      <c r="R594">
        <v>147.7314508498485</v>
      </c>
      <c r="S594">
        <v>49.792672130286356</v>
      </c>
      <c r="T594">
        <v>223.15714470689915</v>
      </c>
      <c r="U594">
        <v>102.49911158492237</v>
      </c>
      <c r="X594">
        <v>0.83232792370782549</v>
      </c>
      <c r="Y594">
        <v>0.78529505094844276</v>
      </c>
      <c r="Z594">
        <v>0.54574054579743947</v>
      </c>
      <c r="AA594">
        <v>0.84259787105161177</v>
      </c>
      <c r="AB594">
        <v>0.70809726399157658</v>
      </c>
      <c r="AC594">
        <v>0.6780278121086627</v>
      </c>
      <c r="AD594">
        <v>0.78065521042269126</v>
      </c>
      <c r="AE594">
        <v>0.53256214099006272</v>
      </c>
      <c r="AH594">
        <v>0.15881057109021657</v>
      </c>
      <c r="AI594">
        <v>7.1008665992184916E-2</v>
      </c>
      <c r="AJ594">
        <v>0.23346295048418242</v>
      </c>
      <c r="AK594">
        <v>5.3888881433873381E-2</v>
      </c>
      <c r="AL594">
        <v>0.17293985679610435</v>
      </c>
      <c r="AM594">
        <v>5.6132986765985327E-2</v>
      </c>
      <c r="AN594">
        <v>0.2955148375530332</v>
      </c>
      <c r="AO594">
        <v>0.14808980161449492</v>
      </c>
      <c r="AR594">
        <v>8.054407557279811E-4</v>
      </c>
      <c r="AS594">
        <v>4.4635629206948293E-3</v>
      </c>
      <c r="AT594">
        <v>9.9481843605105064E-2</v>
      </c>
      <c r="AU594">
        <v>2.1492943802489117E-3</v>
      </c>
      <c r="AV594">
        <v>1.6523258533418829E-3</v>
      </c>
      <c r="AW594">
        <v>3.152746067740078E-3</v>
      </c>
      <c r="AX594">
        <v>3.9364107574522251E-4</v>
      </c>
      <c r="AY594">
        <v>4.3085436027391649E-4</v>
      </c>
      <c r="BB594">
        <v>5.1989771242157534E-2</v>
      </c>
      <c r="BC594">
        <v>2.2032864776885399E-2</v>
      </c>
      <c r="BE594">
        <v>29836.781048845463</v>
      </c>
      <c r="BF594">
        <v>20.914675160871749</v>
      </c>
      <c r="BG594">
        <v>32074.738601685378</v>
      </c>
      <c r="BH594">
        <v>20.906125822444324</v>
      </c>
    </row>
    <row r="595" spans="3:60" x14ac:dyDescent="0.2">
      <c r="C595" s="138">
        <v>36603.458991068095</v>
      </c>
      <c r="D595">
        <v>21.453413679506145</v>
      </c>
      <c r="E595" s="138">
        <v>39358.480689475604</v>
      </c>
      <c r="F595" s="138">
        <v>21.442989350242431</v>
      </c>
      <c r="G595" s="138">
        <v>-2755.0216984075087</v>
      </c>
      <c r="H595" s="138">
        <v>1.0424329263713616E-2</v>
      </c>
      <c r="N595" s="138"/>
      <c r="O595" s="138"/>
      <c r="P595" s="138"/>
      <c r="R595">
        <v>147.56778676131472</v>
      </c>
      <c r="S595">
        <v>64.863195858999319</v>
      </c>
      <c r="T595">
        <v>293.10565864808416</v>
      </c>
      <c r="U595">
        <v>101.41364893942936</v>
      </c>
      <c r="X595">
        <v>0.56292357418363215</v>
      </c>
      <c r="Y595">
        <v>0.78090963249588285</v>
      </c>
      <c r="Z595">
        <v>0.60813039348149012</v>
      </c>
      <c r="AA595">
        <v>0.92003930924960231</v>
      </c>
      <c r="AB595">
        <v>0.85540743150527954</v>
      </c>
      <c r="AC595">
        <v>0.69389023878151801</v>
      </c>
      <c r="AD595">
        <v>0.90553046232118517</v>
      </c>
      <c r="AE595">
        <v>0.67016503783093395</v>
      </c>
      <c r="AH595">
        <v>0.13291558215357613</v>
      </c>
      <c r="AI595">
        <v>4.0588220185920898E-3</v>
      </c>
      <c r="AJ595">
        <v>9.7054981046070354E-2</v>
      </c>
      <c r="AK595">
        <v>0.32040760255176803</v>
      </c>
      <c r="AL595">
        <v>0.19680603829979026</v>
      </c>
      <c r="AM595">
        <v>9.0193804499907326E-3</v>
      </c>
      <c r="AN595">
        <v>0.22350345559632512</v>
      </c>
      <c r="AO595">
        <v>0.36714029154609551</v>
      </c>
      <c r="AR595">
        <v>1.1879184990170044E-3</v>
      </c>
      <c r="AS595">
        <v>4.4099557905043114E-3</v>
      </c>
      <c r="AT595">
        <v>0.10139884996490645</v>
      </c>
      <c r="AU595">
        <v>2.1548086245648523E-3</v>
      </c>
      <c r="AV595">
        <v>2.0231609882057633E-3</v>
      </c>
      <c r="AW595">
        <v>3.527705135182635E-3</v>
      </c>
      <c r="AX595">
        <v>4.1572564271397106E-4</v>
      </c>
      <c r="AY595">
        <v>4.0528000516019464E-4</v>
      </c>
      <c r="BB595">
        <v>5.0847124939710331E-2</v>
      </c>
      <c r="BC595">
        <v>3.287883700466452E-2</v>
      </c>
      <c r="BE595">
        <v>36603.458991068095</v>
      </c>
      <c r="BF595">
        <v>21.453413679506145</v>
      </c>
      <c r="BG595">
        <v>39358.480689475604</v>
      </c>
      <c r="BH595">
        <v>21.442989350242431</v>
      </c>
    </row>
    <row r="596" spans="3:60" x14ac:dyDescent="0.2">
      <c r="C596" s="138">
        <v>34995.74722155185</v>
      </c>
      <c r="D596">
        <v>21.004241258119592</v>
      </c>
      <c r="E596" s="138">
        <v>37742.967809705995</v>
      </c>
      <c r="F596" s="138">
        <v>20.984762129277097</v>
      </c>
      <c r="G596" s="138">
        <v>-2747.2205881541449</v>
      </c>
      <c r="H596" s="138">
        <v>1.9479128842494475E-2</v>
      </c>
      <c r="N596" s="138"/>
      <c r="O596" s="138"/>
      <c r="P596" s="138"/>
      <c r="R596">
        <v>101.78572246202748</v>
      </c>
      <c r="S596">
        <v>51.943055606138621</v>
      </c>
      <c r="T596">
        <v>258.72337014148576</v>
      </c>
      <c r="U596">
        <v>101.35278496599453</v>
      </c>
      <c r="X596">
        <v>0.9432700989456867</v>
      </c>
      <c r="Y596">
        <v>0.64215343108539114</v>
      </c>
      <c r="Z596">
        <v>0.51511756612412685</v>
      </c>
      <c r="AA596">
        <v>0.89794640056987485</v>
      </c>
      <c r="AB596">
        <v>0.8032808948047454</v>
      </c>
      <c r="AC596">
        <v>0.61464260841645979</v>
      </c>
      <c r="AD596">
        <v>0.75848172637259026</v>
      </c>
      <c r="AE596">
        <v>0.69117667148984974</v>
      </c>
      <c r="AH596">
        <v>0.24182638930383116</v>
      </c>
      <c r="AI596">
        <v>0.14689509342872509</v>
      </c>
      <c r="AJ596">
        <v>5.7681841464519934E-2</v>
      </c>
      <c r="AK596">
        <v>0.11455398847030474</v>
      </c>
      <c r="AL596">
        <v>0.11708273453987961</v>
      </c>
      <c r="AM596">
        <v>0.30073402383863201</v>
      </c>
      <c r="AN596">
        <v>4.9920891782908483E-2</v>
      </c>
      <c r="AO596">
        <v>6.5957656379324936E-2</v>
      </c>
      <c r="AR596">
        <v>8.0065141682511163E-4</v>
      </c>
      <c r="AS596">
        <v>4.5121684975817367E-3</v>
      </c>
      <c r="AT596">
        <v>0.10040091904970949</v>
      </c>
      <c r="AU596">
        <v>1.9943604092479321E-3</v>
      </c>
      <c r="AV596">
        <v>2.2224089660478619E-3</v>
      </c>
      <c r="AW596">
        <v>3.2358009748774384E-3</v>
      </c>
      <c r="AX596">
        <v>3.6823100541791271E-4</v>
      </c>
      <c r="AY596">
        <v>5.0319123808384436E-4</v>
      </c>
      <c r="BB596">
        <v>4.4204459791246077E-2</v>
      </c>
      <c r="BC596">
        <v>3.9688667892021551E-2</v>
      </c>
      <c r="BE596">
        <v>34995.74722155185</v>
      </c>
      <c r="BF596">
        <v>21.004241258119592</v>
      </c>
      <c r="BG596">
        <v>37742.967809705995</v>
      </c>
      <c r="BH596">
        <v>20.984762129277097</v>
      </c>
    </row>
    <row r="597" spans="3:60" x14ac:dyDescent="0.2">
      <c r="C597" s="138">
        <v>30233.479876098019</v>
      </c>
      <c r="D597">
        <v>21.265065043286967</v>
      </c>
      <c r="E597" s="138">
        <v>32336.834165396489</v>
      </c>
      <c r="F597" s="138">
        <v>21.273886589891724</v>
      </c>
      <c r="G597" s="138">
        <v>-2103.3542892984697</v>
      </c>
      <c r="H597" s="138">
        <v>-8.8215466047572022E-3</v>
      </c>
      <c r="N597" s="138"/>
      <c r="O597" s="138"/>
      <c r="P597" s="138"/>
      <c r="R597">
        <v>345.76743351155761</v>
      </c>
      <c r="S597">
        <v>57.863168296963295</v>
      </c>
      <c r="T597">
        <v>224.55768336546035</v>
      </c>
      <c r="U597">
        <v>117.72458767450635</v>
      </c>
      <c r="X597">
        <v>0.72340436575996681</v>
      </c>
      <c r="Y597">
        <v>0.75286878725016115</v>
      </c>
      <c r="Z597">
        <v>0.84094990918076118</v>
      </c>
      <c r="AA597">
        <v>0.61288675296861084</v>
      </c>
      <c r="AB597">
        <v>0.80834837963002271</v>
      </c>
      <c r="AC597">
        <v>0.69658609260034121</v>
      </c>
      <c r="AD597">
        <v>0.53302675383687959</v>
      </c>
      <c r="AE597">
        <v>0.90303159678893041</v>
      </c>
      <c r="AH597">
        <v>3.323474072862731E-2</v>
      </c>
      <c r="AI597">
        <v>0.198271546546125</v>
      </c>
      <c r="AJ597">
        <v>0.28634717170832302</v>
      </c>
      <c r="AK597">
        <v>0.12542948926207065</v>
      </c>
      <c r="AL597">
        <v>0.13158568456524034</v>
      </c>
      <c r="AM597">
        <v>9.8286836798116228E-2</v>
      </c>
      <c r="AN597">
        <v>0.10382512816868561</v>
      </c>
      <c r="AO597">
        <v>2.9183409836388119E-2</v>
      </c>
      <c r="AR597">
        <v>7.4042940505136367E-4</v>
      </c>
      <c r="AS597">
        <v>4.6890112951721852E-3</v>
      </c>
      <c r="AT597">
        <v>0.10136314373848365</v>
      </c>
      <c r="AU597">
        <v>2.2191451639295146E-3</v>
      </c>
      <c r="AV597">
        <v>2.147741316675722E-3</v>
      </c>
      <c r="AW597">
        <v>3.1009079858556562E-3</v>
      </c>
      <c r="AX597">
        <v>4.2676887400971975E-4</v>
      </c>
      <c r="AY597">
        <v>3.935481028080794E-4</v>
      </c>
      <c r="BB597">
        <v>4.6442239843905601E-2</v>
      </c>
      <c r="BC597">
        <v>6.4027575074327547E-2</v>
      </c>
      <c r="BE597">
        <v>30233.479876098019</v>
      </c>
      <c r="BF597">
        <v>21.265065043286967</v>
      </c>
      <c r="BG597">
        <v>32336.834165396489</v>
      </c>
      <c r="BH597">
        <v>21.273886589891724</v>
      </c>
    </row>
    <row r="598" spans="3:60" x14ac:dyDescent="0.2">
      <c r="C598" s="138">
        <v>34122.984285722079</v>
      </c>
      <c r="D598">
        <v>21.183854370345973</v>
      </c>
      <c r="E598" s="138">
        <v>36046.826976558637</v>
      </c>
      <c r="F598" s="138">
        <v>21.145369864941014</v>
      </c>
      <c r="G598" s="138">
        <v>-1923.8426908365582</v>
      </c>
      <c r="H598" s="138">
        <v>3.8484505404959179E-2</v>
      </c>
      <c r="N598" s="138"/>
      <c r="O598" s="138"/>
      <c r="P598" s="138"/>
      <c r="R598">
        <v>310.53647763541875</v>
      </c>
      <c r="S598">
        <v>67.946135299490805</v>
      </c>
      <c r="T598">
        <v>274.90538359268447</v>
      </c>
      <c r="U598">
        <v>80.911085838000844</v>
      </c>
      <c r="X598">
        <v>0.67724447315015324</v>
      </c>
      <c r="Y598">
        <v>0.49371668177962841</v>
      </c>
      <c r="Z598">
        <v>0.95545251876211323</v>
      </c>
      <c r="AA598">
        <v>0.87582635281742571</v>
      </c>
      <c r="AB598">
        <v>0.93708930308217386</v>
      </c>
      <c r="AC598">
        <v>0.56909808871288003</v>
      </c>
      <c r="AD598">
        <v>0.60151242698645135</v>
      </c>
      <c r="AE598">
        <v>0.71674536404063194</v>
      </c>
      <c r="AH598">
        <v>0.13756608441313767</v>
      </c>
      <c r="AI598">
        <v>0.22438346313900337</v>
      </c>
      <c r="AJ598">
        <v>5.5040739541188266E-2</v>
      </c>
      <c r="AK598">
        <v>4.0412865579255497E-2</v>
      </c>
      <c r="AL598">
        <v>1.3493062336538353E-2</v>
      </c>
      <c r="AM598">
        <v>1.7354151321439359E-2</v>
      </c>
      <c r="AN598">
        <v>9.7238629240787855E-2</v>
      </c>
      <c r="AO598">
        <v>0.21515604612225903</v>
      </c>
      <c r="AR598">
        <v>8.4610550476857068E-4</v>
      </c>
      <c r="AS598">
        <v>4.6792026845218215E-3</v>
      </c>
      <c r="AT598">
        <v>9.8129656478224886E-2</v>
      </c>
      <c r="AU598">
        <v>1.8066375153957784E-3</v>
      </c>
      <c r="AV598">
        <v>1.7054175259320656E-3</v>
      </c>
      <c r="AW598">
        <v>3.416142535788258E-3</v>
      </c>
      <c r="AX598">
        <v>3.3409422884270878E-4</v>
      </c>
      <c r="AY598">
        <v>5.3383923636629582E-4</v>
      </c>
      <c r="BB598">
        <v>5.3094811921962526E-2</v>
      </c>
      <c r="BC598">
        <v>7.4916123486717057E-2</v>
      </c>
      <c r="BE598">
        <v>34122.984285722079</v>
      </c>
      <c r="BF598">
        <v>21.183854370345973</v>
      </c>
      <c r="BG598">
        <v>36046.826976558637</v>
      </c>
      <c r="BH598">
        <v>21.145369864941014</v>
      </c>
    </row>
    <row r="599" spans="3:60" x14ac:dyDescent="0.2">
      <c r="C599" s="138">
        <v>34226.369663179139</v>
      </c>
      <c r="D599">
        <v>21.198705514159666</v>
      </c>
      <c r="E599" s="138">
        <v>36168.837977385425</v>
      </c>
      <c r="F599" s="138">
        <v>21.171527146301901</v>
      </c>
      <c r="G599" s="138">
        <v>-1942.4683142062859</v>
      </c>
      <c r="H599" s="138">
        <v>2.717836785776484E-2</v>
      </c>
      <c r="N599" s="138"/>
      <c r="O599" s="138"/>
      <c r="P599" s="138"/>
      <c r="R599">
        <v>197.77653391504077</v>
      </c>
      <c r="S599">
        <v>67.74958993029324</v>
      </c>
      <c r="T599">
        <v>273.3778418179599</v>
      </c>
      <c r="U599">
        <v>110.07610374138558</v>
      </c>
      <c r="X599">
        <v>0.80836428126480819</v>
      </c>
      <c r="Y599">
        <v>0.82300646294797963</v>
      </c>
      <c r="Z599">
        <v>0.47895473073645589</v>
      </c>
      <c r="AA599">
        <v>0.63208397198336352</v>
      </c>
      <c r="AB599">
        <v>0.96092537917568488</v>
      </c>
      <c r="AC599">
        <v>0.92406445517631297</v>
      </c>
      <c r="AD599">
        <v>0.56307267170167197</v>
      </c>
      <c r="AE599">
        <v>0.7870157439248695</v>
      </c>
      <c r="AH599">
        <v>0.22266375227626145</v>
      </c>
      <c r="AI599">
        <v>0.41351976188592776</v>
      </c>
      <c r="AJ599">
        <v>0.22126921174538505</v>
      </c>
      <c r="AK599">
        <v>0.12774415917234616</v>
      </c>
      <c r="AL599">
        <v>8.1209210043700741E-2</v>
      </c>
      <c r="AM599">
        <v>1.1388932692875109E-3</v>
      </c>
      <c r="AN599">
        <v>0.1391142698995691</v>
      </c>
      <c r="AO599">
        <v>9.2788260652695298E-3</v>
      </c>
      <c r="AR599">
        <v>9.3318967661515373E-4</v>
      </c>
      <c r="AS599">
        <v>4.4344892968847562E-3</v>
      </c>
      <c r="AT599">
        <v>9.9798764742745613E-2</v>
      </c>
      <c r="AU599">
        <v>1.9317366151806706E-3</v>
      </c>
      <c r="AV599">
        <v>2.1442510756251032E-3</v>
      </c>
      <c r="AW599">
        <v>3.479660076410207E-3</v>
      </c>
      <c r="AX599">
        <v>4.2859310342846513E-4</v>
      </c>
      <c r="AY599">
        <v>4.7000316694578714E-4</v>
      </c>
      <c r="BB599">
        <v>5.1734923200574046E-2</v>
      </c>
      <c r="BC599">
        <v>3.9775538674184652E-2</v>
      </c>
      <c r="BE599">
        <v>34226.369663179139</v>
      </c>
      <c r="BF599">
        <v>21.198705514159666</v>
      </c>
      <c r="BG599">
        <v>36168.837977385425</v>
      </c>
      <c r="BH599">
        <v>21.171527146301901</v>
      </c>
    </row>
    <row r="600" spans="3:60" x14ac:dyDescent="0.2">
      <c r="C600" s="138">
        <v>38371.686021915746</v>
      </c>
      <c r="D600">
        <v>19.339615170024231</v>
      </c>
      <c r="E600" s="138">
        <v>40688.139488284927</v>
      </c>
      <c r="F600" s="138">
        <v>19.263256581769255</v>
      </c>
      <c r="G600" s="138">
        <v>-2316.4534663691811</v>
      </c>
      <c r="H600" s="138">
        <v>7.6358588254976212E-2</v>
      </c>
      <c r="N600" s="138"/>
      <c r="O600" s="138"/>
      <c r="P600" s="138"/>
      <c r="R600">
        <v>388.41247995542011</v>
      </c>
      <c r="S600">
        <v>61.412071601343264</v>
      </c>
      <c r="T600">
        <v>235.86276047301513</v>
      </c>
      <c r="U600">
        <v>97.36966439247395</v>
      </c>
      <c r="X600">
        <v>0.80146034203407557</v>
      </c>
      <c r="Y600">
        <v>0.7692165217799658</v>
      </c>
      <c r="Z600">
        <v>0.83614333007103037</v>
      </c>
      <c r="AA600">
        <v>0.44712075653182953</v>
      </c>
      <c r="AB600">
        <v>0.75280029807180415</v>
      </c>
      <c r="AC600">
        <v>0.84976630894288063</v>
      </c>
      <c r="AD600">
        <v>0.79017652386023207</v>
      </c>
      <c r="AE600">
        <v>0.89580028678690704</v>
      </c>
      <c r="AH600">
        <v>0.25254039670596595</v>
      </c>
      <c r="AI600">
        <v>2.5288593602301068E-2</v>
      </c>
      <c r="AJ600">
        <v>0.21460829711277696</v>
      </c>
      <c r="AK600">
        <v>8.7973034931452698E-2</v>
      </c>
      <c r="AL600">
        <v>7.8544073775734691E-2</v>
      </c>
      <c r="AM600">
        <v>0.11321727725333453</v>
      </c>
      <c r="AN600">
        <v>0.15957527863109955</v>
      </c>
      <c r="AO600">
        <v>8.1142085847742074E-2</v>
      </c>
      <c r="AR600">
        <v>7.4697608732969545E-4</v>
      </c>
      <c r="AS600">
        <v>4.4322171177911453E-3</v>
      </c>
      <c r="AT600">
        <v>0.1006748984241137</v>
      </c>
      <c r="AU600">
        <v>1.9043607560727111E-3</v>
      </c>
      <c r="AV600">
        <v>1.8961944992578266E-3</v>
      </c>
      <c r="AW600">
        <v>3.5453654570063442E-3</v>
      </c>
      <c r="AX600">
        <v>3.6078882905724079E-4</v>
      </c>
      <c r="AY600">
        <v>4.0534057262765316E-4</v>
      </c>
      <c r="BB600">
        <v>5.1220257754495013E-2</v>
      </c>
      <c r="BC600">
        <v>4.9308804319903921E-2</v>
      </c>
      <c r="BE600">
        <v>38371.686021915746</v>
      </c>
      <c r="BF600">
        <v>19.339615170024231</v>
      </c>
      <c r="BG600">
        <v>40688.139488284927</v>
      </c>
      <c r="BH600">
        <v>19.263256581769255</v>
      </c>
    </row>
    <row r="601" spans="3:60" x14ac:dyDescent="0.2">
      <c r="C601" s="138">
        <v>29241.144152029039</v>
      </c>
      <c r="D601">
        <v>20.6329600626668</v>
      </c>
      <c r="E601" s="138">
        <v>31269.197545926982</v>
      </c>
      <c r="F601" s="138">
        <v>20.571143340008376</v>
      </c>
      <c r="G601" s="138">
        <v>-2028.0533938979424</v>
      </c>
      <c r="H601" s="138">
        <v>6.1816722658424084E-2</v>
      </c>
      <c r="N601" s="138"/>
      <c r="O601" s="138"/>
      <c r="P601" s="138"/>
      <c r="R601">
        <v>304.25377577284871</v>
      </c>
      <c r="S601">
        <v>55.29001206802026</v>
      </c>
      <c r="T601">
        <v>263.92957563122928</v>
      </c>
      <c r="U601">
        <v>83.724656760726674</v>
      </c>
      <c r="X601">
        <v>0.73319644742885626</v>
      </c>
      <c r="Y601">
        <v>0.70799402309590664</v>
      </c>
      <c r="Z601">
        <v>0.74718069052888547</v>
      </c>
      <c r="AA601">
        <v>0.44382866777029134</v>
      </c>
      <c r="AB601">
        <v>0.77809425012279765</v>
      </c>
      <c r="AC601">
        <v>0.79664627308707292</v>
      </c>
      <c r="AD601">
        <v>0.7201012924203446</v>
      </c>
      <c r="AE601">
        <v>0.57337113215967705</v>
      </c>
      <c r="AH601">
        <v>0.15571267320445126</v>
      </c>
      <c r="AI601">
        <v>0.17867307110138131</v>
      </c>
      <c r="AJ601">
        <v>0.23621983706130467</v>
      </c>
      <c r="AK601">
        <v>3.0655781703488705E-2</v>
      </c>
      <c r="AL601">
        <v>0.1783230822908507</v>
      </c>
      <c r="AM601">
        <v>9.7117734389826849E-2</v>
      </c>
      <c r="AN601">
        <v>6.9913787916462855E-2</v>
      </c>
      <c r="AO601">
        <v>2.3900947650732363E-2</v>
      </c>
      <c r="AR601">
        <v>8.0278793733917948E-4</v>
      </c>
      <c r="AS601">
        <v>4.7039278930161021E-3</v>
      </c>
      <c r="AT601">
        <v>0.10003416583036218</v>
      </c>
      <c r="AU601">
        <v>1.8643791571288254E-3</v>
      </c>
      <c r="AV601">
        <v>2.1490752684356629E-3</v>
      </c>
      <c r="AW601">
        <v>3.4471161049599575E-3</v>
      </c>
      <c r="AX601">
        <v>3.9079984777927977E-4</v>
      </c>
      <c r="AY601">
        <v>4.0885065126885996E-4</v>
      </c>
      <c r="BB601">
        <v>5.9578055068104541E-2</v>
      </c>
      <c r="BC601">
        <v>4.7986402780780035E-2</v>
      </c>
      <c r="BE601">
        <v>29241.144152029039</v>
      </c>
      <c r="BF601">
        <v>20.6329600626668</v>
      </c>
      <c r="BG601">
        <v>31269.197545926982</v>
      </c>
      <c r="BH601">
        <v>20.571143340008376</v>
      </c>
    </row>
    <row r="602" spans="3:60" x14ac:dyDescent="0.2">
      <c r="C602" s="138">
        <v>33370.25404813209</v>
      </c>
      <c r="D602">
        <v>21.038347318364838</v>
      </c>
      <c r="E602" s="138">
        <v>35825.137201975238</v>
      </c>
      <c r="F602" s="138">
        <v>21.018804265055579</v>
      </c>
      <c r="G602" s="138">
        <v>-2454.8831538431477</v>
      </c>
      <c r="H602" s="138">
        <v>1.9543053309259761E-2</v>
      </c>
      <c r="N602" s="138"/>
      <c r="O602" s="138"/>
      <c r="P602" s="138"/>
      <c r="R602">
        <v>310.52256899459678</v>
      </c>
      <c r="S602">
        <v>56.802696029425988</v>
      </c>
      <c r="T602">
        <v>246.55811115074496</v>
      </c>
      <c r="U602">
        <v>84.323885339165201</v>
      </c>
      <c r="X602">
        <v>0.90106896265178427</v>
      </c>
      <c r="Y602">
        <v>0.82455301377902157</v>
      </c>
      <c r="Z602">
        <v>0.7822768953639222</v>
      </c>
      <c r="AA602">
        <v>0.57254952783038648</v>
      </c>
      <c r="AB602">
        <v>0.78628696539581389</v>
      </c>
      <c r="AC602">
        <v>0.60274889151817679</v>
      </c>
      <c r="AD602">
        <v>0.4594221897349825</v>
      </c>
      <c r="AE602">
        <v>0.64987818274247422</v>
      </c>
      <c r="AH602">
        <v>5.1471724298187582E-2</v>
      </c>
      <c r="AI602">
        <v>0.12091451189490032</v>
      </c>
      <c r="AJ602">
        <v>8.9345315540214409E-2</v>
      </c>
      <c r="AK602">
        <v>1.8045227779596384E-2</v>
      </c>
      <c r="AL602">
        <v>0.11820963923893835</v>
      </c>
      <c r="AM602">
        <v>3.2052122847243458E-2</v>
      </c>
      <c r="AN602">
        <v>6.9785071673083676E-2</v>
      </c>
      <c r="AO602">
        <v>0.1502347912347074</v>
      </c>
      <c r="AR602">
        <v>9.9573954863363401E-4</v>
      </c>
      <c r="AS602">
        <v>4.2510249624772723E-3</v>
      </c>
      <c r="AT602">
        <v>0.10019877659256671</v>
      </c>
      <c r="AU602">
        <v>1.540672035022027E-3</v>
      </c>
      <c r="AV602">
        <v>2.1628148803634062E-3</v>
      </c>
      <c r="AW602">
        <v>3.5030555482367109E-3</v>
      </c>
      <c r="AX602">
        <v>4.6511900437740117E-4</v>
      </c>
      <c r="AY602">
        <v>5.8154211050531757E-4</v>
      </c>
      <c r="BB602">
        <v>5.4412929916984654E-2</v>
      </c>
      <c r="BC602">
        <v>6.3694918024099101E-2</v>
      </c>
      <c r="BE602">
        <v>33370.25404813209</v>
      </c>
      <c r="BF602">
        <v>21.038347318364838</v>
      </c>
      <c r="BG602">
        <v>35825.137201975238</v>
      </c>
      <c r="BH602">
        <v>21.018804265055579</v>
      </c>
    </row>
    <row r="603" spans="3:60" x14ac:dyDescent="0.2">
      <c r="C603" s="138">
        <v>29578.727347307846</v>
      </c>
      <c r="D603">
        <v>20.640610660465015</v>
      </c>
      <c r="E603" s="138">
        <v>31695.950954625416</v>
      </c>
      <c r="F603" s="138">
        <v>20.624950798124857</v>
      </c>
      <c r="G603" s="138">
        <v>-2117.22360731757</v>
      </c>
      <c r="H603" s="138">
        <v>1.5659862340157815E-2</v>
      </c>
      <c r="N603" s="138"/>
      <c r="O603" s="138"/>
      <c r="P603" s="138"/>
      <c r="R603">
        <v>185.66564718971546</v>
      </c>
      <c r="S603">
        <v>54.288418682812129</v>
      </c>
      <c r="T603">
        <v>263.90677572901478</v>
      </c>
      <c r="U603">
        <v>84.613899025652799</v>
      </c>
      <c r="X603">
        <v>0.83618209266120391</v>
      </c>
      <c r="Y603">
        <v>0.7109674827474578</v>
      </c>
      <c r="Z603">
        <v>0.8223571795713942</v>
      </c>
      <c r="AA603">
        <v>0.66100732734425727</v>
      </c>
      <c r="AB603">
        <v>0.89767212478728053</v>
      </c>
      <c r="AC603">
        <v>0.9109799945927719</v>
      </c>
      <c r="AD603">
        <v>0.63271204844274787</v>
      </c>
      <c r="AE603">
        <v>0.88658523181309612</v>
      </c>
      <c r="AH603">
        <v>3.9409328246867825E-2</v>
      </c>
      <c r="AI603">
        <v>0.24315789499569584</v>
      </c>
      <c r="AJ603">
        <v>0.18202834788817479</v>
      </c>
      <c r="AK603">
        <v>0.1368005548137774</v>
      </c>
      <c r="AL603">
        <v>1.9346729476997337E-2</v>
      </c>
      <c r="AM603">
        <v>0.10808766296262573</v>
      </c>
      <c r="AN603">
        <v>0.10722696143006849</v>
      </c>
      <c r="AO603">
        <v>3.597319298634305E-2</v>
      </c>
      <c r="AR603">
        <v>8.0756094266325781E-4</v>
      </c>
      <c r="AS603">
        <v>4.2262378396038846E-3</v>
      </c>
      <c r="AT603">
        <v>0.10169054270926847</v>
      </c>
      <c r="AU603">
        <v>2.0435784765161502E-3</v>
      </c>
      <c r="AV603">
        <v>2.0022021379990651E-3</v>
      </c>
      <c r="AW603">
        <v>3.7623057560361994E-3</v>
      </c>
      <c r="AX603">
        <v>4.1831557510307871E-4</v>
      </c>
      <c r="AY603">
        <v>4.8962795956863925E-4</v>
      </c>
      <c r="BB603">
        <v>5.0331849520980132E-2</v>
      </c>
      <c r="BC603">
        <v>7.1277627894852147E-2</v>
      </c>
      <c r="BE603">
        <v>29578.727347307846</v>
      </c>
      <c r="BF603">
        <v>20.640610660465015</v>
      </c>
      <c r="BG603">
        <v>31695.950954625416</v>
      </c>
      <c r="BH603">
        <v>20.624950798124857</v>
      </c>
    </row>
    <row r="604" spans="3:60" x14ac:dyDescent="0.2">
      <c r="C604" s="138">
        <v>29737.043082173775</v>
      </c>
      <c r="D604">
        <v>21.780446709565712</v>
      </c>
      <c r="E604" s="138">
        <v>31751.577098196969</v>
      </c>
      <c r="F604" s="138">
        <v>21.812220782872714</v>
      </c>
      <c r="G604" s="138">
        <v>-2014.5340160231935</v>
      </c>
      <c r="H604" s="138">
        <v>-3.1774073307001771E-2</v>
      </c>
      <c r="N604" s="138"/>
      <c r="O604" s="138"/>
      <c r="P604" s="138"/>
      <c r="R604">
        <v>252.22564253846056</v>
      </c>
      <c r="S604">
        <v>74.636256554816597</v>
      </c>
      <c r="T604">
        <v>254.45415900990417</v>
      </c>
      <c r="U604">
        <v>94.687102195116069</v>
      </c>
      <c r="X604">
        <v>0.83329080655133403</v>
      </c>
      <c r="Y604">
        <v>0.88349480421353299</v>
      </c>
      <c r="Z604">
        <v>0.59745605434653537</v>
      </c>
      <c r="AA604">
        <v>0.57089554243409402</v>
      </c>
      <c r="AB604">
        <v>0.77514318903868662</v>
      </c>
      <c r="AC604">
        <v>0.89626998238304578</v>
      </c>
      <c r="AD604">
        <v>0.8024429400950478</v>
      </c>
      <c r="AE604">
        <v>0.91714073415625164</v>
      </c>
      <c r="AH604">
        <v>0.19728509428870045</v>
      </c>
      <c r="AI604">
        <v>0.31607771617413249</v>
      </c>
      <c r="AJ604">
        <v>7.9946046454089537E-2</v>
      </c>
      <c r="AK604">
        <v>0.15299746362119948</v>
      </c>
      <c r="AL604">
        <v>0.33793291493649524</v>
      </c>
      <c r="AM604">
        <v>9.7519842895225306E-2</v>
      </c>
      <c r="AN604">
        <v>0.21850519261072776</v>
      </c>
      <c r="AO604">
        <v>0.25765506836102925</v>
      </c>
      <c r="AR604">
        <v>8.7187082050388875E-4</v>
      </c>
      <c r="AS604">
        <v>4.6994768646487772E-3</v>
      </c>
      <c r="AT604">
        <v>0.1010835386218546</v>
      </c>
      <c r="AU604">
        <v>2.2682314484568922E-3</v>
      </c>
      <c r="AV604">
        <v>1.7812330129021773E-3</v>
      </c>
      <c r="AW604">
        <v>3.2427516411669935E-3</v>
      </c>
      <c r="AX604">
        <v>4.5484888528379841E-4</v>
      </c>
      <c r="AY604">
        <v>5.2792150588898412E-4</v>
      </c>
      <c r="BB604">
        <v>5.1311817958776818E-2</v>
      </c>
      <c r="BC604">
        <v>1.3404853504618255E-2</v>
      </c>
      <c r="BE604">
        <v>29737.043082173775</v>
      </c>
      <c r="BF604">
        <v>21.780446709565712</v>
      </c>
      <c r="BG604">
        <v>31751.577098196969</v>
      </c>
      <c r="BH604">
        <v>21.812220782872714</v>
      </c>
    </row>
    <row r="605" spans="3:60" x14ac:dyDescent="0.2">
      <c r="C605" s="138">
        <v>30832.545760324232</v>
      </c>
      <c r="D605">
        <v>20.871731243497329</v>
      </c>
      <c r="E605" s="138">
        <v>33116.767423840829</v>
      </c>
      <c r="F605" s="138">
        <v>20.875657528981218</v>
      </c>
      <c r="G605" s="138">
        <v>-2284.2216635165969</v>
      </c>
      <c r="H605" s="138">
        <v>-3.9262854838888472E-3</v>
      </c>
      <c r="N605" s="138"/>
      <c r="O605" s="138"/>
      <c r="P605" s="138"/>
      <c r="R605">
        <v>145.27371987238774</v>
      </c>
      <c r="S605">
        <v>61.905487682811383</v>
      </c>
      <c r="T605">
        <v>206.04958481210747</v>
      </c>
      <c r="U605">
        <v>93.12213624721285</v>
      </c>
      <c r="X605">
        <v>0.90214186775744487</v>
      </c>
      <c r="Y605">
        <v>0.69094738616040896</v>
      </c>
      <c r="Z605">
        <v>0.59092817724694124</v>
      </c>
      <c r="AA605">
        <v>0.73806107136064181</v>
      </c>
      <c r="AB605">
        <v>0.91976308083618497</v>
      </c>
      <c r="AC605">
        <v>0.67899923116991057</v>
      </c>
      <c r="AD605">
        <v>0.75028377670323565</v>
      </c>
      <c r="AE605">
        <v>0.80320707675926573</v>
      </c>
      <c r="AH605">
        <v>3.1706063539850282E-2</v>
      </c>
      <c r="AI605">
        <v>0.15671685376776734</v>
      </c>
      <c r="AJ605">
        <v>5.8053390896078083E-2</v>
      </c>
      <c r="AK605">
        <v>8.2063313053426512E-2</v>
      </c>
      <c r="AL605">
        <v>8.5978235315189E-2</v>
      </c>
      <c r="AM605">
        <v>0.18740232960635939</v>
      </c>
      <c r="AN605">
        <v>0.13377407741494285</v>
      </c>
      <c r="AO605">
        <v>0.14515409110768507</v>
      </c>
      <c r="AR605">
        <v>9.0649938960085663E-4</v>
      </c>
      <c r="AS605">
        <v>4.535647954581612E-3</v>
      </c>
      <c r="AT605">
        <v>0.10003989277351866</v>
      </c>
      <c r="AU605">
        <v>2.0291473239226754E-3</v>
      </c>
      <c r="AV605">
        <v>2.2202076862327669E-3</v>
      </c>
      <c r="AW605">
        <v>2.8258884065464249E-3</v>
      </c>
      <c r="AX605">
        <v>3.761916991155196E-4</v>
      </c>
      <c r="AY605">
        <v>3.8962701274908507E-4</v>
      </c>
      <c r="BB605">
        <v>4.8472187687785696E-2</v>
      </c>
      <c r="BC605">
        <v>5.1426939702657104E-2</v>
      </c>
      <c r="BE605">
        <v>30832.545760324232</v>
      </c>
      <c r="BF605">
        <v>20.871731243497329</v>
      </c>
      <c r="BG605">
        <v>33116.767423840829</v>
      </c>
      <c r="BH605">
        <v>20.875657528981218</v>
      </c>
    </row>
    <row r="606" spans="3:60" x14ac:dyDescent="0.2">
      <c r="C606" s="138">
        <v>28261.714133756501</v>
      </c>
      <c r="D606">
        <v>20.846211083086779</v>
      </c>
      <c r="E606" s="138">
        <v>30269.024676800051</v>
      </c>
      <c r="F606" s="138">
        <v>20.866172095743909</v>
      </c>
      <c r="G606" s="138">
        <v>-2007.3105430435498</v>
      </c>
      <c r="H606" s="138">
        <v>-1.9961012657130794E-2</v>
      </c>
      <c r="N606" s="138"/>
      <c r="O606" s="138"/>
      <c r="P606" s="138"/>
      <c r="R606">
        <v>45.158126550553249</v>
      </c>
      <c r="S606">
        <v>61.982752837882863</v>
      </c>
      <c r="T606">
        <v>261.23726749753888</v>
      </c>
      <c r="U606">
        <v>90.594699870563232</v>
      </c>
      <c r="X606">
        <v>0.8769663210341947</v>
      </c>
      <c r="Y606">
        <v>0.56767366593130053</v>
      </c>
      <c r="Z606">
        <v>0.85566508704352362</v>
      </c>
      <c r="AA606">
        <v>0.64400468900652064</v>
      </c>
      <c r="AB606">
        <v>0.70991567197451455</v>
      </c>
      <c r="AC606">
        <v>0.67477772988358287</v>
      </c>
      <c r="AD606">
        <v>0.71737463450641525</v>
      </c>
      <c r="AE606">
        <v>0.91780955904993022</v>
      </c>
      <c r="AH606">
        <v>3.1910491652206607E-2</v>
      </c>
      <c r="AI606">
        <v>0.19784762987351634</v>
      </c>
      <c r="AJ606">
        <v>3.5717872404888107E-2</v>
      </c>
      <c r="AK606">
        <v>6.8164210669096503E-2</v>
      </c>
      <c r="AL606">
        <v>8.5548770638452121E-2</v>
      </c>
      <c r="AM606">
        <v>2.1376880100527629E-2</v>
      </c>
      <c r="AN606">
        <v>5.6020944191721433E-2</v>
      </c>
      <c r="AO606">
        <v>9.8032248168707925E-2</v>
      </c>
      <c r="AR606">
        <v>7.6197416559635402E-4</v>
      </c>
      <c r="AS606">
        <v>4.7339844055187541E-3</v>
      </c>
      <c r="AT606">
        <v>9.8951111011858134E-2</v>
      </c>
      <c r="AU606">
        <v>2.0064388354121832E-3</v>
      </c>
      <c r="AV606">
        <v>1.9662564505573015E-3</v>
      </c>
      <c r="AW606">
        <v>3.570887060433181E-3</v>
      </c>
      <c r="AX606">
        <v>3.7797735687937982E-4</v>
      </c>
      <c r="AY606">
        <v>4.3067130546027083E-4</v>
      </c>
      <c r="BB606">
        <v>3.9989647728564545E-2</v>
      </c>
      <c r="BC606">
        <v>5.4445851391390798E-2</v>
      </c>
      <c r="BE606">
        <v>28261.714133756501</v>
      </c>
      <c r="BF606">
        <v>20.846211083086779</v>
      </c>
      <c r="BG606">
        <v>30269.024676800051</v>
      </c>
      <c r="BH606">
        <v>20.866172095743909</v>
      </c>
    </row>
    <row r="607" spans="3:60" x14ac:dyDescent="0.2">
      <c r="C607" s="138">
        <v>27703.262472046114</v>
      </c>
      <c r="D607">
        <v>21.260234300728872</v>
      </c>
      <c r="E607" s="138">
        <v>29750.118234975896</v>
      </c>
      <c r="F607" s="138">
        <v>21.227697118444915</v>
      </c>
      <c r="G607" s="138">
        <v>-2046.8557629297829</v>
      </c>
      <c r="H607" s="138">
        <v>3.2537182283956412E-2</v>
      </c>
      <c r="N607" s="138"/>
      <c r="O607" s="138"/>
      <c r="P607" s="138"/>
      <c r="R607">
        <v>172.47700708096926</v>
      </c>
      <c r="S607">
        <v>66.771608632694353</v>
      </c>
      <c r="T607">
        <v>215.93383057304746</v>
      </c>
      <c r="U607">
        <v>108.01625767800222</v>
      </c>
      <c r="X607">
        <v>0.84339249866560828</v>
      </c>
      <c r="Y607">
        <v>0.77369728969777851</v>
      </c>
      <c r="Z607">
        <v>0.65905669615106655</v>
      </c>
      <c r="AA607">
        <v>0.58595085604587693</v>
      </c>
      <c r="AB607">
        <v>0.56062463243603911</v>
      </c>
      <c r="AC607">
        <v>0.50526233239209584</v>
      </c>
      <c r="AD607">
        <v>0.66989200907741075</v>
      </c>
      <c r="AE607">
        <v>0.92573120387547048</v>
      </c>
      <c r="AH607">
        <v>1.9151170610444246E-2</v>
      </c>
      <c r="AI607">
        <v>6.242391981842621E-2</v>
      </c>
      <c r="AJ607">
        <v>0.18075640911856461</v>
      </c>
      <c r="AK607">
        <v>0.31742811468212329</v>
      </c>
      <c r="AL607">
        <v>5.24558370666518E-2</v>
      </c>
      <c r="AM607">
        <v>0.13854617368940958</v>
      </c>
      <c r="AN607">
        <v>0.21647294044048071</v>
      </c>
      <c r="AO607">
        <v>5.0636040355456657E-2</v>
      </c>
      <c r="AR607">
        <v>9.5677463366461435E-4</v>
      </c>
      <c r="AS607">
        <v>4.62639621120986E-3</v>
      </c>
      <c r="AT607">
        <v>0.10033438113695936</v>
      </c>
      <c r="AU607">
        <v>2.0174417664757804E-3</v>
      </c>
      <c r="AV607">
        <v>1.8081107551757201E-3</v>
      </c>
      <c r="AW607">
        <v>3.4016009492875798E-3</v>
      </c>
      <c r="AX607">
        <v>3.9595173353997092E-4</v>
      </c>
      <c r="AY607">
        <v>2.5825324967495509E-4</v>
      </c>
      <c r="BB607">
        <v>4.9725996120036954E-2</v>
      </c>
      <c r="BC607">
        <v>8.9023891599519511E-2</v>
      </c>
      <c r="BE607">
        <v>27703.262472046114</v>
      </c>
      <c r="BF607">
        <v>21.260234300728872</v>
      </c>
      <c r="BG607">
        <v>29750.118234975896</v>
      </c>
      <c r="BH607">
        <v>21.227697118444915</v>
      </c>
    </row>
    <row r="608" spans="3:60" x14ac:dyDescent="0.2">
      <c r="C608" s="138">
        <v>31942.086740894396</v>
      </c>
      <c r="D608">
        <v>21.522208469173187</v>
      </c>
      <c r="E608" s="138">
        <v>33833.730485536624</v>
      </c>
      <c r="F608" s="138">
        <v>21.566195803551228</v>
      </c>
      <c r="G608" s="138">
        <v>-1891.6437446422278</v>
      </c>
      <c r="H608" s="138">
        <v>-4.3987334378041254E-2</v>
      </c>
      <c r="N608" s="138"/>
      <c r="O608" s="138"/>
      <c r="P608" s="138"/>
      <c r="R608">
        <v>168.81055458080036</v>
      </c>
      <c r="S608">
        <v>64.777351405925984</v>
      </c>
      <c r="T608">
        <v>269.19951791181848</v>
      </c>
      <c r="U608">
        <v>110.38537594542495</v>
      </c>
      <c r="X608">
        <v>0.68809774397159962</v>
      </c>
      <c r="Y608">
        <v>0.7619161244863546</v>
      </c>
      <c r="Z608">
        <v>0.77959095768229303</v>
      </c>
      <c r="AA608">
        <v>0.90485602913459617</v>
      </c>
      <c r="AB608">
        <v>0.65851143242832388</v>
      </c>
      <c r="AC608">
        <v>0.62168345628531296</v>
      </c>
      <c r="AD608">
        <v>0.91860417212266432</v>
      </c>
      <c r="AE608">
        <v>0.80126073681069454</v>
      </c>
      <c r="AH608">
        <v>0.17206354068957375</v>
      </c>
      <c r="AI608">
        <v>1.3295315059004276E-2</v>
      </c>
      <c r="AJ608">
        <v>0.16773826656981661</v>
      </c>
      <c r="AK608">
        <v>5.3438923360846102E-2</v>
      </c>
      <c r="AL608">
        <v>0.16632055420936465</v>
      </c>
      <c r="AM608">
        <v>0.26570856668335718</v>
      </c>
      <c r="AN608">
        <v>0.14793759067869283</v>
      </c>
      <c r="AO608">
        <v>0.10923389517571935</v>
      </c>
      <c r="AR608">
        <v>8.972755105950414E-4</v>
      </c>
      <c r="AS608">
        <v>4.1242361084566906E-3</v>
      </c>
      <c r="AT608">
        <v>0.10029238830593279</v>
      </c>
      <c r="AU608">
        <v>2.0752278877382846E-3</v>
      </c>
      <c r="AV608">
        <v>2.0373139196581125E-3</v>
      </c>
      <c r="AW608">
        <v>3.5202704431299692E-3</v>
      </c>
      <c r="AX608">
        <v>3.1537267568090805E-4</v>
      </c>
      <c r="AY608">
        <v>4.7612837604305014E-4</v>
      </c>
      <c r="BB608">
        <v>4.7046834587947693E-2</v>
      </c>
      <c r="BC608">
        <v>4.5053776231100788E-2</v>
      </c>
      <c r="BE608">
        <v>31942.086740894396</v>
      </c>
      <c r="BF608">
        <v>21.522208469173187</v>
      </c>
      <c r="BG608">
        <v>33833.730485536624</v>
      </c>
      <c r="BH608">
        <v>21.566195803551228</v>
      </c>
    </row>
    <row r="609" spans="3:60" x14ac:dyDescent="0.2">
      <c r="C609" s="138">
        <v>28522.509789948428</v>
      </c>
      <c r="D609">
        <v>21.463468903303628</v>
      </c>
      <c r="E609" s="138">
        <v>30348.819416328755</v>
      </c>
      <c r="F609" s="138">
        <v>21.490815331655529</v>
      </c>
      <c r="G609" s="138">
        <v>-1826.3096263803272</v>
      </c>
      <c r="H609" s="138">
        <v>-2.7346428351901153E-2</v>
      </c>
      <c r="N609" s="138"/>
      <c r="O609" s="138"/>
      <c r="P609" s="138"/>
      <c r="R609">
        <v>375.78990585951146</v>
      </c>
      <c r="S609">
        <v>54.015238115424708</v>
      </c>
      <c r="T609">
        <v>255.23851847231623</v>
      </c>
      <c r="U609">
        <v>101.09503019026228</v>
      </c>
      <c r="X609">
        <v>0.84139073698712463</v>
      </c>
      <c r="Y609">
        <v>0.57162168775304334</v>
      </c>
      <c r="Z609">
        <v>0.87561388046421851</v>
      </c>
      <c r="AA609">
        <v>0.92059986668958904</v>
      </c>
      <c r="AB609">
        <v>0.78114424255339387</v>
      </c>
      <c r="AC609">
        <v>0.80819322520167713</v>
      </c>
      <c r="AD609">
        <v>0.77884657820360359</v>
      </c>
      <c r="AE609">
        <v>0.79971727270259274</v>
      </c>
      <c r="AH609">
        <v>8.8799563408848869E-2</v>
      </c>
      <c r="AI609">
        <v>9.6330144307541055E-2</v>
      </c>
      <c r="AJ609">
        <v>0.28711122041511938</v>
      </c>
      <c r="AK609">
        <v>2.4219159839688698E-2</v>
      </c>
      <c r="AL609">
        <v>4.6107385197790229E-2</v>
      </c>
      <c r="AM609">
        <v>0.14056283021114024</v>
      </c>
      <c r="AN609">
        <v>7.6165700004003467E-2</v>
      </c>
      <c r="AO609">
        <v>8.8404931768536699E-2</v>
      </c>
      <c r="AR609">
        <v>6.8667175748271677E-4</v>
      </c>
      <c r="AS609">
        <v>4.7111209614068006E-3</v>
      </c>
      <c r="AT609">
        <v>0.10009302290803479</v>
      </c>
      <c r="AU609">
        <v>1.8348213312312364E-3</v>
      </c>
      <c r="AV609">
        <v>2.0143904816575242E-3</v>
      </c>
      <c r="AW609">
        <v>3.350881770433189E-3</v>
      </c>
      <c r="AX609">
        <v>3.2503775995109009E-4</v>
      </c>
      <c r="AY609">
        <v>5.0033585833708649E-4</v>
      </c>
      <c r="BB609">
        <v>4.9748355419568832E-2</v>
      </c>
      <c r="BC609">
        <v>4.1465169360950981E-2</v>
      </c>
      <c r="BE609">
        <v>28522.509789948428</v>
      </c>
      <c r="BF609">
        <v>21.463468903303628</v>
      </c>
      <c r="BG609">
        <v>30348.819416328755</v>
      </c>
      <c r="BH609">
        <v>21.490815331655529</v>
      </c>
    </row>
    <row r="610" spans="3:60" x14ac:dyDescent="0.2">
      <c r="C610" s="138">
        <v>28118.390026594421</v>
      </c>
      <c r="D610">
        <v>20.742921407640093</v>
      </c>
      <c r="E610" s="138">
        <v>29826.560304623952</v>
      </c>
      <c r="F610" s="138">
        <v>20.726974635960556</v>
      </c>
      <c r="G610" s="138">
        <v>-1708.1702780295309</v>
      </c>
      <c r="H610" s="138">
        <v>1.5946771679537619E-2</v>
      </c>
      <c r="N610" s="138"/>
      <c r="O610" s="138"/>
      <c r="P610" s="138"/>
      <c r="R610">
        <v>342.65773267942893</v>
      </c>
      <c r="S610">
        <v>60.656579050909187</v>
      </c>
      <c r="T610">
        <v>294.04968870281868</v>
      </c>
      <c r="U610">
        <v>88.870068893038749</v>
      </c>
      <c r="X610">
        <v>0.75173089294921747</v>
      </c>
      <c r="Y610">
        <v>0.89683835757729469</v>
      </c>
      <c r="Z610">
        <v>0.74034690624954613</v>
      </c>
      <c r="AA610">
        <v>0.83759128013049333</v>
      </c>
      <c r="AB610">
        <v>0.48818931370765589</v>
      </c>
      <c r="AC610">
        <v>0.70945438421209495</v>
      </c>
      <c r="AD610">
        <v>0.76006314737616554</v>
      </c>
      <c r="AE610">
        <v>0.52154379363075565</v>
      </c>
      <c r="AH610">
        <v>0.12857754579666592</v>
      </c>
      <c r="AI610">
        <v>0.15596343741435237</v>
      </c>
      <c r="AJ610">
        <v>0.18746641811432896</v>
      </c>
      <c r="AK610">
        <v>0.11213307086318292</v>
      </c>
      <c r="AL610">
        <v>6.1159839572806574E-2</v>
      </c>
      <c r="AM610">
        <v>4.9626205557423253E-2</v>
      </c>
      <c r="AN610">
        <v>4.8467229731769423E-2</v>
      </c>
      <c r="AO610">
        <v>8.8361626528568049E-3</v>
      </c>
      <c r="AR610">
        <v>1.0226419957470867E-3</v>
      </c>
      <c r="AS610">
        <v>4.5015856650557629E-3</v>
      </c>
      <c r="AT610">
        <v>0.1015571647389385</v>
      </c>
      <c r="AU610">
        <v>1.8581637106416726E-3</v>
      </c>
      <c r="AV610">
        <v>2.0605228531122011E-3</v>
      </c>
      <c r="AW610">
        <v>3.3644139786420859E-3</v>
      </c>
      <c r="AX610">
        <v>3.7174844415853404E-4</v>
      </c>
      <c r="AY610">
        <v>4.0947552219040297E-4</v>
      </c>
      <c r="BB610">
        <v>4.6791309171624287E-2</v>
      </c>
      <c r="BC610">
        <v>8.4372681652653991E-2</v>
      </c>
      <c r="BE610">
        <v>28118.390026594421</v>
      </c>
      <c r="BF610">
        <v>20.742921407640093</v>
      </c>
      <c r="BG610">
        <v>29826.560304623952</v>
      </c>
      <c r="BH610">
        <v>20.726974635960556</v>
      </c>
    </row>
    <row r="611" spans="3:60" x14ac:dyDescent="0.2">
      <c r="C611" s="138">
        <v>32396.553412847308</v>
      </c>
      <c r="D611">
        <v>21.551621502837374</v>
      </c>
      <c r="E611" s="138">
        <v>34753.727971800115</v>
      </c>
      <c r="F611" s="138">
        <v>21.536198168678464</v>
      </c>
      <c r="G611" s="138">
        <v>-2357.1745589528073</v>
      </c>
      <c r="H611" s="138">
        <v>1.5423334158910507E-2</v>
      </c>
      <c r="N611" s="138"/>
      <c r="O611" s="138"/>
      <c r="P611" s="138"/>
      <c r="R611">
        <v>275.77240570721966</v>
      </c>
      <c r="S611">
        <v>60.65796659108311</v>
      </c>
      <c r="T611">
        <v>296.55773971430023</v>
      </c>
      <c r="U611">
        <v>97.292372430289291</v>
      </c>
      <c r="X611">
        <v>0.73853548346407183</v>
      </c>
      <c r="Y611">
        <v>0.78261412675143305</v>
      </c>
      <c r="Z611">
        <v>0.81632268316856926</v>
      </c>
      <c r="AA611">
        <v>0.70333689290849233</v>
      </c>
      <c r="AB611">
        <v>0.79703425981421439</v>
      </c>
      <c r="AC611">
        <v>0.85513665760466206</v>
      </c>
      <c r="AD611">
        <v>0.68763801164417737</v>
      </c>
      <c r="AE611">
        <v>0.75282190458506981</v>
      </c>
      <c r="AH611">
        <v>4.6729202211760246E-2</v>
      </c>
      <c r="AI611">
        <v>0.19594275655165938</v>
      </c>
      <c r="AJ611">
        <v>0.1544919647522931</v>
      </c>
      <c r="AK611">
        <v>7.1280946917319232E-2</v>
      </c>
      <c r="AL611">
        <v>4.0782433786259675E-2</v>
      </c>
      <c r="AM611">
        <v>0.25253218464305049</v>
      </c>
      <c r="AN611">
        <v>0.24241177703188299</v>
      </c>
      <c r="AO611">
        <v>7.2189122780698001E-2</v>
      </c>
      <c r="AR611">
        <v>8.8075502431877322E-4</v>
      </c>
      <c r="AS611">
        <v>4.3158286653713612E-3</v>
      </c>
      <c r="AT611">
        <v>9.9441745747588212E-2</v>
      </c>
      <c r="AU611">
        <v>2.0198535793388706E-3</v>
      </c>
      <c r="AV611">
        <v>2.0055258361332262E-3</v>
      </c>
      <c r="AW611">
        <v>3.4975161482542205E-3</v>
      </c>
      <c r="AX611">
        <v>5.3887998134372062E-4</v>
      </c>
      <c r="AY611">
        <v>4.4001510039825566E-4</v>
      </c>
      <c r="BB611">
        <v>3.9782968096745495E-2</v>
      </c>
      <c r="BC611">
        <v>4.9976946107761377E-2</v>
      </c>
      <c r="BE611">
        <v>32396.553412847308</v>
      </c>
      <c r="BF611">
        <v>21.551621502837374</v>
      </c>
      <c r="BG611">
        <v>34753.727971800115</v>
      </c>
      <c r="BH611">
        <v>21.536198168678464</v>
      </c>
    </row>
    <row r="612" spans="3:60" x14ac:dyDescent="0.2">
      <c r="C612" s="138">
        <v>30501.326425365951</v>
      </c>
      <c r="D612">
        <v>20.679550536327518</v>
      </c>
      <c r="E612" s="138">
        <v>32134.8181311892</v>
      </c>
      <c r="F612" s="138">
        <v>20.644448862655228</v>
      </c>
      <c r="G612" s="138">
        <v>-1633.4917058232495</v>
      </c>
      <c r="H612" s="138">
        <v>3.5101673672290445E-2</v>
      </c>
      <c r="N612" s="138"/>
      <c r="O612" s="138"/>
      <c r="P612" s="138"/>
      <c r="R612">
        <v>314.24169682198374</v>
      </c>
      <c r="S612">
        <v>57.661494104244227</v>
      </c>
      <c r="T612">
        <v>240.18655324427712</v>
      </c>
      <c r="U612">
        <v>104.65763799127851</v>
      </c>
      <c r="X612">
        <v>0.851898482264833</v>
      </c>
      <c r="Y612">
        <v>0.51544736367155697</v>
      </c>
      <c r="Z612">
        <v>0.65348306347093099</v>
      </c>
      <c r="AA612">
        <v>0.59806661394863936</v>
      </c>
      <c r="AB612">
        <v>0.94875684705946783</v>
      </c>
      <c r="AC612">
        <v>0.84192609806868046</v>
      </c>
      <c r="AD612">
        <v>0.56403512272910505</v>
      </c>
      <c r="AE612">
        <v>0.66085251553557989</v>
      </c>
      <c r="AH612">
        <v>3.8320986145755298E-2</v>
      </c>
      <c r="AI612">
        <v>5.1038149858697146E-2</v>
      </c>
      <c r="AJ612">
        <v>7.201614818737867E-2</v>
      </c>
      <c r="AK612">
        <v>0.20383924504130024</v>
      </c>
      <c r="AL612">
        <v>0.14842889925249803</v>
      </c>
      <c r="AM612">
        <v>0.15458942235272388</v>
      </c>
      <c r="AN612">
        <v>7.8096573410153081E-2</v>
      </c>
      <c r="AO612">
        <v>0.15634392077506898</v>
      </c>
      <c r="AR612">
        <v>1.0305405348599583E-3</v>
      </c>
      <c r="AS612">
        <v>4.7565264194698864E-3</v>
      </c>
      <c r="AT612">
        <v>9.9888971348451122E-2</v>
      </c>
      <c r="AU612">
        <v>2.23283479237113E-3</v>
      </c>
      <c r="AV612">
        <v>1.791968424082447E-3</v>
      </c>
      <c r="AW612">
        <v>3.4083578355227351E-3</v>
      </c>
      <c r="AX612">
        <v>3.2966430123479429E-4</v>
      </c>
      <c r="AY612">
        <v>4.9487396205505352E-4</v>
      </c>
      <c r="BB612">
        <v>4.6507896399470991E-2</v>
      </c>
      <c r="BC612">
        <v>4.9415308734129137E-2</v>
      </c>
      <c r="BE612">
        <v>30501.326425365951</v>
      </c>
      <c r="BF612">
        <v>20.679550536327518</v>
      </c>
      <c r="BG612">
        <v>32134.8181311892</v>
      </c>
      <c r="BH612">
        <v>20.644448862655228</v>
      </c>
    </row>
    <row r="613" spans="3:60" x14ac:dyDescent="0.2">
      <c r="C613" s="138">
        <v>31851.803108550695</v>
      </c>
      <c r="D613">
        <v>21.12620791225698</v>
      </c>
      <c r="E613" s="138">
        <v>33670.955210587395</v>
      </c>
      <c r="F613" s="138">
        <v>21.109996030902209</v>
      </c>
      <c r="G613" s="138">
        <v>-1819.1521020366999</v>
      </c>
      <c r="H613" s="138">
        <v>1.6211881354770696E-2</v>
      </c>
      <c r="N613" s="138"/>
      <c r="O613" s="138"/>
      <c r="P613" s="138"/>
      <c r="R613">
        <v>164.38802935862157</v>
      </c>
      <c r="S613">
        <v>70.056288820030815</v>
      </c>
      <c r="T613">
        <v>261.86899082441892</v>
      </c>
      <c r="U613">
        <v>107.63422971458647</v>
      </c>
      <c r="X613">
        <v>0.96253310632976385</v>
      </c>
      <c r="Y613">
        <v>0.74744667280114852</v>
      </c>
      <c r="Z613">
        <v>0.65001099718728128</v>
      </c>
      <c r="AA613">
        <v>0.7415539714526399</v>
      </c>
      <c r="AB613">
        <v>0.68887155178330151</v>
      </c>
      <c r="AC613">
        <v>0.77159625600920978</v>
      </c>
      <c r="AD613">
        <v>0.85880878739044697</v>
      </c>
      <c r="AE613">
        <v>0.79078924316954469</v>
      </c>
      <c r="AH613">
        <v>0.11527337224973122</v>
      </c>
      <c r="AI613">
        <v>9.8126298823611569E-2</v>
      </c>
      <c r="AJ613">
        <v>0.23244031998784542</v>
      </c>
      <c r="AK613">
        <v>0.16556936444083081</v>
      </c>
      <c r="AL613">
        <v>0.17150975988938233</v>
      </c>
      <c r="AM613">
        <v>6.0561481045556032E-2</v>
      </c>
      <c r="AN613">
        <v>4.003989589598711E-2</v>
      </c>
      <c r="AO613">
        <v>6.1910767806496736E-2</v>
      </c>
      <c r="AR613">
        <v>8.1960180092325989E-4</v>
      </c>
      <c r="AS613">
        <v>4.4446904395830985E-3</v>
      </c>
      <c r="AT613">
        <v>0.10011049836225905</v>
      </c>
      <c r="AU613">
        <v>1.9496806507046972E-3</v>
      </c>
      <c r="AV613">
        <v>2.0024839640351288E-3</v>
      </c>
      <c r="AW613">
        <v>3.4968765929208612E-3</v>
      </c>
      <c r="AX613">
        <v>3.6833739868891315E-4</v>
      </c>
      <c r="AY613">
        <v>3.8914753333234097E-4</v>
      </c>
      <c r="BB613">
        <v>4.1605262220763078E-2</v>
      </c>
      <c r="BC613">
        <v>6.4955165625565248E-2</v>
      </c>
      <c r="BE613">
        <v>31851.803108550695</v>
      </c>
      <c r="BF613">
        <v>21.12620791225698</v>
      </c>
      <c r="BG613">
        <v>33670.955210587395</v>
      </c>
      <c r="BH613">
        <v>21.109996030902209</v>
      </c>
    </row>
    <row r="614" spans="3:60" x14ac:dyDescent="0.2">
      <c r="C614" s="138">
        <v>26858.912451124823</v>
      </c>
      <c r="D614">
        <v>21.324965990623088</v>
      </c>
      <c r="E614" s="138">
        <v>28561.027787195919</v>
      </c>
      <c r="F614" s="138">
        <v>21.30498048421396</v>
      </c>
      <c r="G614" s="138">
        <v>-1702.115336071096</v>
      </c>
      <c r="H614" s="138">
        <v>1.9985506409128106E-2</v>
      </c>
      <c r="N614" s="138"/>
      <c r="O614" s="138"/>
      <c r="P614" s="138"/>
      <c r="R614">
        <v>172.15489850904743</v>
      </c>
      <c r="S614">
        <v>60.924308972577059</v>
      </c>
      <c r="T614">
        <v>300.43282725803442</v>
      </c>
      <c r="U614">
        <v>100.68148682033221</v>
      </c>
      <c r="X614">
        <v>0.65175126800057148</v>
      </c>
      <c r="Y614">
        <v>0.59892339454224952</v>
      </c>
      <c r="Z614">
        <v>0.66838859705665599</v>
      </c>
      <c r="AA614">
        <v>0.78146445546328958</v>
      </c>
      <c r="AB614">
        <v>0.7465471248860025</v>
      </c>
      <c r="AC614">
        <v>0.82473526433643229</v>
      </c>
      <c r="AD614">
        <v>0.80164532540659739</v>
      </c>
      <c r="AE614">
        <v>0.53972734581859538</v>
      </c>
      <c r="AH614">
        <v>9.6036236477782477E-2</v>
      </c>
      <c r="AI614">
        <v>8.53177600479883E-2</v>
      </c>
      <c r="AJ614">
        <v>0.11506812404444144</v>
      </c>
      <c r="AK614">
        <v>0.15175380088876023</v>
      </c>
      <c r="AL614">
        <v>0.13542523342505886</v>
      </c>
      <c r="AM614">
        <v>0.10105186272633437</v>
      </c>
      <c r="AN614">
        <v>0.18899754382672151</v>
      </c>
      <c r="AO614">
        <v>0.21844616743065937</v>
      </c>
      <c r="AR614">
        <v>7.4144316104031883E-4</v>
      </c>
      <c r="AS614">
        <v>4.504325281837307E-3</v>
      </c>
      <c r="AT614">
        <v>9.8820498628161502E-2</v>
      </c>
      <c r="AU614">
        <v>2.0904988662174828E-3</v>
      </c>
      <c r="AV614">
        <v>2.3027659993732907E-3</v>
      </c>
      <c r="AW614">
        <v>3.3288890607811321E-3</v>
      </c>
      <c r="AX614">
        <v>4.2327708799494435E-4</v>
      </c>
      <c r="AY614">
        <v>4.4609848530551276E-4</v>
      </c>
      <c r="BB614">
        <v>5.5832001106658424E-2</v>
      </c>
      <c r="BC614">
        <v>6.052112399347398E-2</v>
      </c>
      <c r="BE614">
        <v>26858.912451124823</v>
      </c>
      <c r="BF614">
        <v>21.324965990623088</v>
      </c>
      <c r="BG614">
        <v>28561.027787195919</v>
      </c>
      <c r="BH614">
        <v>21.30498048421396</v>
      </c>
    </row>
    <row r="615" spans="3:60" x14ac:dyDescent="0.2">
      <c r="C615" s="138">
        <v>29848.550616047462</v>
      </c>
      <c r="D615">
        <v>20.799413039016205</v>
      </c>
      <c r="E615" s="138">
        <v>31564.73401345373</v>
      </c>
      <c r="F615" s="138">
        <v>20.775509359079276</v>
      </c>
      <c r="G615" s="138">
        <v>-1716.1833974062683</v>
      </c>
      <c r="H615" s="138">
        <v>2.3903679936928768E-2</v>
      </c>
      <c r="N615" s="138"/>
      <c r="O615" s="138"/>
      <c r="P615" s="138"/>
      <c r="R615">
        <v>372.07257968973414</v>
      </c>
      <c r="S615">
        <v>59.517423360522301</v>
      </c>
      <c r="T615">
        <v>229.3028627561032</v>
      </c>
      <c r="U615">
        <v>87.560569086485941</v>
      </c>
      <c r="X615">
        <v>0.6451190809264914</v>
      </c>
      <c r="Y615">
        <v>0.84366138428169113</v>
      </c>
      <c r="Z615">
        <v>0.87336177061315756</v>
      </c>
      <c r="AA615">
        <v>0.68960721604782627</v>
      </c>
      <c r="AB615">
        <v>0.81670944841206961</v>
      </c>
      <c r="AC615">
        <v>0.56217966083731929</v>
      </c>
      <c r="AD615">
        <v>0.70219461828031193</v>
      </c>
      <c r="AE615">
        <v>0.73667746817873481</v>
      </c>
      <c r="AH615">
        <v>0.2110801229381265</v>
      </c>
      <c r="AI615">
        <v>9.1831660137788873E-2</v>
      </c>
      <c r="AJ615">
        <v>0.12902247121938826</v>
      </c>
      <c r="AK615">
        <v>5.6106288277920635E-2</v>
      </c>
      <c r="AL615">
        <v>2.6418074643865808E-2</v>
      </c>
      <c r="AM615">
        <v>7.8292053515810367E-2</v>
      </c>
      <c r="AN615">
        <v>3.4277721443146558E-2</v>
      </c>
      <c r="AO615">
        <v>0.13896239860749571</v>
      </c>
      <c r="AR615">
        <v>9.0330259548832004E-4</v>
      </c>
      <c r="AS615">
        <v>4.1527464784459458E-3</v>
      </c>
      <c r="AT615">
        <v>0.1008297124662435</v>
      </c>
      <c r="AU615">
        <v>1.689336540997617E-3</v>
      </c>
      <c r="AV615">
        <v>2.0829255453107542E-3</v>
      </c>
      <c r="AW615">
        <v>3.5791038781440854E-3</v>
      </c>
      <c r="AX615">
        <v>4.3342574930305133E-4</v>
      </c>
      <c r="AY615">
        <v>4.011965051376434E-4</v>
      </c>
      <c r="BB615">
        <v>4.8596921305767871E-2</v>
      </c>
      <c r="BC615">
        <v>5.2511965055582199E-2</v>
      </c>
      <c r="BE615">
        <v>29848.550616047462</v>
      </c>
      <c r="BF615">
        <v>20.799413039016205</v>
      </c>
      <c r="BG615">
        <v>31564.73401345373</v>
      </c>
      <c r="BH615">
        <v>20.775509359079276</v>
      </c>
    </row>
    <row r="616" spans="3:60" x14ac:dyDescent="0.2">
      <c r="C616" s="138">
        <v>32855.06360900397</v>
      </c>
      <c r="D616">
        <v>21.340968330710691</v>
      </c>
      <c r="E616" s="138">
        <v>35337.31507447279</v>
      </c>
      <c r="F616" s="138">
        <v>21.338257978327999</v>
      </c>
      <c r="G616" s="138">
        <v>-2482.2514654688202</v>
      </c>
      <c r="H616" s="138">
        <v>2.7103523826923492E-3</v>
      </c>
      <c r="N616" s="138"/>
      <c r="O616" s="138"/>
      <c r="P616" s="138"/>
      <c r="R616">
        <v>103.1631388818943</v>
      </c>
      <c r="S616">
        <v>67.338853092965905</v>
      </c>
      <c r="T616">
        <v>234.28893651386574</v>
      </c>
      <c r="U616">
        <v>105.94303891850349</v>
      </c>
      <c r="X616">
        <v>0.84461076986182848</v>
      </c>
      <c r="Y616">
        <v>0.90466792489444614</v>
      </c>
      <c r="Z616">
        <v>0.84212973557572868</v>
      </c>
      <c r="AA616">
        <v>0.77600387524566261</v>
      </c>
      <c r="AB616">
        <v>0.63745210624895576</v>
      </c>
      <c r="AC616">
        <v>0.66310608274320681</v>
      </c>
      <c r="AD616">
        <v>0.75550800473850377</v>
      </c>
      <c r="AE616">
        <v>0.63265104514823689</v>
      </c>
      <c r="AH616">
        <v>0.10918895822756614</v>
      </c>
      <c r="AI616">
        <v>0.23373310476318709</v>
      </c>
      <c r="AJ616">
        <v>5.2375103656207012E-2</v>
      </c>
      <c r="AK616">
        <v>0.23770859206610195</v>
      </c>
      <c r="AL616">
        <v>8.4749845635068044E-2</v>
      </c>
      <c r="AM616">
        <v>6.9213388580472657E-2</v>
      </c>
      <c r="AN616">
        <v>0.13049438434162464</v>
      </c>
      <c r="AO616">
        <v>0.16515795963001489</v>
      </c>
      <c r="AR616">
        <v>1.0437267472329648E-3</v>
      </c>
      <c r="AS616">
        <v>4.3512770147604235E-3</v>
      </c>
      <c r="AT616">
        <v>9.9553979341720694E-2</v>
      </c>
      <c r="AU616">
        <v>1.9231852942226599E-3</v>
      </c>
      <c r="AV616">
        <v>2.0169921688921733E-3</v>
      </c>
      <c r="AW616">
        <v>3.5102434307708874E-3</v>
      </c>
      <c r="AX616">
        <v>3.2270157076589489E-4</v>
      </c>
      <c r="AY616">
        <v>4.5280296655569874E-4</v>
      </c>
      <c r="BB616">
        <v>4.8632870876205554E-2</v>
      </c>
      <c r="BC616">
        <v>5.7861029545484666E-2</v>
      </c>
      <c r="BE616">
        <v>32855.06360900397</v>
      </c>
      <c r="BF616">
        <v>21.340968330710691</v>
      </c>
      <c r="BG616">
        <v>35337.31507447279</v>
      </c>
      <c r="BH616">
        <v>21.338257978327999</v>
      </c>
    </row>
    <row r="617" spans="3:60" x14ac:dyDescent="0.2">
      <c r="C617" s="138">
        <v>34219.765377931973</v>
      </c>
      <c r="D617">
        <v>20.204007239451087</v>
      </c>
      <c r="E617" s="138">
        <v>36160.163740954114</v>
      </c>
      <c r="F617" s="138">
        <v>20.133122038850871</v>
      </c>
      <c r="G617" s="138">
        <v>-1940.398363022141</v>
      </c>
      <c r="H617" s="138">
        <v>7.0885200600216081E-2</v>
      </c>
      <c r="N617" s="138"/>
      <c r="O617" s="138"/>
      <c r="P617" s="138"/>
      <c r="R617">
        <v>160.48202228000855</v>
      </c>
      <c r="S617">
        <v>75.974986387089587</v>
      </c>
      <c r="T617">
        <v>271.34201899725713</v>
      </c>
      <c r="U617">
        <v>101.69480227922486</v>
      </c>
      <c r="X617">
        <v>0.93820011270915904</v>
      </c>
      <c r="Y617">
        <v>0.66717563361988497</v>
      </c>
      <c r="Z617">
        <v>0.58279738751178678</v>
      </c>
      <c r="AA617">
        <v>0.34912913314925814</v>
      </c>
      <c r="AB617">
        <v>0.94837536724112137</v>
      </c>
      <c r="AC617">
        <v>0.74604665329963271</v>
      </c>
      <c r="AD617">
        <v>0.91597161268261185</v>
      </c>
      <c r="AE617">
        <v>0.83495722827096386</v>
      </c>
      <c r="AH617">
        <v>0.13296966001861332</v>
      </c>
      <c r="AI617">
        <v>6.0725544681177301E-2</v>
      </c>
      <c r="AJ617">
        <v>0.25727971463182753</v>
      </c>
      <c r="AK617">
        <v>7.1325789804726814E-2</v>
      </c>
      <c r="AL617">
        <v>1.3884015114439263E-2</v>
      </c>
      <c r="AM617">
        <v>0.10068568059647165</v>
      </c>
      <c r="AN617">
        <v>8.9180685245117908E-2</v>
      </c>
      <c r="AO617">
        <v>0.21093019530960622</v>
      </c>
      <c r="AR617">
        <v>1.0411745697173069E-3</v>
      </c>
      <c r="AS617">
        <v>4.046089290683735E-3</v>
      </c>
      <c r="AT617">
        <v>9.9938241507524964E-2</v>
      </c>
      <c r="AU617">
        <v>2.2641077612772786E-3</v>
      </c>
      <c r="AV617">
        <v>2.0155371299868108E-3</v>
      </c>
      <c r="AW617">
        <v>3.6816182940921927E-3</v>
      </c>
      <c r="AX617">
        <v>4.4521248115114709E-4</v>
      </c>
      <c r="AY617">
        <v>4.8166723560083557E-4</v>
      </c>
      <c r="BB617">
        <v>4.3152261996308401E-2</v>
      </c>
      <c r="BC617">
        <v>3.2346099837571543E-2</v>
      </c>
      <c r="BE617">
        <v>34219.765377931973</v>
      </c>
      <c r="BF617">
        <v>20.204007239451087</v>
      </c>
      <c r="BG617">
        <v>36160.163740954114</v>
      </c>
      <c r="BH617">
        <v>20.133122038850871</v>
      </c>
    </row>
    <row r="618" spans="3:60" x14ac:dyDescent="0.2">
      <c r="C618" s="138">
        <v>30276.899386401336</v>
      </c>
      <c r="D618">
        <v>20.742910224586193</v>
      </c>
      <c r="E618" s="138">
        <v>32493.044908859225</v>
      </c>
      <c r="F618" s="138">
        <v>20.708835814900514</v>
      </c>
      <c r="G618" s="138">
        <v>-2216.1455224578895</v>
      </c>
      <c r="H618" s="138">
        <v>3.4074409685679541E-2</v>
      </c>
      <c r="N618" s="138"/>
      <c r="O618" s="138"/>
      <c r="P618" s="138"/>
      <c r="R618">
        <v>324.76731554354598</v>
      </c>
      <c r="S618">
        <v>71.718502770798949</v>
      </c>
      <c r="T618">
        <v>184.49024799399223</v>
      </c>
      <c r="U618">
        <v>83.301333567838824</v>
      </c>
      <c r="X618">
        <v>0.67077164102872289</v>
      </c>
      <c r="Y618">
        <v>0.75781146050337567</v>
      </c>
      <c r="Z618">
        <v>0.55910395332854779</v>
      </c>
      <c r="AA618">
        <v>0.57983226807426014</v>
      </c>
      <c r="AB618">
        <v>0.7495825426326832</v>
      </c>
      <c r="AC618">
        <v>0.44645480637385465</v>
      </c>
      <c r="AD618">
        <v>0.6395475461029444</v>
      </c>
      <c r="AE618">
        <v>0.73055980838827017</v>
      </c>
      <c r="AH618">
        <v>0.38524979096676149</v>
      </c>
      <c r="AI618">
        <v>5.4129810540352263E-2</v>
      </c>
      <c r="AJ618">
        <v>9.0326158097406739E-2</v>
      </c>
      <c r="AK618">
        <v>0.14604679607502014</v>
      </c>
      <c r="AL618">
        <v>5.5908241707290696E-2</v>
      </c>
      <c r="AM618">
        <v>0.13552061450229635</v>
      </c>
      <c r="AN618">
        <v>0.22413893921916217</v>
      </c>
      <c r="AO618">
        <v>2.3760452697739853E-2</v>
      </c>
      <c r="AR618">
        <v>7.8639785911870683E-4</v>
      </c>
      <c r="AS618">
        <v>4.3928563505006872E-3</v>
      </c>
      <c r="AT618">
        <v>9.9759634155765414E-2</v>
      </c>
      <c r="AU618">
        <v>2.0085250860798487E-3</v>
      </c>
      <c r="AV618">
        <v>1.8624356459935698E-3</v>
      </c>
      <c r="AW618">
        <v>3.7169962856248295E-3</v>
      </c>
      <c r="AX618">
        <v>3.0167207492749846E-4</v>
      </c>
      <c r="AY618">
        <v>4.2568077905504189E-4</v>
      </c>
      <c r="BB618">
        <v>4.6730586931086136E-2</v>
      </c>
      <c r="BC618">
        <v>5.7638624463416388E-2</v>
      </c>
      <c r="BE618">
        <v>30276.899386401336</v>
      </c>
      <c r="BF618">
        <v>20.742910224586193</v>
      </c>
      <c r="BG618">
        <v>32493.044908859225</v>
      </c>
      <c r="BH618">
        <v>20.708835814900514</v>
      </c>
    </row>
    <row r="619" spans="3:60" x14ac:dyDescent="0.2">
      <c r="C619" s="138">
        <v>27823.175579911785</v>
      </c>
      <c r="D619">
        <v>20.728264388745885</v>
      </c>
      <c r="E619" s="138">
        <v>29851.665380111259</v>
      </c>
      <c r="F619" s="138">
        <v>20.702186051416223</v>
      </c>
      <c r="G619" s="138">
        <v>-2028.4898001994734</v>
      </c>
      <c r="H619" s="138">
        <v>2.6078337329661139E-2</v>
      </c>
      <c r="N619" s="138"/>
      <c r="O619" s="138"/>
      <c r="P619" s="138"/>
      <c r="R619">
        <v>198.63078663128056</v>
      </c>
      <c r="S619">
        <v>60.939781111662796</v>
      </c>
      <c r="T619">
        <v>249.59678625303681</v>
      </c>
      <c r="U619">
        <v>116.1313893707751</v>
      </c>
      <c r="X619">
        <v>0.69899575079557574</v>
      </c>
      <c r="Y619">
        <v>0.71607994283732967</v>
      </c>
      <c r="Z619">
        <v>0.94755617445330476</v>
      </c>
      <c r="AA619">
        <v>0.94874389262972869</v>
      </c>
      <c r="AB619">
        <v>0.76603449915154398</v>
      </c>
      <c r="AC619">
        <v>0.75449719523608094</v>
      </c>
      <c r="AD619">
        <v>0.77171128173527814</v>
      </c>
      <c r="AE619">
        <v>0.71563536284696549</v>
      </c>
      <c r="AH619">
        <v>4.0924018209567703E-2</v>
      </c>
      <c r="AI619">
        <v>2.9178939742008025E-2</v>
      </c>
      <c r="AJ619">
        <v>0.15513441055507937</v>
      </c>
      <c r="AK619">
        <v>0.20890405926097722</v>
      </c>
      <c r="AL619">
        <v>0.16823187940891371</v>
      </c>
      <c r="AM619">
        <v>8.098097909684665E-2</v>
      </c>
      <c r="AN619">
        <v>0.15636263317819044</v>
      </c>
      <c r="AO619">
        <v>8.4382184332574939E-2</v>
      </c>
      <c r="AR619">
        <v>8.5712892697717479E-4</v>
      </c>
      <c r="AS619">
        <v>4.6990095531063147E-3</v>
      </c>
      <c r="AT619">
        <v>9.8025694446988512E-2</v>
      </c>
      <c r="AU619">
        <v>2.1560439345166271E-3</v>
      </c>
      <c r="AV619">
        <v>2.2369499536409876E-3</v>
      </c>
      <c r="AW619">
        <v>3.1995458426892298E-3</v>
      </c>
      <c r="AX619">
        <v>4.5913148061871301E-4</v>
      </c>
      <c r="AY619">
        <v>3.8338679764974768E-4</v>
      </c>
      <c r="BB619">
        <v>3.8149467260088867E-2</v>
      </c>
      <c r="BC619">
        <v>6.1489335319458993E-2</v>
      </c>
      <c r="BE619">
        <v>27823.175579911785</v>
      </c>
      <c r="BF619">
        <v>20.728264388745885</v>
      </c>
      <c r="BG619">
        <v>29851.665380111259</v>
      </c>
      <c r="BH619">
        <v>20.702186051416223</v>
      </c>
    </row>
    <row r="620" spans="3:60" x14ac:dyDescent="0.2">
      <c r="C620" s="138">
        <v>30442.746215895164</v>
      </c>
      <c r="D620" s="138">
        <v>20.382428542538474</v>
      </c>
      <c r="E620" s="138">
        <v>32445.782589351842</v>
      </c>
      <c r="F620" s="138">
        <v>20.338308393190871</v>
      </c>
      <c r="G620" s="138">
        <v>-2003.0363734566781</v>
      </c>
      <c r="H620" s="138">
        <v>4.4120149347602222E-2</v>
      </c>
      <c r="N620" s="138"/>
      <c r="O620" s="138"/>
      <c r="P620" s="138"/>
      <c r="R620">
        <v>209.38800337271439</v>
      </c>
      <c r="S620">
        <v>65.940093675218577</v>
      </c>
      <c r="T620">
        <v>239.5042967450035</v>
      </c>
      <c r="U620">
        <v>100.14499199721814</v>
      </c>
      <c r="X620">
        <v>0.9109732240589683</v>
      </c>
      <c r="Y620">
        <v>0.6662455578476042</v>
      </c>
      <c r="Z620">
        <v>0.76864076664855463</v>
      </c>
      <c r="AA620">
        <v>0.93555389621997032</v>
      </c>
      <c r="AB620">
        <v>0.54527692706599207</v>
      </c>
      <c r="AC620">
        <v>0.78482570470909896</v>
      </c>
      <c r="AD620">
        <v>0.89664188868421113</v>
      </c>
      <c r="AE620">
        <v>0.92542578207031545</v>
      </c>
      <c r="AH620">
        <v>0.19183778001679586</v>
      </c>
      <c r="AI620">
        <v>7.8186137899621588E-2</v>
      </c>
      <c r="AJ620">
        <v>8.3111748370066185E-2</v>
      </c>
      <c r="AK620">
        <v>6.4881959683356527E-2</v>
      </c>
      <c r="AL620">
        <v>7.9499975661716182E-2</v>
      </c>
      <c r="AM620">
        <v>6.3267318208600765E-2</v>
      </c>
      <c r="AN620">
        <v>6.9292592945756737E-2</v>
      </c>
      <c r="AO620">
        <v>0.23031320031865032</v>
      </c>
      <c r="AR620">
        <v>9.442735092674015E-4</v>
      </c>
      <c r="AS620">
        <v>4.6027985615679778E-3</v>
      </c>
      <c r="AT620">
        <v>0.10068969241912606</v>
      </c>
      <c r="AU620">
        <v>1.8922552618549735E-3</v>
      </c>
      <c r="AV620">
        <v>2.0724686198756448E-3</v>
      </c>
      <c r="AW620">
        <v>3.4989184926609296E-3</v>
      </c>
      <c r="AX620">
        <v>3.9805179265905988E-4</v>
      </c>
      <c r="AY620">
        <v>4.9754565023973907E-4</v>
      </c>
      <c r="BB620">
        <v>4.9515317819020424E-2</v>
      </c>
      <c r="BC620">
        <v>4.5936412761189621E-2</v>
      </c>
      <c r="BE620">
        <v>30442.746215895164</v>
      </c>
      <c r="BF620">
        <v>20.382428542538474</v>
      </c>
      <c r="BG620">
        <v>32445.782589351842</v>
      </c>
      <c r="BH620">
        <v>20.338308393190871</v>
      </c>
    </row>
    <row r="621" spans="3:60" x14ac:dyDescent="0.2">
      <c r="C621" s="138">
        <v>38172.89461303076</v>
      </c>
      <c r="D621" s="138">
        <v>20.974070245538581</v>
      </c>
      <c r="E621" s="138">
        <v>40512.576213290988</v>
      </c>
      <c r="F621" s="138">
        <v>20.950960458979033</v>
      </c>
      <c r="G621" s="138">
        <v>-2339.6816002602282</v>
      </c>
      <c r="H621" s="138">
        <v>2.3109786559547985E-2</v>
      </c>
      <c r="N621" s="138"/>
      <c r="O621" s="138"/>
      <c r="P621" s="138"/>
      <c r="R621">
        <v>198.49565222670148</v>
      </c>
      <c r="S621">
        <v>65.136648091769572</v>
      </c>
      <c r="T621">
        <v>246.87789341240071</v>
      </c>
      <c r="U621">
        <v>96.654042039100162</v>
      </c>
      <c r="X621">
        <v>0.72979371157027118</v>
      </c>
      <c r="Y621">
        <v>0.77814323220029502</v>
      </c>
      <c r="Z621">
        <v>0.85134541485572912</v>
      </c>
      <c r="AA621">
        <v>0.64788524659327507</v>
      </c>
      <c r="AB621">
        <v>0.72309910208707762</v>
      </c>
      <c r="AC621">
        <v>0.87489596475802789</v>
      </c>
      <c r="AD621">
        <v>0.72184691117854549</v>
      </c>
      <c r="AE621">
        <v>0.48459771226709064</v>
      </c>
      <c r="AH621">
        <v>0.24034674678239498</v>
      </c>
      <c r="AI621">
        <v>0.14600738715811923</v>
      </c>
      <c r="AJ621">
        <v>0.39652679235198851</v>
      </c>
      <c r="AK621">
        <v>3.9496142943198587E-2</v>
      </c>
      <c r="AL621">
        <v>0.11710191470688025</v>
      </c>
      <c r="AM621">
        <v>3.1897045505287269E-2</v>
      </c>
      <c r="AN621">
        <v>0.15716180819227488</v>
      </c>
      <c r="AO621">
        <v>7.7783908379085998E-2</v>
      </c>
      <c r="AR621">
        <v>8.6243104617395397E-4</v>
      </c>
      <c r="AS621">
        <v>4.6213621615421863E-3</v>
      </c>
      <c r="AT621">
        <v>0.10026632477952913</v>
      </c>
      <c r="AU621">
        <v>1.7679703570274976E-3</v>
      </c>
      <c r="AV621">
        <v>2.1049000762313197E-3</v>
      </c>
      <c r="AW621">
        <v>3.7309112326537885E-3</v>
      </c>
      <c r="AX621">
        <v>3.3282950226627234E-4</v>
      </c>
      <c r="AY621">
        <v>3.916734716059162E-4</v>
      </c>
      <c r="BB621">
        <v>4.164558037087579E-2</v>
      </c>
      <c r="BC621">
        <v>2.1571570424622481E-2</v>
      </c>
      <c r="BE621">
        <v>38172.89461303076</v>
      </c>
      <c r="BF621">
        <v>20.974070245538581</v>
      </c>
      <c r="BG621">
        <v>40512.576213290988</v>
      </c>
      <c r="BH621">
        <v>20.950960458979033</v>
      </c>
    </row>
    <row r="622" spans="3:60" x14ac:dyDescent="0.2">
      <c r="C622" s="138">
        <v>38731.900963025546</v>
      </c>
      <c r="D622" s="138">
        <v>21.741810658034069</v>
      </c>
      <c r="E622" s="138">
        <v>41079.295708387443</v>
      </c>
      <c r="F622" s="138">
        <v>21.733589463958534</v>
      </c>
      <c r="G622" s="138">
        <v>-2347.3947453618966</v>
      </c>
      <c r="H622" s="138">
        <v>8.2211940755350099E-3</v>
      </c>
      <c r="N622" s="138"/>
      <c r="O622" s="138"/>
      <c r="P622" s="138"/>
      <c r="R622">
        <v>111.51278118040312</v>
      </c>
      <c r="S622">
        <v>63.193449797209965</v>
      </c>
      <c r="T622">
        <v>272.56417929854393</v>
      </c>
      <c r="U622">
        <v>74.362583576568497</v>
      </c>
      <c r="X622">
        <v>0.79769694350506037</v>
      </c>
      <c r="Y622">
        <v>0.79249184838215159</v>
      </c>
      <c r="Z622">
        <v>0.66670083025473692</v>
      </c>
      <c r="AA622">
        <v>0.70296002190548346</v>
      </c>
      <c r="AB622">
        <v>0.89200549721298461</v>
      </c>
      <c r="AC622">
        <v>0.54017030497940888</v>
      </c>
      <c r="AD622">
        <v>0.63410293649578864</v>
      </c>
      <c r="AE622">
        <v>0.81230297698584653</v>
      </c>
      <c r="AH622">
        <v>0.1125308921648801</v>
      </c>
      <c r="AI622">
        <v>0.12583195288359605</v>
      </c>
      <c r="AJ622">
        <v>2.4039264374196234E-2</v>
      </c>
      <c r="AK622">
        <v>4.7851387988261607E-2</v>
      </c>
      <c r="AL622">
        <v>6.1501111441652601E-2</v>
      </c>
      <c r="AM622">
        <v>8.3983808163113793E-2</v>
      </c>
      <c r="AN622">
        <v>3.5273286600535858E-2</v>
      </c>
      <c r="AO622">
        <v>9.7731178307355115E-2</v>
      </c>
      <c r="AR622">
        <v>9.7854233084548881E-4</v>
      </c>
      <c r="AS622">
        <v>4.5969718772576051E-3</v>
      </c>
      <c r="AT622">
        <v>9.9474661052344676E-2</v>
      </c>
      <c r="AU622">
        <v>2.0617787131946841E-3</v>
      </c>
      <c r="AV622">
        <v>2.0902642706600583E-3</v>
      </c>
      <c r="AW622">
        <v>3.5526333103900187E-3</v>
      </c>
      <c r="AX622">
        <v>4.3825410059428194E-4</v>
      </c>
      <c r="AY622">
        <v>5.1739811814743852E-4</v>
      </c>
      <c r="BB622">
        <v>5.4442781801224083E-2</v>
      </c>
      <c r="BC622">
        <v>4.2809363456510159E-2</v>
      </c>
      <c r="BE622">
        <v>38731.900963025546</v>
      </c>
      <c r="BF622">
        <v>21.741810658034069</v>
      </c>
      <c r="BG622">
        <v>41079.295708387443</v>
      </c>
      <c r="BH622">
        <v>21.733589463958534</v>
      </c>
    </row>
    <row r="623" spans="3:60" x14ac:dyDescent="0.2">
      <c r="C623" s="138">
        <v>33470.539445520109</v>
      </c>
      <c r="D623" s="138">
        <v>21.603679003056662</v>
      </c>
      <c r="E623" s="138">
        <v>35576.291363985867</v>
      </c>
      <c r="F623" s="138">
        <v>21.590944107706022</v>
      </c>
      <c r="G623" s="138">
        <v>-2105.7519184657576</v>
      </c>
      <c r="H623" s="138">
        <v>1.2734895350639874E-2</v>
      </c>
      <c r="N623" s="138"/>
      <c r="O623" s="138"/>
      <c r="P623" s="138"/>
      <c r="R623">
        <v>334.71108196863429</v>
      </c>
      <c r="S623">
        <v>70.809410779457608</v>
      </c>
      <c r="T623">
        <v>250.0997658233772</v>
      </c>
      <c r="U623">
        <v>95.162770970853558</v>
      </c>
      <c r="X623">
        <v>0.77503630499944109</v>
      </c>
      <c r="Y623">
        <v>0.8049927220001587</v>
      </c>
      <c r="Z623">
        <v>0.81468579985494505</v>
      </c>
      <c r="AA623">
        <v>0.58452674167402185</v>
      </c>
      <c r="AB623">
        <v>0.49948640642653813</v>
      </c>
      <c r="AC623">
        <v>0.67924942015627077</v>
      </c>
      <c r="AD623">
        <v>0.80609133904913022</v>
      </c>
      <c r="AE623">
        <v>0.89188363589361974</v>
      </c>
      <c r="AH623">
        <v>0.23040532493504928</v>
      </c>
      <c r="AI623">
        <v>0.22181561129907779</v>
      </c>
      <c r="AJ623">
        <v>1.412615964941466E-2</v>
      </c>
      <c r="AK623">
        <v>0.12809283291568319</v>
      </c>
      <c r="AL623">
        <v>0.21373538462791952</v>
      </c>
      <c r="AM623">
        <v>0.23460641530972781</v>
      </c>
      <c r="AN623">
        <v>0.15195794137943841</v>
      </c>
      <c r="AO623">
        <v>9.9161179834795776E-2</v>
      </c>
      <c r="AR623">
        <v>9.1675341517305498E-4</v>
      </c>
      <c r="AS623">
        <v>4.1658675895709088E-3</v>
      </c>
      <c r="AT623">
        <v>0.1005863909132283</v>
      </c>
      <c r="AU623">
        <v>2.1601817426442071E-3</v>
      </c>
      <c r="AV623">
        <v>2.1558420741699669E-3</v>
      </c>
      <c r="AW623">
        <v>3.1847091415781997E-3</v>
      </c>
      <c r="AX623">
        <v>4.401642471121292E-4</v>
      </c>
      <c r="AY623">
        <v>3.7428759646548345E-4</v>
      </c>
      <c r="BB623">
        <v>5.2009411883272572E-2</v>
      </c>
      <c r="BC623">
        <v>3.7103339609496508E-2</v>
      </c>
      <c r="BE623">
        <v>33470.539445520109</v>
      </c>
      <c r="BF623">
        <v>21.603679003056662</v>
      </c>
      <c r="BG623">
        <v>35576.291363985867</v>
      </c>
      <c r="BH623">
        <v>21.590944107706022</v>
      </c>
    </row>
    <row r="624" spans="3:60" x14ac:dyDescent="0.2">
      <c r="C624" s="138">
        <v>29002.272338750441</v>
      </c>
      <c r="D624" s="138">
        <v>21.42889573860402</v>
      </c>
      <c r="E624" s="138">
        <v>30730.787326541868</v>
      </c>
      <c r="F624" s="138">
        <v>21.44207931131967</v>
      </c>
      <c r="G624" s="138">
        <v>-1728.5149877914264</v>
      </c>
      <c r="H624" s="138">
        <v>-1.3183572715650627E-2</v>
      </c>
      <c r="N624" s="138"/>
      <c r="O624" s="138"/>
      <c r="P624" s="138"/>
      <c r="R624">
        <v>283.86032780036032</v>
      </c>
      <c r="S624">
        <v>57.965852929772751</v>
      </c>
      <c r="T624">
        <v>244.18428333432391</v>
      </c>
      <c r="U624">
        <v>86.067480200199185</v>
      </c>
      <c r="X624">
        <v>0.85569695350268993</v>
      </c>
      <c r="Y624">
        <v>0.62115039380077408</v>
      </c>
      <c r="Z624">
        <v>0.77116428140500493</v>
      </c>
      <c r="AA624">
        <v>0.74205243517003949</v>
      </c>
      <c r="AB624">
        <v>0.78463259030982013</v>
      </c>
      <c r="AC624">
        <v>0.91129653214862749</v>
      </c>
      <c r="AD624">
        <v>0.53755436537977164</v>
      </c>
      <c r="AE624">
        <v>0.54113263328580175</v>
      </c>
      <c r="AH624">
        <v>0.12232323085994534</v>
      </c>
      <c r="AI624">
        <v>6.079497661363642E-2</v>
      </c>
      <c r="AJ624">
        <v>0.12232863652867076</v>
      </c>
      <c r="AK624">
        <v>0.14633464191060863</v>
      </c>
      <c r="AL624">
        <v>4.6701165817684576E-2</v>
      </c>
      <c r="AM624">
        <v>0.11314901414605893</v>
      </c>
      <c r="AN624">
        <v>5.082842760969708E-2</v>
      </c>
      <c r="AO624">
        <v>4.8729666047355513E-2</v>
      </c>
      <c r="AR624">
        <v>7.7593650142557702E-4</v>
      </c>
      <c r="AS624">
        <v>4.0782613163488565E-3</v>
      </c>
      <c r="AT624">
        <v>0.1018205033630637</v>
      </c>
      <c r="AU624">
        <v>1.936338513484373E-3</v>
      </c>
      <c r="AV624">
        <v>1.8391887450288111E-3</v>
      </c>
      <c r="AW624">
        <v>3.3972161607954093E-3</v>
      </c>
      <c r="AX624">
        <v>4.226107326108508E-4</v>
      </c>
      <c r="AY624">
        <v>4.3605574227890574E-4</v>
      </c>
      <c r="BB624">
        <v>4.7912969036701107E-2</v>
      </c>
      <c r="BC624">
        <v>4.4879714511952586E-2</v>
      </c>
      <c r="BE624">
        <v>29002.272338750441</v>
      </c>
      <c r="BF624">
        <v>21.42889573860402</v>
      </c>
      <c r="BG624">
        <v>30730.787326541868</v>
      </c>
      <c r="BH624">
        <v>21.44207931131967</v>
      </c>
    </row>
    <row r="625" spans="3:60" x14ac:dyDescent="0.2">
      <c r="C625" s="138">
        <v>35952.689637169002</v>
      </c>
      <c r="D625" s="138">
        <v>21.017796447867671</v>
      </c>
      <c r="E625" s="138">
        <v>37707.617331849367</v>
      </c>
      <c r="F625" s="138">
        <v>20.981324995729107</v>
      </c>
      <c r="G625" s="138">
        <v>-1754.9276946803657</v>
      </c>
      <c r="H625" s="138">
        <v>3.647145213856362E-2</v>
      </c>
      <c r="N625" s="138"/>
      <c r="O625" s="138"/>
      <c r="P625" s="138"/>
      <c r="R625">
        <v>413.04799646511231</v>
      </c>
      <c r="S625">
        <v>58.434254471954596</v>
      </c>
      <c r="T625">
        <v>283.21314639766553</v>
      </c>
      <c r="U625">
        <v>82.898556736521556</v>
      </c>
      <c r="X625">
        <v>0.58623694297859996</v>
      </c>
      <c r="Y625">
        <v>0.89984301166448799</v>
      </c>
      <c r="Z625">
        <v>0.54388746279690336</v>
      </c>
      <c r="AA625">
        <v>0.51770207961350079</v>
      </c>
      <c r="AB625">
        <v>0.74789372543777122</v>
      </c>
      <c r="AC625">
        <v>0.48362692935299051</v>
      </c>
      <c r="AD625">
        <v>0.70890091577762548</v>
      </c>
      <c r="AE625">
        <v>0.97296889227744054</v>
      </c>
      <c r="AH625">
        <v>0.12997491513298443</v>
      </c>
      <c r="AI625">
        <v>1.4293833838963099E-2</v>
      </c>
      <c r="AJ625">
        <v>4.7527021150335247E-2</v>
      </c>
      <c r="AK625">
        <v>0.10733510673175395</v>
      </c>
      <c r="AL625">
        <v>4.5178405272241817E-2</v>
      </c>
      <c r="AM625">
        <v>0.2134233861459065</v>
      </c>
      <c r="AN625">
        <v>0.18584666523101123</v>
      </c>
      <c r="AO625">
        <v>8.1347403529482554E-2</v>
      </c>
      <c r="AR625">
        <v>8.873763727543782E-4</v>
      </c>
      <c r="AS625">
        <v>4.2720942087844027E-3</v>
      </c>
      <c r="AT625">
        <v>9.9256904616401992E-2</v>
      </c>
      <c r="AU625">
        <v>1.6070133514136343E-3</v>
      </c>
      <c r="AV625">
        <v>1.8548527514013183E-3</v>
      </c>
      <c r="AW625">
        <v>3.6975284976615841E-3</v>
      </c>
      <c r="AX625">
        <v>3.7329171866738227E-4</v>
      </c>
      <c r="AY625">
        <v>4.004821054083876E-4</v>
      </c>
      <c r="BB625">
        <v>5.2025925238314286E-2</v>
      </c>
      <c r="BC625">
        <v>5.8266754780080365E-2</v>
      </c>
      <c r="BE625">
        <v>35952.689637169002</v>
      </c>
      <c r="BF625">
        <v>21.017796447867671</v>
      </c>
      <c r="BG625">
        <v>37707.617331849367</v>
      </c>
      <c r="BH625">
        <v>20.981324995729107</v>
      </c>
    </row>
    <row r="626" spans="3:60" x14ac:dyDescent="0.2">
      <c r="C626" s="138">
        <v>32153.487812959429</v>
      </c>
      <c r="D626" s="138">
        <v>20.652618975338143</v>
      </c>
      <c r="E626" s="138">
        <v>34210.636098215728</v>
      </c>
      <c r="F626" s="138">
        <v>20.612203838440468</v>
      </c>
      <c r="G626" s="138">
        <v>-2057.1482852562985</v>
      </c>
      <c r="H626" s="138">
        <v>4.0415136897674842E-2</v>
      </c>
      <c r="N626" s="138"/>
      <c r="O626" s="138"/>
      <c r="P626" s="138"/>
      <c r="R626">
        <v>175.13674312260468</v>
      </c>
      <c r="S626">
        <v>59.287745331631335</v>
      </c>
      <c r="T626">
        <v>263.83534941161105</v>
      </c>
      <c r="U626">
        <v>104.25487201165112</v>
      </c>
      <c r="X626">
        <v>0.82194644531647665</v>
      </c>
      <c r="Y626">
        <v>0.83815839898893008</v>
      </c>
      <c r="Z626">
        <v>0.7139071838104144</v>
      </c>
      <c r="AA626">
        <v>0.86450555842203758</v>
      </c>
      <c r="AB626">
        <v>0.77756896133750708</v>
      </c>
      <c r="AC626">
        <v>0.72208369634369829</v>
      </c>
      <c r="AD626">
        <v>0.81978847383159348</v>
      </c>
      <c r="AE626">
        <v>0.77550483822509331</v>
      </c>
      <c r="AH626">
        <v>0.16844728964786304</v>
      </c>
      <c r="AI626">
        <v>0.13445146378683426</v>
      </c>
      <c r="AJ626">
        <v>0.15441342252996337</v>
      </c>
      <c r="AK626">
        <v>8.0499427911373767E-2</v>
      </c>
      <c r="AL626">
        <v>0.16057960828859164</v>
      </c>
      <c r="AM626">
        <v>4.2866521931984924E-2</v>
      </c>
      <c r="AN626">
        <v>0.15001530647980199</v>
      </c>
      <c r="AO626">
        <v>0.12460496997463166</v>
      </c>
      <c r="AR626">
        <v>8.5091986086648704E-4</v>
      </c>
      <c r="AS626">
        <v>4.8053266692500429E-3</v>
      </c>
      <c r="AT626">
        <v>0.10176375588876463</v>
      </c>
      <c r="AU626">
        <v>2.0149350782004971E-3</v>
      </c>
      <c r="AV626">
        <v>2.0532082552451314E-3</v>
      </c>
      <c r="AW626">
        <v>3.4044808028222142E-3</v>
      </c>
      <c r="AX626">
        <v>3.4804408218383178E-4</v>
      </c>
      <c r="AY626">
        <v>4.7838310211978374E-4</v>
      </c>
      <c r="BB626">
        <v>4.3458498849302828E-2</v>
      </c>
      <c r="BC626">
        <v>3.0742332233668776E-2</v>
      </c>
      <c r="BE626">
        <v>32153.487812959429</v>
      </c>
      <c r="BF626">
        <v>20.652618975338143</v>
      </c>
      <c r="BG626">
        <v>34210.636098215728</v>
      </c>
      <c r="BH626">
        <v>20.612203838440468</v>
      </c>
    </row>
    <row r="627" spans="3:60" x14ac:dyDescent="0.2">
      <c r="C627" s="138">
        <v>29676.721754178543</v>
      </c>
      <c r="D627" s="138">
        <v>21.264919663943079</v>
      </c>
      <c r="E627" s="138">
        <v>31869.491516624843</v>
      </c>
      <c r="F627" s="138">
        <v>21.241127266383852</v>
      </c>
      <c r="G627" s="138">
        <v>-2192.7697624462999</v>
      </c>
      <c r="H627" s="138">
        <v>2.3792397559226686E-2</v>
      </c>
      <c r="N627" s="138"/>
      <c r="O627" s="138"/>
      <c r="P627" s="138"/>
      <c r="R627">
        <v>153.83747513783081</v>
      </c>
      <c r="S627">
        <v>61.472381947914343</v>
      </c>
      <c r="T627">
        <v>276.10653363615552</v>
      </c>
      <c r="U627">
        <v>78.032840168922021</v>
      </c>
      <c r="X627">
        <v>0.61458401675090468</v>
      </c>
      <c r="Y627">
        <v>0.92829843515493149</v>
      </c>
      <c r="Z627">
        <v>0.68649739021291467</v>
      </c>
      <c r="AA627">
        <v>0.69892136027385343</v>
      </c>
      <c r="AB627">
        <v>0.71036786211566594</v>
      </c>
      <c r="AC627">
        <v>0.70929195630646447</v>
      </c>
      <c r="AD627">
        <v>0.85849364713320009</v>
      </c>
      <c r="AE627">
        <v>0.5434010681936764</v>
      </c>
      <c r="AH627">
        <v>0.1037715391778613</v>
      </c>
      <c r="AI627">
        <v>0.15079431984798131</v>
      </c>
      <c r="AJ627">
        <v>6.0220781400077472E-2</v>
      </c>
      <c r="AK627">
        <v>0.14645067979668192</v>
      </c>
      <c r="AL627">
        <v>0.22748062073692543</v>
      </c>
      <c r="AM627">
        <v>5.6784324776096406E-2</v>
      </c>
      <c r="AN627">
        <v>0.13383306880055568</v>
      </c>
      <c r="AO627">
        <v>0.11904407178230081</v>
      </c>
      <c r="AR627">
        <v>9.5163004649212457E-4</v>
      </c>
      <c r="AS627">
        <v>4.4613819107665945E-3</v>
      </c>
      <c r="AT627">
        <v>9.8720985092163829E-2</v>
      </c>
      <c r="AU627">
        <v>1.9496222526451969E-3</v>
      </c>
      <c r="AV627">
        <v>2.0373729904485938E-3</v>
      </c>
      <c r="AW627">
        <v>3.6957171111774434E-3</v>
      </c>
      <c r="AX627">
        <v>3.7496164712227145E-4</v>
      </c>
      <c r="AY627">
        <v>3.4299998587933664E-4</v>
      </c>
      <c r="BB627">
        <v>4.7014275382829471E-2</v>
      </c>
      <c r="BC627">
        <v>3.1211848337103183E-2</v>
      </c>
      <c r="BE627">
        <v>29676.721754178543</v>
      </c>
      <c r="BF627">
        <v>21.264919663943079</v>
      </c>
      <c r="BG627">
        <v>31869.491516624843</v>
      </c>
      <c r="BH627">
        <v>21.241127266383852</v>
      </c>
    </row>
    <row r="628" spans="3:60" x14ac:dyDescent="0.2">
      <c r="C628" s="138">
        <v>30017.344608277941</v>
      </c>
      <c r="D628" s="138">
        <v>21.067277963248337</v>
      </c>
      <c r="E628" s="138">
        <v>31795.134438012621</v>
      </c>
      <c r="F628" s="138">
        <v>21.051596446756403</v>
      </c>
      <c r="G628" s="138">
        <v>-1777.7898297346801</v>
      </c>
      <c r="H628" s="138">
        <v>1.5681516491934389E-2</v>
      </c>
      <c r="N628" s="138"/>
      <c r="O628" s="138"/>
      <c r="P628" s="138"/>
      <c r="R628">
        <v>293.65880161813266</v>
      </c>
      <c r="S628">
        <v>64.662748379085627</v>
      </c>
      <c r="T628">
        <v>192.69681753694604</v>
      </c>
      <c r="U628">
        <v>85.203623196348374</v>
      </c>
      <c r="X628">
        <v>0.75386069553644308</v>
      </c>
      <c r="Y628">
        <v>0.51040426661705196</v>
      </c>
      <c r="Z628">
        <v>0.80482938622692479</v>
      </c>
      <c r="AA628">
        <v>0.87108910545294937</v>
      </c>
      <c r="AB628">
        <v>0.68059813534848956</v>
      </c>
      <c r="AC628">
        <v>0.76613888793295959</v>
      </c>
      <c r="AD628">
        <v>0.82736383968454374</v>
      </c>
      <c r="AE628">
        <v>0.74850536620549823</v>
      </c>
      <c r="AH628">
        <v>0.16969606289506645</v>
      </c>
      <c r="AI628">
        <v>0.23337435206971502</v>
      </c>
      <c r="AJ628">
        <v>5.328336798585398E-2</v>
      </c>
      <c r="AK628">
        <v>0.10826079342161932</v>
      </c>
      <c r="AL628">
        <v>7.481731343748077E-2</v>
      </c>
      <c r="AM628">
        <v>4.3364615470059986E-2</v>
      </c>
      <c r="AN628">
        <v>0.13164325791282827</v>
      </c>
      <c r="AO628">
        <v>0.15964274547625168</v>
      </c>
      <c r="AR628">
        <v>7.2267455487441624E-4</v>
      </c>
      <c r="AS628">
        <v>4.3852593900592192E-3</v>
      </c>
      <c r="AT628">
        <v>0.10107080201451113</v>
      </c>
      <c r="AU628">
        <v>2.1082692280182114E-3</v>
      </c>
      <c r="AV628">
        <v>1.8889086983481422E-3</v>
      </c>
      <c r="AW628">
        <v>3.3145958124950535E-3</v>
      </c>
      <c r="AX628">
        <v>5.0338486182255338E-4</v>
      </c>
      <c r="AY628">
        <v>4.6605095864504786E-4</v>
      </c>
      <c r="BB628">
        <v>5.0007979074665032E-2</v>
      </c>
      <c r="BC628">
        <v>9.0189294979183526E-3</v>
      </c>
      <c r="BE628">
        <v>30017.344608277941</v>
      </c>
      <c r="BF628">
        <v>21.067277963248337</v>
      </c>
      <c r="BG628">
        <v>31795.134438012621</v>
      </c>
      <c r="BH628">
        <v>21.051596446756403</v>
      </c>
    </row>
    <row r="629" spans="3:60" x14ac:dyDescent="0.2">
      <c r="C629" s="138">
        <v>35731.998741051881</v>
      </c>
      <c r="D629" s="138">
        <v>21.648109915524355</v>
      </c>
      <c r="E629" s="138">
        <v>37319.026906539963</v>
      </c>
      <c r="F629" s="138">
        <v>21.670034894741772</v>
      </c>
      <c r="G629" s="138">
        <v>-1587.0281654880819</v>
      </c>
      <c r="H629" s="138">
        <v>-2.1924979217416762E-2</v>
      </c>
      <c r="N629" s="138"/>
      <c r="O629" s="138"/>
      <c r="P629" s="138"/>
      <c r="R629">
        <v>287.69091813715846</v>
      </c>
      <c r="S629">
        <v>59.809434274347083</v>
      </c>
      <c r="T629">
        <v>254.16875642853543</v>
      </c>
      <c r="U629">
        <v>99.14237450702754</v>
      </c>
      <c r="X629">
        <v>0.86783685752113748</v>
      </c>
      <c r="Y629">
        <v>0.73712461332758727</v>
      </c>
      <c r="Z629">
        <v>0.63588516651375349</v>
      </c>
      <c r="AA629">
        <v>0.73515380098008676</v>
      </c>
      <c r="AB629">
        <v>0.76960849632830253</v>
      </c>
      <c r="AC629">
        <v>0.87658448999544336</v>
      </c>
      <c r="AD629">
        <v>0.79174879592972336</v>
      </c>
      <c r="AE629">
        <v>0.88451723190869802</v>
      </c>
      <c r="AH629">
        <v>5.0866745522265222E-2</v>
      </c>
      <c r="AI629">
        <v>4.5449170668021566E-2</v>
      </c>
      <c r="AJ629">
        <v>3.7817160248395432E-2</v>
      </c>
      <c r="AK629">
        <v>0.12124796634556634</v>
      </c>
      <c r="AL629">
        <v>0.14817072251523367</v>
      </c>
      <c r="AM629">
        <v>8.1255924112026867E-2</v>
      </c>
      <c r="AN629">
        <v>0.37973347686390679</v>
      </c>
      <c r="AO629">
        <v>0.17027924518090054</v>
      </c>
      <c r="AR629">
        <v>8.2616423881128553E-4</v>
      </c>
      <c r="AS629">
        <v>4.6264446721691055E-3</v>
      </c>
      <c r="AT629">
        <v>9.7462486722951963E-2</v>
      </c>
      <c r="AU629">
        <v>1.9179879983009856E-3</v>
      </c>
      <c r="AV629">
        <v>2.197891959557885E-3</v>
      </c>
      <c r="AW629">
        <v>3.6338309987478112E-3</v>
      </c>
      <c r="AX629">
        <v>5.0919871290389107E-4</v>
      </c>
      <c r="AY629">
        <v>4.6403506432068919E-4</v>
      </c>
      <c r="BB629">
        <v>4.2115632703693028E-2</v>
      </c>
      <c r="BC629">
        <v>5.9520275780408749E-2</v>
      </c>
      <c r="BE629">
        <v>35731.998741051881</v>
      </c>
      <c r="BF629">
        <v>21.648109915524355</v>
      </c>
      <c r="BG629">
        <v>37319.026906539963</v>
      </c>
      <c r="BH629">
        <v>21.670034894741772</v>
      </c>
    </row>
    <row r="630" spans="3:60" x14ac:dyDescent="0.2">
      <c r="C630" s="138">
        <v>32372.775226023696</v>
      </c>
      <c r="D630" s="138">
        <v>21.245402910539795</v>
      </c>
      <c r="E630" s="138">
        <v>34257.616795384565</v>
      </c>
      <c r="F630" s="138">
        <v>21.242460506024941</v>
      </c>
      <c r="G630" s="138">
        <v>-1884.8415693608695</v>
      </c>
      <c r="H630" s="138">
        <v>2.9424045148545019E-3</v>
      </c>
      <c r="N630" s="138"/>
      <c r="O630" s="138"/>
      <c r="P630" s="138"/>
      <c r="R630">
        <v>153.66842701972433</v>
      </c>
      <c r="S630">
        <v>63.648542149079503</v>
      </c>
      <c r="T630">
        <v>289.03600839354294</v>
      </c>
      <c r="U630">
        <v>92.110473707270543</v>
      </c>
      <c r="X630">
        <v>0.44988239187957307</v>
      </c>
      <c r="Y630">
        <v>0.85503621881397984</v>
      </c>
      <c r="Z630">
        <v>0.61440701769770645</v>
      </c>
      <c r="AA630">
        <v>0.69294227111594497</v>
      </c>
      <c r="AB630">
        <v>0.57897276467262293</v>
      </c>
      <c r="AC630">
        <v>0.70185662749918754</v>
      </c>
      <c r="AD630">
        <v>0.74882540219038418</v>
      </c>
      <c r="AE630">
        <v>0.63511660101589851</v>
      </c>
      <c r="AH630">
        <v>0.16827570123676672</v>
      </c>
      <c r="AI630">
        <v>0.274671904339856</v>
      </c>
      <c r="AJ630">
        <v>5.5877117342056581E-2</v>
      </c>
      <c r="AK630">
        <v>0.26324655143412523</v>
      </c>
      <c r="AL630">
        <v>0.11131953878864664</v>
      </c>
      <c r="AM630">
        <v>3.817892315222382E-2</v>
      </c>
      <c r="AN630">
        <v>5.4411084214736616E-2</v>
      </c>
      <c r="AO630">
        <v>0.19960268193233865</v>
      </c>
      <c r="AR630">
        <v>8.1582797150461328E-4</v>
      </c>
      <c r="AS630">
        <v>4.5752346146840095E-3</v>
      </c>
      <c r="AT630">
        <v>9.9020201406005204E-2</v>
      </c>
      <c r="AU630">
        <v>2.1054152890822575E-3</v>
      </c>
      <c r="AV630">
        <v>1.8259737902465635E-3</v>
      </c>
      <c r="AW630">
        <v>3.2193448307680657E-3</v>
      </c>
      <c r="AX630">
        <v>3.7559053432692041E-4</v>
      </c>
      <c r="AY630">
        <v>4.2263430977310346E-4</v>
      </c>
      <c r="BB630">
        <v>5.5417006277968528E-2</v>
      </c>
      <c r="BC630">
        <v>6.7250144887094132E-2</v>
      </c>
      <c r="BE630">
        <v>32372.775226023696</v>
      </c>
      <c r="BF630">
        <v>21.245402910539795</v>
      </c>
      <c r="BG630">
        <v>34257.616795384565</v>
      </c>
      <c r="BH630">
        <v>21.242460506024941</v>
      </c>
    </row>
    <row r="631" spans="3:60" x14ac:dyDescent="0.2">
      <c r="C631" s="138">
        <v>34577.331132076819</v>
      </c>
      <c r="D631" s="138">
        <v>20.711651973914925</v>
      </c>
      <c r="E631" s="138">
        <v>36422.588651473052</v>
      </c>
      <c r="F631" s="138">
        <v>20.690833896934546</v>
      </c>
      <c r="G631" s="138">
        <v>-1845.257519396233</v>
      </c>
      <c r="H631" s="138">
        <v>2.081807698037963E-2</v>
      </c>
      <c r="N631" s="138"/>
      <c r="O631" s="138"/>
      <c r="P631" s="138"/>
      <c r="R631">
        <v>311.85602592565692</v>
      </c>
      <c r="S631">
        <v>60.818036778209667</v>
      </c>
      <c r="T631">
        <v>224.51058051429121</v>
      </c>
      <c r="U631">
        <v>79.628937086977388</v>
      </c>
      <c r="X631">
        <v>0.64113950351996785</v>
      </c>
      <c r="Y631">
        <v>0.87082029770089142</v>
      </c>
      <c r="Z631">
        <v>0.88553634512221946</v>
      </c>
      <c r="AA631">
        <v>0.88371421588782684</v>
      </c>
      <c r="AB631">
        <v>0.75812107583706412</v>
      </c>
      <c r="AC631">
        <v>0.82979163140475665</v>
      </c>
      <c r="AD631">
        <v>0.8261797664444982</v>
      </c>
      <c r="AE631">
        <v>0.74447908279607045</v>
      </c>
      <c r="AH631">
        <v>7.0110194242802737E-2</v>
      </c>
      <c r="AI631">
        <v>0.25652902545845668</v>
      </c>
      <c r="AJ631">
        <v>9.1695836582406987E-2</v>
      </c>
      <c r="AK631">
        <v>0.25615248782975319</v>
      </c>
      <c r="AL631">
        <v>5.3725712059350061E-2</v>
      </c>
      <c r="AM631">
        <v>5.8531836969852202E-2</v>
      </c>
      <c r="AN631">
        <v>3.2306026497251894E-2</v>
      </c>
      <c r="AO631">
        <v>0.10267304781633946</v>
      </c>
      <c r="AR631">
        <v>9.9620528447097456E-4</v>
      </c>
      <c r="AS631">
        <v>4.5796677451452883E-3</v>
      </c>
      <c r="AT631">
        <v>9.9328738919632328E-2</v>
      </c>
      <c r="AU631">
        <v>2.1047329115146951E-3</v>
      </c>
      <c r="AV631">
        <v>2.0384207283123956E-3</v>
      </c>
      <c r="AW631">
        <v>3.2125823924809972E-3</v>
      </c>
      <c r="AX631">
        <v>4.3738302025952969E-4</v>
      </c>
      <c r="AY631">
        <v>4.9733911155147581E-4</v>
      </c>
      <c r="BB631">
        <v>4.9767226209916304E-2</v>
      </c>
      <c r="BC631">
        <v>3.5962184656043866E-2</v>
      </c>
      <c r="BE631">
        <v>34577.331132076819</v>
      </c>
      <c r="BF631">
        <v>20.711651973914925</v>
      </c>
      <c r="BG631">
        <v>36422.588651473052</v>
      </c>
      <c r="BH631">
        <v>20.690833896934546</v>
      </c>
    </row>
    <row r="632" spans="3:60" x14ac:dyDescent="0.2">
      <c r="C632" s="138">
        <v>30504.532564167286</v>
      </c>
      <c r="D632" s="138">
        <v>20.778713876680808</v>
      </c>
      <c r="E632" s="138">
        <v>32751.037583995541</v>
      </c>
      <c r="F632" s="138">
        <v>20.726104942401914</v>
      </c>
      <c r="G632" s="138">
        <v>-2246.5050198282552</v>
      </c>
      <c r="H632" s="138">
        <v>5.2608934278893571E-2</v>
      </c>
      <c r="N632" s="138"/>
      <c r="O632" s="138"/>
      <c r="P632" s="138"/>
      <c r="R632">
        <v>330.12406899650716</v>
      </c>
      <c r="S632">
        <v>59.79368550817177</v>
      </c>
      <c r="T632">
        <v>262.42066384479642</v>
      </c>
      <c r="U632">
        <v>95.108384091451029</v>
      </c>
      <c r="X632">
        <v>0.87919987910228192</v>
      </c>
      <c r="Y632">
        <v>0.72907364496735716</v>
      </c>
      <c r="Z632">
        <v>0.80375884272471487</v>
      </c>
      <c r="AA632">
        <v>0.75840912661277737</v>
      </c>
      <c r="AB632">
        <v>0.80557377123005935</v>
      </c>
      <c r="AC632">
        <v>0.49356796973006511</v>
      </c>
      <c r="AD632">
        <v>0.69735818503520475</v>
      </c>
      <c r="AE632">
        <v>0.56708412757193016</v>
      </c>
      <c r="AH632">
        <v>7.4578327615564044E-2</v>
      </c>
      <c r="AI632">
        <v>9.015670998327352E-2</v>
      </c>
      <c r="AJ632">
        <v>6.7113199951009395E-2</v>
      </c>
      <c r="AK632">
        <v>7.1286354141584796E-2</v>
      </c>
      <c r="AL632">
        <v>0.14162943572106912</v>
      </c>
      <c r="AM632">
        <v>0.12824362020943414</v>
      </c>
      <c r="AN632">
        <v>7.3092965961018441E-2</v>
      </c>
      <c r="AO632">
        <v>9.7094755539643751E-2</v>
      </c>
      <c r="AR632">
        <v>8.5725171149418449E-4</v>
      </c>
      <c r="AS632">
        <v>4.3391601528539768E-3</v>
      </c>
      <c r="AT632">
        <v>0.10092954259938636</v>
      </c>
      <c r="AU632">
        <v>2.1420919170930253E-3</v>
      </c>
      <c r="AV632">
        <v>1.8692563765106975E-3</v>
      </c>
      <c r="AW632">
        <v>3.2839262084967025E-3</v>
      </c>
      <c r="AX632">
        <v>4.5380134631745062E-4</v>
      </c>
      <c r="AY632">
        <v>4.2805599889876356E-4</v>
      </c>
      <c r="BB632">
        <v>5.4170577831523792E-2</v>
      </c>
      <c r="BC632">
        <v>2.6195680822170931E-2</v>
      </c>
      <c r="BE632">
        <v>30504.532564167286</v>
      </c>
      <c r="BF632">
        <v>20.778713876680808</v>
      </c>
      <c r="BG632">
        <v>32751.037583995541</v>
      </c>
      <c r="BH632">
        <v>20.726104942401914</v>
      </c>
    </row>
    <row r="633" spans="3:60" x14ac:dyDescent="0.2">
      <c r="C633" s="138">
        <v>25980.665686618122</v>
      </c>
      <c r="D633" s="138">
        <v>20.750519513633492</v>
      </c>
      <c r="E633" s="138">
        <v>28120.686939027546</v>
      </c>
      <c r="F633" s="138">
        <v>20.714894712267121</v>
      </c>
      <c r="G633" s="138">
        <v>-2140.0212524094241</v>
      </c>
      <c r="H633" s="138">
        <v>3.5624801366370917E-2</v>
      </c>
      <c r="N633" s="138"/>
      <c r="O633" s="138"/>
      <c r="P633" s="138"/>
      <c r="R633">
        <v>228.58404003257027</v>
      </c>
      <c r="S633">
        <v>63.193894498108584</v>
      </c>
      <c r="T633">
        <v>227.74685370346504</v>
      </c>
      <c r="U633">
        <v>99.98175585990154</v>
      </c>
      <c r="X633">
        <v>0.57746657164322002</v>
      </c>
      <c r="Y633">
        <v>0.83712425815461922</v>
      </c>
      <c r="Z633">
        <v>0.61162695912469756</v>
      </c>
      <c r="AA633">
        <v>0.87035135817586751</v>
      </c>
      <c r="AB633">
        <v>0.7789663135602829</v>
      </c>
      <c r="AC633">
        <v>0.84001853638577384</v>
      </c>
      <c r="AD633">
        <v>0.75817213286526886</v>
      </c>
      <c r="AE633">
        <v>0.77027592180763871</v>
      </c>
      <c r="AH633">
        <v>1.8237807115062843E-2</v>
      </c>
      <c r="AI633">
        <v>5.0102808547659805E-2</v>
      </c>
      <c r="AJ633">
        <v>5.9523190643865576E-2</v>
      </c>
      <c r="AK633">
        <v>0.23777611753575945</v>
      </c>
      <c r="AL633">
        <v>4.2066943914393695E-2</v>
      </c>
      <c r="AM633">
        <v>0.2598166704997088</v>
      </c>
      <c r="AN633">
        <v>9.652696321120402E-2</v>
      </c>
      <c r="AO633">
        <v>0.14958226340416769</v>
      </c>
      <c r="AR633">
        <v>8.3269598557821176E-4</v>
      </c>
      <c r="AS633">
        <v>4.7395500956949332E-3</v>
      </c>
      <c r="AT633">
        <v>9.9460027828173675E-2</v>
      </c>
      <c r="AU633">
        <v>1.6812423576098199E-3</v>
      </c>
      <c r="AV633">
        <v>1.7449888355122512E-3</v>
      </c>
      <c r="AW633">
        <v>3.1836315180601327E-3</v>
      </c>
      <c r="AX633">
        <v>3.5828712938933111E-4</v>
      </c>
      <c r="AY633">
        <v>4.0797788291324454E-4</v>
      </c>
      <c r="BB633">
        <v>5.3732176315113178E-2</v>
      </c>
      <c r="BC633">
        <v>6.1395191687012907E-2</v>
      </c>
      <c r="BE633">
        <v>25980.665686618122</v>
      </c>
      <c r="BF633">
        <v>20.750519513633492</v>
      </c>
      <c r="BG633">
        <v>28120.686939027546</v>
      </c>
      <c r="BH633">
        <v>20.714894712267121</v>
      </c>
    </row>
    <row r="634" spans="3:60" x14ac:dyDescent="0.2">
      <c r="C634" s="138">
        <v>33785.256561404858</v>
      </c>
      <c r="D634" s="138">
        <v>21.538467577707724</v>
      </c>
      <c r="E634" s="138">
        <v>36143.873885005043</v>
      </c>
      <c r="F634" s="138">
        <v>21.542313548236976</v>
      </c>
      <c r="G634" s="138">
        <v>-2358.617323600185</v>
      </c>
      <c r="H634" s="138">
        <v>-3.8459705292517299E-3</v>
      </c>
      <c r="N634" s="138"/>
      <c r="O634" s="138"/>
      <c r="P634" s="138"/>
      <c r="R634">
        <v>59.164458533094518</v>
      </c>
      <c r="S634">
        <v>54.815068784074057</v>
      </c>
      <c r="T634">
        <v>300.34715678060047</v>
      </c>
      <c r="U634">
        <v>106.6604675655495</v>
      </c>
      <c r="X634">
        <v>0.88966134781145567</v>
      </c>
      <c r="Y634">
        <v>0.73699488470443408</v>
      </c>
      <c r="Z634">
        <v>0.85463502784572609</v>
      </c>
      <c r="AA634">
        <v>0.7879715389975066</v>
      </c>
      <c r="AB634">
        <v>0.82180005130553901</v>
      </c>
      <c r="AC634">
        <v>0.85090346559596486</v>
      </c>
      <c r="AD634">
        <v>0.80135822915997257</v>
      </c>
      <c r="AE634">
        <v>0.54225668529672888</v>
      </c>
      <c r="AH634">
        <v>0.21078313395296988</v>
      </c>
      <c r="AI634">
        <v>0.16182025065082739</v>
      </c>
      <c r="AJ634">
        <v>0.22151008472137923</v>
      </c>
      <c r="AK634">
        <v>0.10660901268144252</v>
      </c>
      <c r="AL634">
        <v>2.086940303771212E-2</v>
      </c>
      <c r="AM634">
        <v>2.6562088912107873E-2</v>
      </c>
      <c r="AN634">
        <v>9.3449586957121134E-2</v>
      </c>
      <c r="AO634">
        <v>0.27715258806616339</v>
      </c>
      <c r="AR634">
        <v>9.0509298447960518E-4</v>
      </c>
      <c r="AS634">
        <v>4.4318519803595935E-3</v>
      </c>
      <c r="AT634">
        <v>9.9903059152850096E-2</v>
      </c>
      <c r="AU634">
        <v>1.9762254691708587E-3</v>
      </c>
      <c r="AV634">
        <v>1.952175834780938E-3</v>
      </c>
      <c r="AW634">
        <v>3.4738232190516527E-3</v>
      </c>
      <c r="AX634">
        <v>4.7222268099644804E-4</v>
      </c>
      <c r="AY634">
        <v>4.3507339288707375E-4</v>
      </c>
      <c r="BB634">
        <v>4.5326904769907389E-2</v>
      </c>
      <c r="BC634">
        <v>6.5175751704636853E-2</v>
      </c>
      <c r="BE634">
        <v>33785.256561404858</v>
      </c>
      <c r="BF634">
        <v>21.538467577707724</v>
      </c>
      <c r="BG634">
        <v>36143.873885005043</v>
      </c>
      <c r="BH634">
        <v>21.542313548236976</v>
      </c>
    </row>
    <row r="635" spans="3:60" x14ac:dyDescent="0.2">
      <c r="C635" s="138">
        <v>40916.059220793672</v>
      </c>
      <c r="D635" s="138">
        <v>20.928867765318326</v>
      </c>
      <c r="E635" s="138">
        <v>43662.060817022291</v>
      </c>
      <c r="F635" s="138">
        <v>20.894931668325384</v>
      </c>
      <c r="G635" s="138">
        <v>-2746.0015962286197</v>
      </c>
      <c r="H635" s="138">
        <v>3.3936096992942311E-2</v>
      </c>
      <c r="N635" s="138"/>
      <c r="O635" s="138"/>
      <c r="P635" s="138"/>
      <c r="R635">
        <v>262.24414002952955</v>
      </c>
      <c r="S635">
        <v>71.972816426591336</v>
      </c>
      <c r="T635">
        <v>271.10519024198891</v>
      </c>
      <c r="U635">
        <v>104.6608852591081</v>
      </c>
      <c r="X635">
        <v>0.63600772483036594</v>
      </c>
      <c r="Y635">
        <v>0.66767857007104292</v>
      </c>
      <c r="Z635">
        <v>0.59991031888732627</v>
      </c>
      <c r="AA635">
        <v>0.48877483392926935</v>
      </c>
      <c r="AB635">
        <v>0.72557411796015137</v>
      </c>
      <c r="AC635">
        <v>0.86943975708613885</v>
      </c>
      <c r="AD635">
        <v>0.85411796038091614</v>
      </c>
      <c r="AE635">
        <v>0.72085920922843383</v>
      </c>
      <c r="AH635">
        <v>0.18767052667377471</v>
      </c>
      <c r="AI635">
        <v>0.22420025837562518</v>
      </c>
      <c r="AJ635">
        <v>0.23083478896992726</v>
      </c>
      <c r="AK635">
        <v>5.6378175737454628E-2</v>
      </c>
      <c r="AL635">
        <v>0.1238651736592179</v>
      </c>
      <c r="AM635">
        <v>6.5097774253590757E-3</v>
      </c>
      <c r="AN635">
        <v>9.8157979275741991E-2</v>
      </c>
      <c r="AO635">
        <v>6.0325787200842806E-2</v>
      </c>
      <c r="AR635">
        <v>8.6637344103126937E-4</v>
      </c>
      <c r="AS635">
        <v>4.4381210663190871E-3</v>
      </c>
      <c r="AT635">
        <v>0.10027809400142051</v>
      </c>
      <c r="AU635">
        <v>2.0100466082887403E-3</v>
      </c>
      <c r="AV635">
        <v>2.2684972612125875E-3</v>
      </c>
      <c r="AW635">
        <v>3.4023653509584022E-3</v>
      </c>
      <c r="AX635">
        <v>4.1554745961236428E-4</v>
      </c>
      <c r="AY635">
        <v>3.8174424008594293E-4</v>
      </c>
      <c r="BB635">
        <v>5.8151605432241626E-2</v>
      </c>
      <c r="BC635">
        <v>1.6239571411655836E-2</v>
      </c>
      <c r="BE635">
        <v>40916.059220793672</v>
      </c>
      <c r="BF635">
        <v>20.928867765318326</v>
      </c>
      <c r="BG635">
        <v>43662.060817022291</v>
      </c>
      <c r="BH635">
        <v>20.894931668325384</v>
      </c>
    </row>
    <row r="636" spans="3:60" x14ac:dyDescent="0.2">
      <c r="C636" s="138">
        <v>29715.271219751237</v>
      </c>
      <c r="D636" s="138">
        <v>21.490489598327155</v>
      </c>
      <c r="E636" s="138">
        <v>31873.088062210911</v>
      </c>
      <c r="F636" s="138">
        <v>21.48267200412759</v>
      </c>
      <c r="G636" s="138">
        <v>-2157.8168424596734</v>
      </c>
      <c r="H636" s="138">
        <v>7.817594199565292E-3</v>
      </c>
      <c r="N636" s="138"/>
      <c r="O636" s="138"/>
      <c r="P636" s="138"/>
      <c r="R636">
        <v>241.2668430964747</v>
      </c>
      <c r="S636">
        <v>70.141361353603173</v>
      </c>
      <c r="T636">
        <v>254.30734752240724</v>
      </c>
      <c r="U636">
        <v>72.953565899085689</v>
      </c>
      <c r="X636">
        <v>0.74960935227005421</v>
      </c>
      <c r="Y636">
        <v>0.89600021647770489</v>
      </c>
      <c r="Z636">
        <v>0.75997059559275859</v>
      </c>
      <c r="AA636">
        <v>0.7492452942046538</v>
      </c>
      <c r="AB636">
        <v>0.80176119207364094</v>
      </c>
      <c r="AC636">
        <v>0.87067119343269472</v>
      </c>
      <c r="AD636">
        <v>0.96526726156986697</v>
      </c>
      <c r="AE636">
        <v>0.82547306680763965</v>
      </c>
      <c r="AH636">
        <v>0.11734438185627705</v>
      </c>
      <c r="AI636">
        <v>0.11144629217159918</v>
      </c>
      <c r="AJ636">
        <v>4.3706944309659268E-2</v>
      </c>
      <c r="AK636">
        <v>0.17053664988332229</v>
      </c>
      <c r="AL636">
        <v>0.12467074397991007</v>
      </c>
      <c r="AM636">
        <v>0.10120453056435164</v>
      </c>
      <c r="AN636">
        <v>0.10931595912879311</v>
      </c>
      <c r="AO636">
        <v>0.11291907065315776</v>
      </c>
      <c r="AR636">
        <v>6.9110732780833706E-4</v>
      </c>
      <c r="AS636">
        <v>4.5303376886722813E-3</v>
      </c>
      <c r="AT636">
        <v>9.9255849147744449E-2</v>
      </c>
      <c r="AU636">
        <v>2.0532653151480451E-3</v>
      </c>
      <c r="AV636">
        <v>2.0456708606551022E-3</v>
      </c>
      <c r="AW636">
        <v>3.4964206998776559E-3</v>
      </c>
      <c r="AX636">
        <v>3.2304676424814552E-4</v>
      </c>
      <c r="AY636">
        <v>4.1298215488341338E-4</v>
      </c>
      <c r="BB636">
        <v>4.6916880565430544E-2</v>
      </c>
      <c r="BC636">
        <v>9.8263242204738699E-2</v>
      </c>
      <c r="BE636">
        <v>29715.271219751237</v>
      </c>
      <c r="BF636">
        <v>21.490489598327155</v>
      </c>
      <c r="BG636">
        <v>31873.088062210911</v>
      </c>
      <c r="BH636">
        <v>21.48267200412759</v>
      </c>
    </row>
    <row r="637" spans="3:60" x14ac:dyDescent="0.2">
      <c r="C637" s="138">
        <v>34162.358988204112</v>
      </c>
      <c r="D637" s="138">
        <v>20.375569168519903</v>
      </c>
      <c r="E637" s="138">
        <v>36244.390917461744</v>
      </c>
      <c r="F637" s="138">
        <v>20.335912262502394</v>
      </c>
      <c r="G637" s="138">
        <v>-2082.0319292576314</v>
      </c>
      <c r="H637" s="138">
        <v>3.9656906017508931E-2</v>
      </c>
      <c r="N637" s="138"/>
      <c r="O637" s="138"/>
      <c r="P637" s="138"/>
      <c r="R637">
        <v>132.39975733812082</v>
      </c>
      <c r="S637">
        <v>63.041162986812942</v>
      </c>
      <c r="T637">
        <v>282.19904086626042</v>
      </c>
      <c r="U637">
        <v>91.194510683678075</v>
      </c>
      <c r="X637">
        <v>0.90213962576786111</v>
      </c>
      <c r="Y637">
        <v>0.89245932003544293</v>
      </c>
      <c r="Z637">
        <v>0.73381126463817592</v>
      </c>
      <c r="AA637">
        <v>0.62010907459795939</v>
      </c>
      <c r="AB637">
        <v>0.67276591739959424</v>
      </c>
      <c r="AC637">
        <v>0.89973132269399381</v>
      </c>
      <c r="AD637">
        <v>0.50366018613707697</v>
      </c>
      <c r="AE637">
        <v>0.67863271863080754</v>
      </c>
      <c r="AH637">
        <v>0.10289976191436834</v>
      </c>
      <c r="AI637">
        <v>0.20252227619594332</v>
      </c>
      <c r="AJ637">
        <v>0.25286002544986208</v>
      </c>
      <c r="AK637">
        <v>7.0790150371068394E-2</v>
      </c>
      <c r="AL637">
        <v>0.18373964644275953</v>
      </c>
      <c r="AM637">
        <v>9.6568294818357492E-2</v>
      </c>
      <c r="AN637">
        <v>1.4310863954756448E-2</v>
      </c>
      <c r="AO637">
        <v>7.9068092189112704E-2</v>
      </c>
      <c r="AR637">
        <v>8.2702506359018954E-4</v>
      </c>
      <c r="AS637">
        <v>4.5964883939054735E-3</v>
      </c>
      <c r="AT637">
        <v>0.10095551542002812</v>
      </c>
      <c r="AU637">
        <v>2.0866479495754708E-3</v>
      </c>
      <c r="AV637">
        <v>1.9355100203357642E-3</v>
      </c>
      <c r="AW637">
        <v>3.5637910233060621E-3</v>
      </c>
      <c r="AX637">
        <v>3.1289406040972754E-4</v>
      </c>
      <c r="AY637">
        <v>3.3851744791973942E-4</v>
      </c>
      <c r="BB637">
        <v>5.1418875788980745E-2</v>
      </c>
      <c r="BC637">
        <v>7.5148920598187563E-2</v>
      </c>
      <c r="BE637">
        <v>34162.358988204112</v>
      </c>
      <c r="BF637">
        <v>20.375569168519903</v>
      </c>
      <c r="BG637">
        <v>36244.390917461744</v>
      </c>
      <c r="BH637">
        <v>20.335912262502394</v>
      </c>
    </row>
    <row r="638" spans="3:60" x14ac:dyDescent="0.2">
      <c r="C638" s="138">
        <v>36674.08634006881</v>
      </c>
      <c r="D638" s="138">
        <v>20.974845998579791</v>
      </c>
      <c r="E638" s="138">
        <v>39293.145661296636</v>
      </c>
      <c r="F638" s="138">
        <v>20.965386492020759</v>
      </c>
      <c r="G638" s="138">
        <v>-2619.0593212278254</v>
      </c>
      <c r="H638" s="138">
        <v>9.4595065590326044E-3</v>
      </c>
      <c r="N638" s="138"/>
      <c r="O638" s="138"/>
      <c r="P638" s="138"/>
      <c r="R638">
        <v>396.3151082274872</v>
      </c>
      <c r="S638">
        <v>71.184941883196146</v>
      </c>
      <c r="T638">
        <v>182.4267443834743</v>
      </c>
      <c r="U638">
        <v>95.002546227985292</v>
      </c>
      <c r="X638">
        <v>0.92133184528063716</v>
      </c>
      <c r="Y638">
        <v>0.50532491782349853</v>
      </c>
      <c r="Z638">
        <v>0.8069723367340651</v>
      </c>
      <c r="AA638">
        <v>0.83102879558700016</v>
      </c>
      <c r="AB638">
        <v>0.70456776954837597</v>
      </c>
      <c r="AC638">
        <v>0.58471473313582434</v>
      </c>
      <c r="AD638">
        <v>0.75162960026603398</v>
      </c>
      <c r="AE638">
        <v>0.83133343853525921</v>
      </c>
      <c r="AH638">
        <v>8.4643597025466422E-2</v>
      </c>
      <c r="AI638">
        <v>6.6693405230250358E-2</v>
      </c>
      <c r="AJ638">
        <v>0.26717355228382411</v>
      </c>
      <c r="AK638">
        <v>2.5183483729123712E-2</v>
      </c>
      <c r="AL638">
        <v>2.8189778740980831E-2</v>
      </c>
      <c r="AM638">
        <v>0.15574621115422116</v>
      </c>
      <c r="AN638">
        <v>9.6272349038562743E-2</v>
      </c>
      <c r="AO638">
        <v>0.30034543099293376</v>
      </c>
      <c r="AR638">
        <v>9.7602533080698439E-4</v>
      </c>
      <c r="AS638">
        <v>4.6178302280253103E-3</v>
      </c>
      <c r="AT638">
        <v>9.9521674153473544E-2</v>
      </c>
      <c r="AU638">
        <v>1.9098702930901898E-3</v>
      </c>
      <c r="AV638">
        <v>1.8783839324639329E-3</v>
      </c>
      <c r="AW638">
        <v>3.4989055113394674E-3</v>
      </c>
      <c r="AX638">
        <v>4.3884517957804015E-4</v>
      </c>
      <c r="AY638">
        <v>3.5988397052289618E-4</v>
      </c>
      <c r="BB638">
        <v>5.5806836711800201E-2</v>
      </c>
      <c r="BC638">
        <v>3.0967065757245806E-2</v>
      </c>
      <c r="BE638">
        <v>36674.08634006881</v>
      </c>
      <c r="BF638">
        <v>20.974845998579791</v>
      </c>
      <c r="BG638">
        <v>39293.145661296636</v>
      </c>
      <c r="BH638">
        <v>20.965386492020759</v>
      </c>
    </row>
    <row r="639" spans="3:60" x14ac:dyDescent="0.2">
      <c r="C639" s="138">
        <v>27101.30180288522</v>
      </c>
      <c r="D639" s="138">
        <v>21.213306377872403</v>
      </c>
      <c r="E639" s="138">
        <v>29191.439281103434</v>
      </c>
      <c r="F639" s="138">
        <v>21.217087752692727</v>
      </c>
      <c r="G639" s="138">
        <v>-2090.1374782182138</v>
      </c>
      <c r="H639" s="138">
        <v>-3.781374820324146E-3</v>
      </c>
      <c r="N639" s="138"/>
      <c r="O639" s="138"/>
      <c r="P639" s="138"/>
      <c r="R639">
        <v>394.28012877345788</v>
      </c>
      <c r="S639">
        <v>69.654986399689307</v>
      </c>
      <c r="T639">
        <v>247.85336523847778</v>
      </c>
      <c r="U639">
        <v>91.995101109545871</v>
      </c>
      <c r="X639">
        <v>0.91125622955122287</v>
      </c>
      <c r="Y639">
        <v>0.79826254167204014</v>
      </c>
      <c r="Z639">
        <v>0.84526000818970837</v>
      </c>
      <c r="AA639">
        <v>0.96392171133159255</v>
      </c>
      <c r="AB639">
        <v>0.8120843109689756</v>
      </c>
      <c r="AC639">
        <v>0.51830541576463862</v>
      </c>
      <c r="AD639">
        <v>0.85184503010522294</v>
      </c>
      <c r="AE639">
        <v>0.65888743141549533</v>
      </c>
      <c r="AH639">
        <v>9.3295749510651449E-2</v>
      </c>
      <c r="AI639">
        <v>0.17750774180909268</v>
      </c>
      <c r="AJ639">
        <v>0.20356180547894775</v>
      </c>
      <c r="AK639">
        <v>9.2326126908309769E-2</v>
      </c>
      <c r="AL639">
        <v>6.7879344844574252E-2</v>
      </c>
      <c r="AM639">
        <v>0.23379008511059851</v>
      </c>
      <c r="AN639">
        <v>6.5349154561030298E-2</v>
      </c>
      <c r="AO639">
        <v>7.9947193968164409E-2</v>
      </c>
      <c r="AR639">
        <v>9.3900882817044007E-4</v>
      </c>
      <c r="AS639">
        <v>4.381935628987677E-3</v>
      </c>
      <c r="AT639">
        <v>0.1004712579687429</v>
      </c>
      <c r="AU639">
        <v>1.9576948192291661E-3</v>
      </c>
      <c r="AV639">
        <v>2.2470208433345018E-3</v>
      </c>
      <c r="AW639">
        <v>3.0140294480857691E-3</v>
      </c>
      <c r="AX639">
        <v>4.8043860396440596E-4</v>
      </c>
      <c r="AY639">
        <v>4.432702639136758E-4</v>
      </c>
      <c r="BB639">
        <v>5.2398666927371607E-2</v>
      </c>
      <c r="BC639">
        <v>9.1797752919920761E-2</v>
      </c>
      <c r="BE639">
        <v>27101.30180288522</v>
      </c>
      <c r="BF639">
        <v>21.213306377872403</v>
      </c>
      <c r="BG639">
        <v>29191.439281103434</v>
      </c>
      <c r="BH639">
        <v>21.217087752692727</v>
      </c>
    </row>
    <row r="640" spans="3:60" x14ac:dyDescent="0.2">
      <c r="C640" s="138">
        <v>28937.313040319295</v>
      </c>
      <c r="D640" s="138">
        <v>20.883948897922174</v>
      </c>
      <c r="E640" s="138">
        <v>31128.87578597623</v>
      </c>
      <c r="F640" s="138">
        <v>20.856317431655533</v>
      </c>
      <c r="G640" s="138">
        <v>-2191.5627456569346</v>
      </c>
      <c r="H640" s="138">
        <v>2.7631466266640814E-2</v>
      </c>
      <c r="N640" s="138"/>
      <c r="O640" s="138"/>
      <c r="P640" s="138"/>
      <c r="R640">
        <v>133.22097146298387</v>
      </c>
      <c r="S640">
        <v>62.07408499219094</v>
      </c>
      <c r="T640">
        <v>265.32053241179506</v>
      </c>
      <c r="U640">
        <v>79.176542027366807</v>
      </c>
      <c r="X640">
        <v>0.87331916449927371</v>
      </c>
      <c r="Y640">
        <v>0.84933279180350796</v>
      </c>
      <c r="Z640">
        <v>0.70156180859082407</v>
      </c>
      <c r="AA640">
        <v>0.84061507877102126</v>
      </c>
      <c r="AB640">
        <v>0.82191141658404421</v>
      </c>
      <c r="AC640">
        <v>0.74269474123242096</v>
      </c>
      <c r="AD640">
        <v>0.7887786187665109</v>
      </c>
      <c r="AE640">
        <v>0.70875443046952324</v>
      </c>
      <c r="AH640">
        <v>0.26271222996594501</v>
      </c>
      <c r="AI640">
        <v>0.17243085878905196</v>
      </c>
      <c r="AJ640">
        <v>0.11311384891235121</v>
      </c>
      <c r="AK640">
        <v>0.27421514913501766</v>
      </c>
      <c r="AL640">
        <v>0.12913780241532313</v>
      </c>
      <c r="AM640">
        <v>0.10568193319192176</v>
      </c>
      <c r="AN640">
        <v>6.1481504169632939E-2</v>
      </c>
      <c r="AO640">
        <v>0.10557635061202975</v>
      </c>
      <c r="AR640">
        <v>7.1058066937056011E-4</v>
      </c>
      <c r="AS640">
        <v>4.3000985471326461E-3</v>
      </c>
      <c r="AT640">
        <v>0.10073762381663853</v>
      </c>
      <c r="AU640">
        <v>2.1892306046282783E-3</v>
      </c>
      <c r="AV640">
        <v>2.1246968467595329E-3</v>
      </c>
      <c r="AW640">
        <v>3.2493025385222809E-3</v>
      </c>
      <c r="AX640">
        <v>5.4661521994481266E-4</v>
      </c>
      <c r="AY640">
        <v>6.1712654926582289E-4</v>
      </c>
      <c r="BB640">
        <v>4.972173514919008E-2</v>
      </c>
      <c r="BC640">
        <v>2.9766381578941774E-2</v>
      </c>
      <c r="BE640">
        <v>28937.313040319295</v>
      </c>
      <c r="BF640">
        <v>20.883948897922174</v>
      </c>
      <c r="BG640">
        <v>31128.87578597623</v>
      </c>
      <c r="BH640">
        <v>20.856317431655533</v>
      </c>
    </row>
    <row r="641" spans="3:60" x14ac:dyDescent="0.2">
      <c r="C641" s="138">
        <v>31063.243204895996</v>
      </c>
      <c r="D641" s="138">
        <v>19.556285914121602</v>
      </c>
      <c r="E641" s="138">
        <v>33051.811571781123</v>
      </c>
      <c r="F641" s="138">
        <v>19.532929135888448</v>
      </c>
      <c r="G641" s="138">
        <v>-1988.568366885127</v>
      </c>
      <c r="H641" s="138">
        <v>2.3356778233154074E-2</v>
      </c>
      <c r="N641" s="138"/>
      <c r="O641" s="138"/>
      <c r="P641" s="138"/>
      <c r="R641">
        <v>465.0273413466561</v>
      </c>
      <c r="S641">
        <v>66.278694195981643</v>
      </c>
      <c r="T641">
        <v>214.84259739534596</v>
      </c>
      <c r="U641">
        <v>100.75255329163681</v>
      </c>
      <c r="X641">
        <v>0.86517795250966434</v>
      </c>
      <c r="Y641">
        <v>0.68637641243121206</v>
      </c>
      <c r="Z641">
        <v>0.71590113598988658</v>
      </c>
      <c r="AA641">
        <v>0.82293401724259885</v>
      </c>
      <c r="AB641">
        <v>0.70955074277232921</v>
      </c>
      <c r="AC641">
        <v>0.49057261261235507</v>
      </c>
      <c r="AD641">
        <v>0.66502618532337343</v>
      </c>
      <c r="AE641">
        <v>0.92708866789448419</v>
      </c>
      <c r="AH641">
        <v>5.6114480826411794E-2</v>
      </c>
      <c r="AI641">
        <v>0.4162395677548173</v>
      </c>
      <c r="AJ641">
        <v>0.10871764469215894</v>
      </c>
      <c r="AK641">
        <v>0.24273945580057865</v>
      </c>
      <c r="AL641">
        <v>5.5541544880001403E-2</v>
      </c>
      <c r="AM641">
        <v>8.7166989466618494E-2</v>
      </c>
      <c r="AN641">
        <v>0.21076224019001188</v>
      </c>
      <c r="AO641">
        <v>0.1948651292346798</v>
      </c>
      <c r="AR641">
        <v>9.7948703784700442E-4</v>
      </c>
      <c r="AS641">
        <v>4.4525902101349114E-3</v>
      </c>
      <c r="AT641">
        <v>0.10088098191060102</v>
      </c>
      <c r="AU641">
        <v>1.8241109590543746E-3</v>
      </c>
      <c r="AV641">
        <v>2.0403129328340208E-3</v>
      </c>
      <c r="AW641">
        <v>3.3084684991371953E-3</v>
      </c>
      <c r="AX641">
        <v>4.4119923592611521E-4</v>
      </c>
      <c r="AY641">
        <v>3.8851231233687114E-4</v>
      </c>
      <c r="BB641">
        <v>4.4604522496917452E-2</v>
      </c>
      <c r="BC641">
        <v>7.0069300848580429E-2</v>
      </c>
      <c r="BE641">
        <v>31063.243204895996</v>
      </c>
      <c r="BF641">
        <v>19.556285914121602</v>
      </c>
      <c r="BG641">
        <v>33051.811571781123</v>
      </c>
      <c r="BH641">
        <v>19.532929135888448</v>
      </c>
    </row>
    <row r="642" spans="3:60" x14ac:dyDescent="0.2">
      <c r="C642" s="138">
        <v>30799.519786112189</v>
      </c>
      <c r="D642" s="138">
        <v>20.829621351909534</v>
      </c>
      <c r="E642" s="138">
        <v>32118.880203422403</v>
      </c>
      <c r="F642" s="138">
        <v>20.813519171208558</v>
      </c>
      <c r="G642" s="138">
        <v>-1319.360417310214</v>
      </c>
      <c r="H642" s="138">
        <v>1.6102180700976021E-2</v>
      </c>
      <c r="N642" s="138"/>
      <c r="O642" s="138"/>
      <c r="P642" s="138"/>
      <c r="R642">
        <v>409.21789112608138</v>
      </c>
      <c r="S642">
        <v>64.56085745406773</v>
      </c>
      <c r="T642">
        <v>268.45142381774707</v>
      </c>
      <c r="U642">
        <v>94.468598103098373</v>
      </c>
      <c r="X642">
        <v>0.69583844067597567</v>
      </c>
      <c r="Y642">
        <v>0.56435856749136315</v>
      </c>
      <c r="Z642">
        <v>0.74763987323529335</v>
      </c>
      <c r="AA642">
        <v>0.4876983566785712</v>
      </c>
      <c r="AB642">
        <v>0.71313143593962036</v>
      </c>
      <c r="AC642">
        <v>0.65528313270840433</v>
      </c>
      <c r="AD642">
        <v>0.78039565975404257</v>
      </c>
      <c r="AE642">
        <v>0.57978161729055433</v>
      </c>
      <c r="AH642">
        <v>7.1083435895956781E-2</v>
      </c>
      <c r="AI642">
        <v>9.1176110901823093E-2</v>
      </c>
      <c r="AJ642">
        <v>4.474781397165839E-2</v>
      </c>
      <c r="AK642">
        <v>0.15809421095964549</v>
      </c>
      <c r="AL642">
        <v>0.11130134502843825</v>
      </c>
      <c r="AM642">
        <v>0.20919924965709324</v>
      </c>
      <c r="AN642">
        <v>9.5297215344135155E-2</v>
      </c>
      <c r="AO642">
        <v>6.7607317274974932E-2</v>
      </c>
      <c r="AR642">
        <v>9.7161781811105907E-4</v>
      </c>
      <c r="AS642">
        <v>4.3048411240280242E-3</v>
      </c>
      <c r="AT642">
        <v>9.8327181945418257E-2</v>
      </c>
      <c r="AU642">
        <v>1.9367025270775251E-3</v>
      </c>
      <c r="AV642">
        <v>2.1396418147302532E-3</v>
      </c>
      <c r="AW642">
        <v>3.1618779276476909E-3</v>
      </c>
      <c r="AX642">
        <v>3.6248914246538608E-4</v>
      </c>
      <c r="AY642">
        <v>3.2657971634957077E-4</v>
      </c>
      <c r="BB642">
        <v>5.6175118294636506E-2</v>
      </c>
      <c r="BC642">
        <v>7.1401989208037309E-2</v>
      </c>
      <c r="BE642">
        <v>30799.519786112189</v>
      </c>
      <c r="BF642">
        <v>20.829621351909534</v>
      </c>
      <c r="BG642">
        <v>32118.880203422403</v>
      </c>
      <c r="BH642">
        <v>20.813519171208558</v>
      </c>
    </row>
    <row r="643" spans="3:60" x14ac:dyDescent="0.2">
      <c r="C643" s="138">
        <v>32352.711805209208</v>
      </c>
      <c r="D643" s="138">
        <v>20.48101717886453</v>
      </c>
      <c r="E643" s="138">
        <v>34377.167793011278</v>
      </c>
      <c r="F643" s="138">
        <v>20.436884120199061</v>
      </c>
      <c r="G643" s="138">
        <v>-2024.45598780207</v>
      </c>
      <c r="H643" s="138">
        <v>4.4133058665469349E-2</v>
      </c>
      <c r="N643" s="138"/>
      <c r="O643" s="138"/>
      <c r="P643" s="138"/>
      <c r="R643">
        <v>144.10765323393224</v>
      </c>
      <c r="S643">
        <v>67.728215200063076</v>
      </c>
      <c r="T643">
        <v>217.57050364362527</v>
      </c>
      <c r="U643">
        <v>87.915739042004802</v>
      </c>
      <c r="X643">
        <v>0.74737293438714658</v>
      </c>
      <c r="Y643">
        <v>0.64621700831633555</v>
      </c>
      <c r="Z643">
        <v>0.73367876475817217</v>
      </c>
      <c r="AA643">
        <v>0.66305549348400905</v>
      </c>
      <c r="AB643">
        <v>0.81225582040255251</v>
      </c>
      <c r="AC643">
        <v>0.73949066992044266</v>
      </c>
      <c r="AD643">
        <v>0.76730068954768615</v>
      </c>
      <c r="AE643">
        <v>0.80860460922858224</v>
      </c>
      <c r="AH643">
        <v>7.5988520880433175E-2</v>
      </c>
      <c r="AI643">
        <v>5.954829647534432E-2</v>
      </c>
      <c r="AJ643">
        <v>9.6426985353639472E-2</v>
      </c>
      <c r="AK643">
        <v>5.5871875747953381E-2</v>
      </c>
      <c r="AL643">
        <v>0.126200074932456</v>
      </c>
      <c r="AM643">
        <v>3.3221203886088624E-2</v>
      </c>
      <c r="AN643">
        <v>0.24941873399974657</v>
      </c>
      <c r="AO643">
        <v>0.2567499423584646</v>
      </c>
      <c r="AR643">
        <v>9.9961319027230822E-4</v>
      </c>
      <c r="AS643">
        <v>4.599433395100716E-3</v>
      </c>
      <c r="AT643">
        <v>0.10252310423176014</v>
      </c>
      <c r="AU643">
        <v>2.1665555564860384E-3</v>
      </c>
      <c r="AV643">
        <v>1.8939259342505392E-3</v>
      </c>
      <c r="AW643">
        <v>3.164566825298182E-3</v>
      </c>
      <c r="AX643">
        <v>4.1721181305132138E-4</v>
      </c>
      <c r="AY643">
        <v>4.4532129701772323E-4</v>
      </c>
      <c r="BB643">
        <v>5.3794477297034016E-2</v>
      </c>
      <c r="BC643">
        <v>3.863277080884546E-2</v>
      </c>
      <c r="BE643">
        <v>32352.711805209208</v>
      </c>
      <c r="BF643">
        <v>20.48101717886453</v>
      </c>
      <c r="BG643">
        <v>34377.167793011278</v>
      </c>
      <c r="BH643">
        <v>20.436884120199061</v>
      </c>
    </row>
    <row r="644" spans="3:60" x14ac:dyDescent="0.2">
      <c r="C644" s="138">
        <v>29166.863302718273</v>
      </c>
      <c r="D644" s="138">
        <v>20.713452952342628</v>
      </c>
      <c r="E644" s="138">
        <v>31223.065071256511</v>
      </c>
      <c r="F644" s="138">
        <v>20.69762558847302</v>
      </c>
      <c r="G644" s="138">
        <v>-2056.201768538238</v>
      </c>
      <c r="H644" s="138">
        <v>1.5827363869608035E-2</v>
      </c>
      <c r="N644" s="138"/>
      <c r="O644" s="138"/>
      <c r="P644" s="138"/>
      <c r="R644">
        <v>301.62266496940174</v>
      </c>
      <c r="S644">
        <v>55.5252640861247</v>
      </c>
      <c r="T644">
        <v>247.63137339189439</v>
      </c>
      <c r="U644">
        <v>84.989545280300575</v>
      </c>
      <c r="X644">
        <v>0.76418556698971174</v>
      </c>
      <c r="Y644">
        <v>0.88237082337751394</v>
      </c>
      <c r="Z644">
        <v>0.60993431567839929</v>
      </c>
      <c r="AA644">
        <v>0.86333640515300891</v>
      </c>
      <c r="AB644">
        <v>0.58357817077423091</v>
      </c>
      <c r="AC644">
        <v>0.56878946840178268</v>
      </c>
      <c r="AD644">
        <v>0.91581147724777345</v>
      </c>
      <c r="AE644">
        <v>0.74264515867417524</v>
      </c>
      <c r="AH644">
        <v>0.12611795944798854</v>
      </c>
      <c r="AI644">
        <v>0.13442770591579967</v>
      </c>
      <c r="AJ644">
        <v>0.16429049020856801</v>
      </c>
      <c r="AK644">
        <v>2.4360965874220097E-2</v>
      </c>
      <c r="AL644">
        <v>0.17936660300881313</v>
      </c>
      <c r="AM644">
        <v>0.14120742946038978</v>
      </c>
      <c r="AN644">
        <v>3.7938374797387153E-2</v>
      </c>
      <c r="AO644">
        <v>2.0582685392762756E-2</v>
      </c>
      <c r="AR644">
        <v>8.7174883113175119E-4</v>
      </c>
      <c r="AS644">
        <v>4.5977139186685889E-3</v>
      </c>
      <c r="AT644">
        <v>0.10060025426178376</v>
      </c>
      <c r="AU644">
        <v>2.1422805181293691E-3</v>
      </c>
      <c r="AV644">
        <v>1.6959424476596585E-3</v>
      </c>
      <c r="AW644">
        <v>3.5190612484322648E-3</v>
      </c>
      <c r="AX644">
        <v>3.5363742170162882E-4</v>
      </c>
      <c r="AY644">
        <v>4.1427220849954866E-4</v>
      </c>
      <c r="BB644">
        <v>5.5793886178445495E-2</v>
      </c>
      <c r="BC644">
        <v>6.6146532817371373E-2</v>
      </c>
      <c r="BE644">
        <v>29166.863302718273</v>
      </c>
      <c r="BF644">
        <v>20.713452952342628</v>
      </c>
      <c r="BG644">
        <v>31223.065071256511</v>
      </c>
      <c r="BH644">
        <v>20.69762558847302</v>
      </c>
    </row>
    <row r="645" spans="3:60" x14ac:dyDescent="0.2">
      <c r="C645" s="138">
        <v>31635.783909003301</v>
      </c>
      <c r="D645" s="138">
        <v>21.102746897534093</v>
      </c>
      <c r="E645" s="138">
        <v>33809.70334610797</v>
      </c>
      <c r="F645" s="138">
        <v>21.110194372325012</v>
      </c>
      <c r="G645" s="138">
        <v>-2173.9194371046688</v>
      </c>
      <c r="H645" s="138">
        <v>-7.4474747909185623E-3</v>
      </c>
      <c r="N645" s="138"/>
      <c r="O645" s="138"/>
      <c r="P645" s="138"/>
      <c r="R645">
        <v>187.34762298747816</v>
      </c>
      <c r="S645">
        <v>48.82554778106897</v>
      </c>
      <c r="T645">
        <v>236.3692665166935</v>
      </c>
      <c r="U645">
        <v>94.950882817390749</v>
      </c>
      <c r="X645">
        <v>0.85034610168218783</v>
      </c>
      <c r="Y645">
        <v>0.82784555188319242</v>
      </c>
      <c r="Z645">
        <v>0.81492278343569813</v>
      </c>
      <c r="AA645">
        <v>0.8963326352926364</v>
      </c>
      <c r="AB645">
        <v>0.92243631067178933</v>
      </c>
      <c r="AC645">
        <v>0.84299438907178992</v>
      </c>
      <c r="AD645">
        <v>0.86224537389635592</v>
      </c>
      <c r="AE645">
        <v>0.89652222842008444</v>
      </c>
      <c r="AH645">
        <v>4.9199401242701724E-2</v>
      </c>
      <c r="AI645">
        <v>0.1396314669958163</v>
      </c>
      <c r="AJ645">
        <v>0.13953483029891955</v>
      </c>
      <c r="AK645">
        <v>1.5852318805901655E-2</v>
      </c>
      <c r="AL645">
        <v>6.95596652226671E-2</v>
      </c>
      <c r="AM645">
        <v>0.45682528587900972</v>
      </c>
      <c r="AN645">
        <v>1.9364116442607493E-2</v>
      </c>
      <c r="AO645">
        <v>7.9262831200762607E-2</v>
      </c>
      <c r="AR645">
        <v>8.5898642202745742E-4</v>
      </c>
      <c r="AS645">
        <v>4.4386328195044535E-3</v>
      </c>
      <c r="AT645">
        <v>0.10053743615711919</v>
      </c>
      <c r="AU645">
        <v>2.0741443300750229E-3</v>
      </c>
      <c r="AV645">
        <v>2.0517017180227137E-3</v>
      </c>
      <c r="AW645">
        <v>3.5078231578876684E-3</v>
      </c>
      <c r="AX645">
        <v>3.4580502255458805E-4</v>
      </c>
      <c r="AY645">
        <v>4.330732977175318E-4</v>
      </c>
      <c r="BB645">
        <v>6.264251261891074E-2</v>
      </c>
      <c r="BC645">
        <v>2.8840893270648666E-2</v>
      </c>
      <c r="BE645">
        <v>31635.783909003301</v>
      </c>
      <c r="BF645">
        <v>21.102746897534093</v>
      </c>
      <c r="BG645">
        <v>33809.70334610797</v>
      </c>
      <c r="BH645">
        <v>21.110194372325012</v>
      </c>
    </row>
    <row r="646" spans="3:60" x14ac:dyDescent="0.2">
      <c r="C646" s="138">
        <v>33501.837973691101</v>
      </c>
      <c r="D646" s="138">
        <v>20.20287065588834</v>
      </c>
      <c r="E646" s="138">
        <v>35416.769974242103</v>
      </c>
      <c r="F646" s="138">
        <v>20.14406879111548</v>
      </c>
      <c r="G646" s="138">
        <v>-1914.9320005510017</v>
      </c>
      <c r="H646" s="138">
        <v>5.8801864772860313E-2</v>
      </c>
      <c r="N646" s="138"/>
      <c r="O646" s="138"/>
      <c r="P646" s="138"/>
      <c r="R646">
        <v>276.43426961849337</v>
      </c>
      <c r="S646">
        <v>62.010181502912864</v>
      </c>
      <c r="T646">
        <v>240.80308403341647</v>
      </c>
      <c r="U646">
        <v>96.641682659995467</v>
      </c>
      <c r="X646">
        <v>0.95735378240925584</v>
      </c>
      <c r="Y646">
        <v>0.66515182885719415</v>
      </c>
      <c r="Z646">
        <v>0.75975043790915053</v>
      </c>
      <c r="AA646">
        <v>0.84589118098613025</v>
      </c>
      <c r="AB646">
        <v>0.75827386157935717</v>
      </c>
      <c r="AC646">
        <v>0.73412331897345506</v>
      </c>
      <c r="AD646">
        <v>0.63618175795318288</v>
      </c>
      <c r="AE646">
        <v>0.87352012034949589</v>
      </c>
      <c r="AH646">
        <v>0.13522721319913622</v>
      </c>
      <c r="AI646">
        <v>7.3796354865271363E-2</v>
      </c>
      <c r="AJ646">
        <v>7.7958614344888488E-2</v>
      </c>
      <c r="AK646">
        <v>5.2863192220310662E-2</v>
      </c>
      <c r="AL646">
        <v>0.15085062200255872</v>
      </c>
      <c r="AM646">
        <v>0.14897720129346137</v>
      </c>
      <c r="AN646">
        <v>9.3528070593470458E-2</v>
      </c>
      <c r="AO646">
        <v>0.13027097858275194</v>
      </c>
      <c r="AR646">
        <v>9.8590608215853859E-4</v>
      </c>
      <c r="AS646">
        <v>4.1370826730295091E-3</v>
      </c>
      <c r="AT646">
        <v>9.9443675921066454E-2</v>
      </c>
      <c r="AU646">
        <v>1.9617769013016801E-3</v>
      </c>
      <c r="AV646">
        <v>1.9632119230025297E-3</v>
      </c>
      <c r="AW646">
        <v>3.0745671460655714E-3</v>
      </c>
      <c r="AX646">
        <v>4.4016741791730318E-4</v>
      </c>
      <c r="AY646">
        <v>4.2951646297488923E-4</v>
      </c>
      <c r="BB646">
        <v>4.6876435624640951E-2</v>
      </c>
      <c r="BC646">
        <v>6.3021485005148481E-2</v>
      </c>
      <c r="BE646">
        <v>33501.837973691101</v>
      </c>
      <c r="BF646">
        <v>20.20287065588834</v>
      </c>
      <c r="BG646">
        <v>35416.769974242103</v>
      </c>
      <c r="BH646">
        <v>20.14406879111548</v>
      </c>
    </row>
    <row r="647" spans="3:60" x14ac:dyDescent="0.2">
      <c r="C647" s="138">
        <v>32158.810384091623</v>
      </c>
      <c r="D647" s="138">
        <v>21.177339781650922</v>
      </c>
      <c r="E647" s="138">
        <v>33979.070510352372</v>
      </c>
      <c r="F647" s="138">
        <v>21.187672083745955</v>
      </c>
      <c r="G647" s="138">
        <v>-1820.2601262607495</v>
      </c>
      <c r="H647" s="138">
        <v>-1.0332302095033441E-2</v>
      </c>
      <c r="N647" s="138"/>
      <c r="O647" s="138"/>
      <c r="P647" s="138"/>
      <c r="R647">
        <v>312.73142308364703</v>
      </c>
      <c r="S647">
        <v>60.615631455472744</v>
      </c>
      <c r="T647">
        <v>220.57937859647231</v>
      </c>
      <c r="U647">
        <v>104.12503968065111</v>
      </c>
      <c r="X647">
        <v>0.79975305130278052</v>
      </c>
      <c r="Y647">
        <v>0.74799836738788661</v>
      </c>
      <c r="Z647">
        <v>0.59067375684111545</v>
      </c>
      <c r="AA647">
        <v>0.74245646574025037</v>
      </c>
      <c r="AB647">
        <v>0.79752183018114908</v>
      </c>
      <c r="AC647">
        <v>0.81019013822849817</v>
      </c>
      <c r="AD647">
        <v>0.63155091447409417</v>
      </c>
      <c r="AE647">
        <v>0.82383610002752783</v>
      </c>
      <c r="AH647">
        <v>0.13039910640074059</v>
      </c>
      <c r="AI647">
        <v>6.9484861885123816E-2</v>
      </c>
      <c r="AJ647">
        <v>0.10262273326298166</v>
      </c>
      <c r="AK647">
        <v>0.10284722515423161</v>
      </c>
      <c r="AL647">
        <v>9.7274736890167413E-2</v>
      </c>
      <c r="AM647">
        <v>3.2408644155932365E-2</v>
      </c>
      <c r="AN647">
        <v>7.0752521850495853E-2</v>
      </c>
      <c r="AO647">
        <v>0.14659239012074132</v>
      </c>
      <c r="AR647">
        <v>8.6585111534479909E-4</v>
      </c>
      <c r="AS647">
        <v>4.7229259913346144E-3</v>
      </c>
      <c r="AT647">
        <v>0.10014693378653217</v>
      </c>
      <c r="AU647">
        <v>2.0766210038972721E-3</v>
      </c>
      <c r="AV647">
        <v>2.0483041223428033E-3</v>
      </c>
      <c r="AW647">
        <v>3.8322519470731509E-3</v>
      </c>
      <c r="AX647">
        <v>5.3416845088150033E-4</v>
      </c>
      <c r="AY647">
        <v>5.5572617574561889E-4</v>
      </c>
      <c r="BB647">
        <v>5.2217898855566935E-2</v>
      </c>
      <c r="BC647">
        <v>5.3933337390262959E-2</v>
      </c>
      <c r="BE647">
        <v>32158.810384091623</v>
      </c>
      <c r="BF647">
        <v>21.177339781650922</v>
      </c>
      <c r="BG647">
        <v>33979.070510352372</v>
      </c>
      <c r="BH647">
        <v>21.187672083745955</v>
      </c>
    </row>
    <row r="648" spans="3:60" x14ac:dyDescent="0.2">
      <c r="C648" s="138">
        <v>33357.817514562565</v>
      </c>
      <c r="D648" s="138">
        <v>21.483375059769759</v>
      </c>
      <c r="E648" s="138">
        <v>36025.636950704582</v>
      </c>
      <c r="F648" s="138">
        <v>21.50479778838741</v>
      </c>
      <c r="G648" s="138">
        <v>-2667.8194361420174</v>
      </c>
      <c r="H648" s="138">
        <v>-2.1422728617650932E-2</v>
      </c>
      <c r="N648" s="138"/>
      <c r="O648" s="138"/>
      <c r="P648" s="138"/>
      <c r="R648">
        <v>165.95701280078276</v>
      </c>
      <c r="S648">
        <v>58.19706352688879</v>
      </c>
      <c r="T648">
        <v>204.80572712634597</v>
      </c>
      <c r="U648">
        <v>115.13655228755792</v>
      </c>
      <c r="X648">
        <v>0.53259928182663074</v>
      </c>
      <c r="Y648">
        <v>0.78871137694725324</v>
      </c>
      <c r="Z648">
        <v>0.97447218357390197</v>
      </c>
      <c r="AA648">
        <v>0.95614670936862833</v>
      </c>
      <c r="AB648">
        <v>0.78319723407948216</v>
      </c>
      <c r="AC648">
        <v>0.91325342658539665</v>
      </c>
      <c r="AD648">
        <v>0.70305500488124761</v>
      </c>
      <c r="AE648">
        <v>0.90170347328865974</v>
      </c>
      <c r="AH648">
        <v>0.34856512322391164</v>
      </c>
      <c r="AI648">
        <v>2.1763945357189174E-2</v>
      </c>
      <c r="AJ648">
        <v>3.4639237294902925E-2</v>
      </c>
      <c r="AK648">
        <v>7.9311800421498435E-2</v>
      </c>
      <c r="AL648">
        <v>9.6848520331528465E-2</v>
      </c>
      <c r="AM648">
        <v>0.14647752353954502</v>
      </c>
      <c r="AN648">
        <v>7.5529516901745364E-2</v>
      </c>
      <c r="AO648">
        <v>0.1776339873694549</v>
      </c>
      <c r="AR648">
        <v>7.8524886256511157E-4</v>
      </c>
      <c r="AS648">
        <v>4.9671573226199861E-3</v>
      </c>
      <c r="AT648">
        <v>9.8487236976107978E-2</v>
      </c>
      <c r="AU648">
        <v>2.1071400794003825E-3</v>
      </c>
      <c r="AV648">
        <v>1.6879780588395959E-3</v>
      </c>
      <c r="AW648">
        <v>3.4816354289234352E-3</v>
      </c>
      <c r="AX648">
        <v>4.1851970399564564E-4</v>
      </c>
      <c r="AY648">
        <v>3.8546149222950735E-4</v>
      </c>
      <c r="BB648">
        <v>5.3377516212798626E-2</v>
      </c>
      <c r="BC648">
        <v>7.3657593601444082E-2</v>
      </c>
      <c r="BE648">
        <v>33357.817514562565</v>
      </c>
      <c r="BF648">
        <v>21.483375059769759</v>
      </c>
      <c r="BG648">
        <v>36025.636950704582</v>
      </c>
      <c r="BH648">
        <v>21.50479778838741</v>
      </c>
    </row>
    <row r="649" spans="3:60" x14ac:dyDescent="0.2">
      <c r="C649" s="138">
        <v>26500.948186803958</v>
      </c>
      <c r="D649" s="138">
        <v>21.471369766167157</v>
      </c>
      <c r="E649" s="138">
        <v>28740.500787309589</v>
      </c>
      <c r="F649" s="138">
        <v>21.456743618386628</v>
      </c>
      <c r="G649" s="138">
        <v>-2239.5526005056308</v>
      </c>
      <c r="H649" s="138">
        <v>1.4626147780528953E-2</v>
      </c>
      <c r="N649" s="138"/>
      <c r="O649" s="138"/>
      <c r="P649" s="138"/>
      <c r="R649">
        <v>184.59340731046467</v>
      </c>
      <c r="S649">
        <v>65.972610922761405</v>
      </c>
      <c r="T649">
        <v>243.42660585793601</v>
      </c>
      <c r="U649">
        <v>99.547040713094034</v>
      </c>
      <c r="X649">
        <v>0.45116846515707221</v>
      </c>
      <c r="Y649">
        <v>0.90029718261808744</v>
      </c>
      <c r="Z649">
        <v>0.71579796027431164</v>
      </c>
      <c r="AA649">
        <v>0.97840964692101551</v>
      </c>
      <c r="AB649">
        <v>0.88126525721739002</v>
      </c>
      <c r="AC649">
        <v>0.61250957105485748</v>
      </c>
      <c r="AD649">
        <v>0.94564521909350141</v>
      </c>
      <c r="AE649">
        <v>0.91769340273452837</v>
      </c>
      <c r="AH649">
        <v>0.13357735028765627</v>
      </c>
      <c r="AI649">
        <v>3.7600833338573336E-2</v>
      </c>
      <c r="AJ649">
        <v>0.1735881066020234</v>
      </c>
      <c r="AK649">
        <v>0.28403504813077129</v>
      </c>
      <c r="AL649">
        <v>0.22415192360204172</v>
      </c>
      <c r="AM649">
        <v>0.14992962123808418</v>
      </c>
      <c r="AN649">
        <v>0.13684085842236982</v>
      </c>
      <c r="AO649">
        <v>4.3351475430989161E-2</v>
      </c>
      <c r="AR649">
        <v>9.9423864611003498E-4</v>
      </c>
      <c r="AS649">
        <v>4.5706734690387218E-3</v>
      </c>
      <c r="AT649">
        <v>0.10186167936933999</v>
      </c>
      <c r="AU649">
        <v>2.0621849543247528E-3</v>
      </c>
      <c r="AV649">
        <v>2.1942295885800656E-3</v>
      </c>
      <c r="AW649">
        <v>3.1461604205814627E-3</v>
      </c>
      <c r="AX649">
        <v>2.9332359285105949E-4</v>
      </c>
      <c r="AY649">
        <v>5.384912090125038E-4</v>
      </c>
      <c r="BB649">
        <v>5.1245305285178677E-2</v>
      </c>
      <c r="BC649">
        <v>6.1283783664610625E-2</v>
      </c>
      <c r="BE649">
        <v>26500.948186803958</v>
      </c>
      <c r="BF649">
        <v>21.471369766167157</v>
      </c>
      <c r="BG649">
        <v>28740.500787309589</v>
      </c>
      <c r="BH649">
        <v>21.456743618386628</v>
      </c>
    </row>
    <row r="650" spans="3:60" x14ac:dyDescent="0.2">
      <c r="C650" s="138">
        <v>28753.458409409453</v>
      </c>
      <c r="D650" s="138">
        <v>20.518333409508809</v>
      </c>
      <c r="E650" s="138">
        <v>30947.271498461083</v>
      </c>
      <c r="F650" s="138">
        <v>20.506652074324393</v>
      </c>
      <c r="G650" s="138">
        <v>-2193.8130890516295</v>
      </c>
      <c r="H650" s="138">
        <v>1.1681335184416497E-2</v>
      </c>
      <c r="N650" s="138"/>
      <c r="O650" s="138"/>
      <c r="P650" s="138"/>
      <c r="R650">
        <v>218.84372172571588</v>
      </c>
      <c r="S650">
        <v>69.839658246763889</v>
      </c>
      <c r="T650">
        <v>284.77784379417551</v>
      </c>
      <c r="U650">
        <v>96.030362715009588</v>
      </c>
      <c r="X650">
        <v>0.66603718561494318</v>
      </c>
      <c r="Y650">
        <v>0.75969784235773075</v>
      </c>
      <c r="Z650">
        <v>0.69530252909366375</v>
      </c>
      <c r="AA650">
        <v>0.56253402354551052</v>
      </c>
      <c r="AB650">
        <v>0.61496895058725165</v>
      </c>
      <c r="AC650">
        <v>0.55371973784289708</v>
      </c>
      <c r="AD650">
        <v>0.63233279977745083</v>
      </c>
      <c r="AE650">
        <v>0.76469097633332472</v>
      </c>
      <c r="AH650">
        <v>4.5201949762555094E-2</v>
      </c>
      <c r="AI650">
        <v>0.23690656828668266</v>
      </c>
      <c r="AJ650">
        <v>9.1552229092845439E-2</v>
      </c>
      <c r="AK650">
        <v>3.0232834861335656E-2</v>
      </c>
      <c r="AL650">
        <v>0.20713255744281844</v>
      </c>
      <c r="AM650">
        <v>9.5315450409497182E-2</v>
      </c>
      <c r="AN650">
        <v>2.0439993880408514E-2</v>
      </c>
      <c r="AO650">
        <v>6.9438840044714012E-2</v>
      </c>
      <c r="AR650">
        <v>8.5541272966377705E-4</v>
      </c>
      <c r="AS650">
        <v>4.4930519746178808E-3</v>
      </c>
      <c r="AT650">
        <v>0.10067891924322281</v>
      </c>
      <c r="AU650">
        <v>1.93446340955026E-3</v>
      </c>
      <c r="AV650">
        <v>2.3771540639909716E-3</v>
      </c>
      <c r="AW650">
        <v>3.3562464015722353E-3</v>
      </c>
      <c r="AX650">
        <v>4.5611741646467419E-4</v>
      </c>
      <c r="AY650">
        <v>4.5078729906455894E-4</v>
      </c>
      <c r="BB650">
        <v>5.3611377191462029E-2</v>
      </c>
      <c r="BC650">
        <v>3.4113338108917118E-2</v>
      </c>
      <c r="BE650">
        <v>28753.458409409453</v>
      </c>
      <c r="BF650">
        <v>20.518333409508809</v>
      </c>
      <c r="BG650">
        <v>30947.271498461083</v>
      </c>
      <c r="BH650">
        <v>20.506652074324393</v>
      </c>
    </row>
    <row r="651" spans="3:60" x14ac:dyDescent="0.2">
      <c r="C651" s="138">
        <v>34920.556794085314</v>
      </c>
      <c r="D651" s="138">
        <v>21.257193727050531</v>
      </c>
      <c r="E651" s="138">
        <v>36973.221272419731</v>
      </c>
      <c r="F651" s="138">
        <v>21.217147919163445</v>
      </c>
      <c r="G651" s="138">
        <v>-2052.6644783344163</v>
      </c>
      <c r="H651" s="138">
        <v>4.0045807887086227E-2</v>
      </c>
      <c r="N651" s="138"/>
      <c r="O651" s="138"/>
      <c r="P651" s="138"/>
      <c r="R651">
        <v>366.18298395801207</v>
      </c>
      <c r="S651">
        <v>66.918760245285355</v>
      </c>
      <c r="T651">
        <v>268.34020588422209</v>
      </c>
      <c r="U651">
        <v>95.548520829044989</v>
      </c>
      <c r="X651">
        <v>0.83280849812992608</v>
      </c>
      <c r="Y651">
        <v>0.92919393109640891</v>
      </c>
      <c r="Z651">
        <v>0.82912247646846993</v>
      </c>
      <c r="AA651">
        <v>0.9232899662153361</v>
      </c>
      <c r="AB651">
        <v>0.86542125040299545</v>
      </c>
      <c r="AC651">
        <v>0.44499617698107791</v>
      </c>
      <c r="AD651">
        <v>0.8212202671361295</v>
      </c>
      <c r="AE651">
        <v>0.88265553300464328</v>
      </c>
      <c r="AH651">
        <v>7.677180187614896E-2</v>
      </c>
      <c r="AI651">
        <v>0.20737971336541261</v>
      </c>
      <c r="AJ651">
        <v>0.18092809637637874</v>
      </c>
      <c r="AK651">
        <v>0.14861473484995957</v>
      </c>
      <c r="AL651">
        <v>0.21503092550881509</v>
      </c>
      <c r="AM651">
        <v>5.8930748975573821E-2</v>
      </c>
      <c r="AN651">
        <v>0.19654317192789283</v>
      </c>
      <c r="AO651">
        <v>4.1488397016529621E-2</v>
      </c>
      <c r="AR651">
        <v>9.6176649804335934E-4</v>
      </c>
      <c r="AS651">
        <v>4.3500495627204275E-3</v>
      </c>
      <c r="AT651">
        <v>0.10002776167244276</v>
      </c>
      <c r="AU651">
        <v>1.9285176629258644E-3</v>
      </c>
      <c r="AV651">
        <v>1.8834129150215222E-3</v>
      </c>
      <c r="AW651">
        <v>3.4388916836014527E-3</v>
      </c>
      <c r="AX651">
        <v>3.1847691212782422E-4</v>
      </c>
      <c r="AY651">
        <v>3.974397734075255E-4</v>
      </c>
      <c r="BB651">
        <v>3.9146876067687048E-2</v>
      </c>
      <c r="BC651">
        <v>6.1900455887179073E-2</v>
      </c>
      <c r="BE651">
        <v>34920.556794085314</v>
      </c>
      <c r="BF651">
        <v>21.257193727050531</v>
      </c>
      <c r="BG651">
        <v>36973.221272419731</v>
      </c>
      <c r="BH651">
        <v>21.217147919163445</v>
      </c>
    </row>
    <row r="652" spans="3:60" x14ac:dyDescent="0.2">
      <c r="C652" s="138">
        <v>31198.574269028857</v>
      </c>
      <c r="D652" s="138">
        <v>20.298207948076953</v>
      </c>
      <c r="E652" s="138">
        <v>33409.079918701442</v>
      </c>
      <c r="F652" s="138">
        <v>20.232703793449296</v>
      </c>
      <c r="G652" s="138">
        <v>-2210.5056496725847</v>
      </c>
      <c r="H652" s="138">
        <v>6.550415462765713E-2</v>
      </c>
      <c r="N652" s="138"/>
      <c r="O652" s="138"/>
      <c r="P652" s="138"/>
      <c r="R652">
        <v>334.34207237408197</v>
      </c>
      <c r="S652">
        <v>58.111317676647843</v>
      </c>
      <c r="T652">
        <v>236.17326113398531</v>
      </c>
      <c r="U652">
        <v>91.593800236102425</v>
      </c>
      <c r="X652">
        <v>0.87057662664155067</v>
      </c>
      <c r="Y652">
        <v>0.79275503638934786</v>
      </c>
      <c r="Z652">
        <v>0.97827490777790582</v>
      </c>
      <c r="AA652">
        <v>0.8121422918800687</v>
      </c>
      <c r="AB652">
        <v>0.72831124996993646</v>
      </c>
      <c r="AC652">
        <v>0.82578031110123162</v>
      </c>
      <c r="AD652">
        <v>0.4231047824158406</v>
      </c>
      <c r="AE652">
        <v>0.73809418215464873</v>
      </c>
      <c r="AH652">
        <v>0.24203551093629772</v>
      </c>
      <c r="AI652">
        <v>6.2951074270970908E-2</v>
      </c>
      <c r="AJ652">
        <v>9.9361805662432356E-2</v>
      </c>
      <c r="AK652">
        <v>9.0390555580413867E-2</v>
      </c>
      <c r="AL652">
        <v>0.11168583271679167</v>
      </c>
      <c r="AM652">
        <v>3.0649847880971137E-2</v>
      </c>
      <c r="AN652">
        <v>0.10165132550921008</v>
      </c>
      <c r="AO652">
        <v>8.5055435064630869E-2</v>
      </c>
      <c r="AR652">
        <v>8.1367385497539821E-4</v>
      </c>
      <c r="AS652">
        <v>4.5033381012318241E-3</v>
      </c>
      <c r="AT652">
        <v>0.10036123891724036</v>
      </c>
      <c r="AU652">
        <v>2.0423100874230604E-3</v>
      </c>
      <c r="AV652">
        <v>2.0853009652097576E-3</v>
      </c>
      <c r="AW652">
        <v>3.2847104017379096E-3</v>
      </c>
      <c r="AX652">
        <v>3.3350012998940902E-4</v>
      </c>
      <c r="AY652">
        <v>4.751138370466812E-4</v>
      </c>
      <c r="BB652">
        <v>4.2763532658580496E-2</v>
      </c>
      <c r="BC652">
        <v>3.5874719289981469E-2</v>
      </c>
      <c r="BE652">
        <v>31198.574269028857</v>
      </c>
      <c r="BF652">
        <v>20.298207948076953</v>
      </c>
      <c r="BG652">
        <v>33409.079918701442</v>
      </c>
      <c r="BH652">
        <v>20.232703793449296</v>
      </c>
    </row>
    <row r="653" spans="3:60" x14ac:dyDescent="0.2">
      <c r="C653" s="138">
        <v>32331.769052793268</v>
      </c>
      <c r="D653" s="138">
        <v>21.028213431154523</v>
      </c>
      <c r="E653" s="138">
        <v>34436.983758641196</v>
      </c>
      <c r="F653" s="138">
        <v>20.974052570177271</v>
      </c>
      <c r="G653" s="138">
        <v>-2105.2147058479277</v>
      </c>
      <c r="H653" s="138">
        <v>5.4160860977251701E-2</v>
      </c>
      <c r="N653" s="138"/>
      <c r="O653" s="138"/>
      <c r="P653" s="138"/>
      <c r="R653">
        <v>377.06880987647497</v>
      </c>
      <c r="S653">
        <v>57.090196562876926</v>
      </c>
      <c r="T653">
        <v>258.31945979910421</v>
      </c>
      <c r="U653">
        <v>91.41952648665557</v>
      </c>
      <c r="X653">
        <v>0.79671346301706714</v>
      </c>
      <c r="Y653">
        <v>0.69805892395341551</v>
      </c>
      <c r="Z653">
        <v>0.70058278359389392</v>
      </c>
      <c r="AA653">
        <v>0.78908020420464919</v>
      </c>
      <c r="AB653">
        <v>0.76756038200403565</v>
      </c>
      <c r="AC653">
        <v>0.88113869331431116</v>
      </c>
      <c r="AD653">
        <v>0.33438421122716383</v>
      </c>
      <c r="AE653">
        <v>0.654354233585006</v>
      </c>
      <c r="AH653">
        <v>0.12543855731171238</v>
      </c>
      <c r="AI653">
        <v>0.15228819071509636</v>
      </c>
      <c r="AJ653">
        <v>0.11075606526214032</v>
      </c>
      <c r="AK653">
        <v>2.4744565274872232E-2</v>
      </c>
      <c r="AL653">
        <v>5.3954123643240592E-3</v>
      </c>
      <c r="AM653">
        <v>0.11237889114524335</v>
      </c>
      <c r="AN653">
        <v>0.18193307051046792</v>
      </c>
      <c r="AO653">
        <v>0.17322390772404006</v>
      </c>
      <c r="AR653">
        <v>8.7592792743629408E-4</v>
      </c>
      <c r="AS653">
        <v>4.3344431468870775E-3</v>
      </c>
      <c r="AT653">
        <v>0.10092054359476266</v>
      </c>
      <c r="AU653">
        <v>2.1683216616883438E-3</v>
      </c>
      <c r="AV653">
        <v>2.0815447019102429E-3</v>
      </c>
      <c r="AW653">
        <v>3.413014291316685E-3</v>
      </c>
      <c r="AX653">
        <v>3.3935221154057728E-4</v>
      </c>
      <c r="AY653">
        <v>4.3696659653379551E-4</v>
      </c>
      <c r="BB653">
        <v>4.402672161048965E-2</v>
      </c>
      <c r="BC653">
        <v>4.5878652776896768E-2</v>
      </c>
      <c r="BE653">
        <v>32331.769052793268</v>
      </c>
      <c r="BF653">
        <v>21.028213431154523</v>
      </c>
      <c r="BG653">
        <v>34436.983758641196</v>
      </c>
      <c r="BH653">
        <v>20.974052570177271</v>
      </c>
    </row>
    <row r="654" spans="3:60" x14ac:dyDescent="0.2">
      <c r="C654" s="138">
        <v>27789.536319347564</v>
      </c>
      <c r="D654" s="138">
        <v>21.008245307504339</v>
      </c>
      <c r="E654" s="138">
        <v>29611.807723771268</v>
      </c>
      <c r="F654" s="138">
        <v>21.003213629285678</v>
      </c>
      <c r="G654" s="138">
        <v>-1822.2714044237036</v>
      </c>
      <c r="H654" s="138">
        <v>5.0316782186605735E-3</v>
      </c>
      <c r="N654" s="138"/>
      <c r="O654" s="138"/>
      <c r="P654" s="138"/>
      <c r="R654">
        <v>350.29478577962641</v>
      </c>
      <c r="S654">
        <v>57.637014741865663</v>
      </c>
      <c r="T654">
        <v>213.08338116119623</v>
      </c>
      <c r="U654">
        <v>106.22648892707761</v>
      </c>
      <c r="X654">
        <v>0.6747198586997768</v>
      </c>
      <c r="Y654">
        <v>0.84008328611805183</v>
      </c>
      <c r="Z654">
        <v>0.81833547828103947</v>
      </c>
      <c r="AA654">
        <v>0.82333759436804566</v>
      </c>
      <c r="AB654">
        <v>0.81555319666049741</v>
      </c>
      <c r="AC654">
        <v>0.91562905373138115</v>
      </c>
      <c r="AD654">
        <v>0.84619369100413855</v>
      </c>
      <c r="AE654">
        <v>0.75552318704003563</v>
      </c>
      <c r="AH654">
        <v>0.35736195503467538</v>
      </c>
      <c r="AI654">
        <v>9.2365840230328677E-2</v>
      </c>
      <c r="AJ654">
        <v>0.43557859766830154</v>
      </c>
      <c r="AK654">
        <v>2.7233229536601122E-2</v>
      </c>
      <c r="AL654">
        <v>0.13137590617815709</v>
      </c>
      <c r="AM654">
        <v>0.1546814141315348</v>
      </c>
      <c r="AN654">
        <v>0.20908932552102555</v>
      </c>
      <c r="AO654">
        <v>0.11896952107127545</v>
      </c>
      <c r="AR654">
        <v>8.9466607729415948E-4</v>
      </c>
      <c r="AS654">
        <v>4.1965063415278416E-3</v>
      </c>
      <c r="AT654">
        <v>9.8975730850088151E-2</v>
      </c>
      <c r="AU654">
        <v>1.9407999433835455E-3</v>
      </c>
      <c r="AV654">
        <v>2.2632438983223313E-3</v>
      </c>
      <c r="AW654">
        <v>3.3301333963980436E-3</v>
      </c>
      <c r="AX654">
        <v>4.0300523318592685E-4</v>
      </c>
      <c r="AY654">
        <v>4.4942216167642712E-4</v>
      </c>
      <c r="BB654">
        <v>4.9094782491352532E-2</v>
      </c>
      <c r="BC654">
        <v>6.4089218256144442E-2</v>
      </c>
      <c r="BE654">
        <v>27789.536319347564</v>
      </c>
      <c r="BF654">
        <v>21.008245307504339</v>
      </c>
      <c r="BG654">
        <v>29611.807723771268</v>
      </c>
      <c r="BH654">
        <v>21.003213629285678</v>
      </c>
    </row>
    <row r="655" spans="3:60" x14ac:dyDescent="0.2">
      <c r="C655" s="138">
        <v>33354.065706404108</v>
      </c>
      <c r="D655" s="138">
        <v>21.655378231285248</v>
      </c>
      <c r="E655" s="138">
        <v>35992.667778496252</v>
      </c>
      <c r="F655" s="138">
        <v>21.652741784921439</v>
      </c>
      <c r="G655" s="138">
        <v>-2638.6020720921442</v>
      </c>
      <c r="H655" s="138">
        <v>2.6364463638088864E-3</v>
      </c>
      <c r="N655" s="138"/>
      <c r="O655" s="138"/>
      <c r="P655" s="138"/>
      <c r="R655">
        <v>175.81718960962229</v>
      </c>
      <c r="S655">
        <v>52.225640120887832</v>
      </c>
      <c r="T655">
        <v>289.16009690708216</v>
      </c>
      <c r="U655">
        <v>105.3384147459508</v>
      </c>
      <c r="X655">
        <v>0.80138000820748667</v>
      </c>
      <c r="Y655">
        <v>0.71303479977185191</v>
      </c>
      <c r="Z655">
        <v>0.94736191078504239</v>
      </c>
      <c r="AA655">
        <v>0.64000325016236281</v>
      </c>
      <c r="AB655">
        <v>0.66973474169960834</v>
      </c>
      <c r="AC655">
        <v>0.3742208677755231</v>
      </c>
      <c r="AD655">
        <v>0.88335875082133952</v>
      </c>
      <c r="AE655">
        <v>0.62135008598371999</v>
      </c>
      <c r="AH655">
        <v>0.30513719328904865</v>
      </c>
      <c r="AI655">
        <v>9.2741982993987837E-2</v>
      </c>
      <c r="AJ655">
        <v>5.0933918725229343E-2</v>
      </c>
      <c r="AK655">
        <v>4.8897180320230271E-2</v>
      </c>
      <c r="AL655">
        <v>6.384517095519171E-2</v>
      </c>
      <c r="AM655">
        <v>0.11273955276792846</v>
      </c>
      <c r="AN655">
        <v>7.2604608236942259E-2</v>
      </c>
      <c r="AO655">
        <v>0.22633309543447544</v>
      </c>
      <c r="AR655">
        <v>8.7684701370666464E-4</v>
      </c>
      <c r="AS655">
        <v>4.0384324580572646E-3</v>
      </c>
      <c r="AT655">
        <v>0.10133344766495067</v>
      </c>
      <c r="AU655">
        <v>2.1742077003324978E-3</v>
      </c>
      <c r="AV655">
        <v>1.953722790421985E-3</v>
      </c>
      <c r="AW655">
        <v>3.794590731381331E-3</v>
      </c>
      <c r="AX655">
        <v>3.7597175114633053E-4</v>
      </c>
      <c r="AY655">
        <v>5.0128570543883644E-4</v>
      </c>
      <c r="BB655">
        <v>5.0898308396275294E-2</v>
      </c>
      <c r="BC655">
        <v>6.2460004223309662E-2</v>
      </c>
      <c r="BE655">
        <v>33354.065706404108</v>
      </c>
      <c r="BF655">
        <v>21.655378231285248</v>
      </c>
      <c r="BG655">
        <v>35992.667778496252</v>
      </c>
      <c r="BH655">
        <v>21.652741784921439</v>
      </c>
    </row>
    <row r="656" spans="3:60" x14ac:dyDescent="0.2">
      <c r="C656" s="138">
        <v>28147.582574262811</v>
      </c>
      <c r="D656" s="138">
        <v>20.965581224416912</v>
      </c>
      <c r="E656" s="138">
        <v>29872.627753429329</v>
      </c>
      <c r="F656" s="138">
        <v>20.956770763017445</v>
      </c>
      <c r="G656" s="138">
        <v>-1725.0451791665182</v>
      </c>
      <c r="H656" s="138">
        <v>8.8104613994666181E-3</v>
      </c>
      <c r="N656" s="138"/>
      <c r="O656" s="138"/>
      <c r="P656" s="138"/>
      <c r="R656">
        <v>275.96283779973965</v>
      </c>
      <c r="S656">
        <v>62.071625382806445</v>
      </c>
      <c r="T656">
        <v>265.06493308195877</v>
      </c>
      <c r="U656">
        <v>80.394478449024533</v>
      </c>
      <c r="X656">
        <v>0.69848901212537695</v>
      </c>
      <c r="Y656">
        <v>0.49321518288445837</v>
      </c>
      <c r="Z656">
        <v>0.87568978908676176</v>
      </c>
      <c r="AA656">
        <v>0.616872662902617</v>
      </c>
      <c r="AB656">
        <v>0.71800020483196825</v>
      </c>
      <c r="AC656">
        <v>0.75774397148154715</v>
      </c>
      <c r="AD656">
        <v>0.84310082754006943</v>
      </c>
      <c r="AE656">
        <v>0.81587549277017501</v>
      </c>
      <c r="AH656">
        <v>7.0150988893382893E-2</v>
      </c>
      <c r="AI656">
        <v>0.2528694125810812</v>
      </c>
      <c r="AJ656">
        <v>0.14009498524175346</v>
      </c>
      <c r="AK656">
        <v>0.34330294541218864</v>
      </c>
      <c r="AL656">
        <v>4.0570124806604491E-2</v>
      </c>
      <c r="AM656">
        <v>7.3741002268222E-2</v>
      </c>
      <c r="AN656">
        <v>9.592049717753437E-2</v>
      </c>
      <c r="AO656">
        <v>6.5981049516303347E-2</v>
      </c>
      <c r="AR656">
        <v>8.2228077225367149E-4</v>
      </c>
      <c r="AS656">
        <v>4.4491594165882668E-3</v>
      </c>
      <c r="AT656">
        <v>9.9070696284075735E-2</v>
      </c>
      <c r="AU656">
        <v>1.9904266156526014E-3</v>
      </c>
      <c r="AV656">
        <v>2.1103197252267947E-3</v>
      </c>
      <c r="AW656">
        <v>3.1526114947789084E-3</v>
      </c>
      <c r="AX656">
        <v>4.3007199963618348E-4</v>
      </c>
      <c r="AY656">
        <v>4.0311151857694923E-4</v>
      </c>
      <c r="BB656">
        <v>5.0403505229072221E-2</v>
      </c>
      <c r="BC656">
        <v>3.275022652290633E-2</v>
      </c>
      <c r="BE656">
        <v>28147.582574262811</v>
      </c>
      <c r="BF656">
        <v>20.965581224416912</v>
      </c>
      <c r="BG656">
        <v>29872.627753429329</v>
      </c>
      <c r="BH656">
        <v>20.956770763017445</v>
      </c>
    </row>
    <row r="657" spans="3:60" x14ac:dyDescent="0.2">
      <c r="C657" s="138">
        <v>28859.375164342178</v>
      </c>
      <c r="D657" s="138">
        <v>20.719166768614514</v>
      </c>
      <c r="E657" s="138">
        <v>30355.109703971619</v>
      </c>
      <c r="F657" s="138">
        <v>20.688660747760636</v>
      </c>
      <c r="G657" s="138">
        <v>-1495.7345396294404</v>
      </c>
      <c r="H657" s="138">
        <v>3.0506020853877658E-2</v>
      </c>
      <c r="N657" s="138"/>
      <c r="O657" s="138"/>
      <c r="P657" s="138"/>
      <c r="R657">
        <v>377.54119431363404</v>
      </c>
      <c r="S657">
        <v>54.901197320449519</v>
      </c>
      <c r="T657">
        <v>302.75957976401082</v>
      </c>
      <c r="U657">
        <v>91.386105542326163</v>
      </c>
      <c r="X657">
        <v>0.77943643705331767</v>
      </c>
      <c r="Y657">
        <v>0.84508317869035277</v>
      </c>
      <c r="Z657">
        <v>0.44291659685034623</v>
      </c>
      <c r="AA657">
        <v>0.74550859492973531</v>
      </c>
      <c r="AB657">
        <v>0.84911027850475018</v>
      </c>
      <c r="AC657">
        <v>0.67628195715711681</v>
      </c>
      <c r="AD657">
        <v>0.76483237057944398</v>
      </c>
      <c r="AE657">
        <v>0.52214544558118514</v>
      </c>
      <c r="AH657">
        <v>0.18103260281639577</v>
      </c>
      <c r="AI657">
        <v>7.2445208737494049E-2</v>
      </c>
      <c r="AJ657">
        <v>0.10565943057168026</v>
      </c>
      <c r="AK657">
        <v>6.8239991504713604E-2</v>
      </c>
      <c r="AL657">
        <v>0.17879494150368691</v>
      </c>
      <c r="AM657">
        <v>3.7184345977102629E-3</v>
      </c>
      <c r="AN657">
        <v>0.15638321818748224</v>
      </c>
      <c r="AO657">
        <v>0.28110779834247734</v>
      </c>
      <c r="AR657">
        <v>7.3582723285907424E-4</v>
      </c>
      <c r="AS657">
        <v>4.6552276032842954E-3</v>
      </c>
      <c r="AT657">
        <v>0.10076040472094183</v>
      </c>
      <c r="AU657">
        <v>2.0813983911912581E-3</v>
      </c>
      <c r="AV657">
        <v>2.1863973401073933E-3</v>
      </c>
      <c r="AW657">
        <v>3.3385974131997535E-3</v>
      </c>
      <c r="AX657">
        <v>3.5301165857291948E-4</v>
      </c>
      <c r="AY657">
        <v>4.0945719108810292E-4</v>
      </c>
      <c r="BB657">
        <v>4.5678754325247511E-2</v>
      </c>
      <c r="BC657">
        <v>6.5636602149119261E-2</v>
      </c>
      <c r="BE657">
        <v>28859.375164342178</v>
      </c>
      <c r="BF657">
        <v>20.719166768614514</v>
      </c>
      <c r="BG657">
        <v>30355.109703971619</v>
      </c>
      <c r="BH657">
        <v>20.688660747760636</v>
      </c>
    </row>
    <row r="658" spans="3:60" x14ac:dyDescent="0.2">
      <c r="C658" s="138">
        <v>27914.670439711037</v>
      </c>
      <c r="D658" s="138">
        <v>21.409191790215328</v>
      </c>
      <c r="E658" s="138">
        <v>29816.305441617766</v>
      </c>
      <c r="F658" s="138">
        <v>21.398301882202606</v>
      </c>
      <c r="G658" s="138">
        <v>-1901.6350019067286</v>
      </c>
      <c r="H658" s="138">
        <v>1.0889908012721605E-2</v>
      </c>
      <c r="N658" s="138"/>
      <c r="O658" s="138"/>
      <c r="P658" s="138"/>
      <c r="R658">
        <v>321.00056380903033</v>
      </c>
      <c r="S658">
        <v>71.041270861316534</v>
      </c>
      <c r="T658">
        <v>225.98230175987302</v>
      </c>
      <c r="U658">
        <v>90.028185161279268</v>
      </c>
      <c r="X658">
        <v>0.69876873302397335</v>
      </c>
      <c r="Y658">
        <v>0.8270651846410203</v>
      </c>
      <c r="Z658">
        <v>0.85556989877713718</v>
      </c>
      <c r="AA658">
        <v>0.81061804751008482</v>
      </c>
      <c r="AB658">
        <v>0.67288573439665134</v>
      </c>
      <c r="AC658">
        <v>0.74047007795745889</v>
      </c>
      <c r="AD658">
        <v>0.63371207400970375</v>
      </c>
      <c r="AE658">
        <v>0.82378196407057636</v>
      </c>
      <c r="AH658">
        <v>8.1241469163418678E-2</v>
      </c>
      <c r="AI658">
        <v>0.24497288082334012</v>
      </c>
      <c r="AJ658">
        <v>0.14218813067547265</v>
      </c>
      <c r="AK658">
        <v>3.2977663636752919E-2</v>
      </c>
      <c r="AL658">
        <v>0.20637595736188341</v>
      </c>
      <c r="AM658">
        <v>2.3225086820540142E-2</v>
      </c>
      <c r="AN658">
        <v>0.12946840341946508</v>
      </c>
      <c r="AO658">
        <v>0.21802178005290895</v>
      </c>
      <c r="AR658">
        <v>8.5062484513758418E-4</v>
      </c>
      <c r="AS658">
        <v>4.6299784445476E-3</v>
      </c>
      <c r="AT658">
        <v>9.921498919104281E-2</v>
      </c>
      <c r="AU658">
        <v>2.2768377331883194E-3</v>
      </c>
      <c r="AV658">
        <v>2.1128770627619753E-3</v>
      </c>
      <c r="AW658">
        <v>3.2395505343791875E-3</v>
      </c>
      <c r="AX658">
        <v>4.9483302331054801E-4</v>
      </c>
      <c r="AY658">
        <v>3.499245396687725E-4</v>
      </c>
      <c r="BB658">
        <v>4.6197492728483523E-2</v>
      </c>
      <c r="BC658">
        <v>7.5622501955248222E-2</v>
      </c>
      <c r="BE658">
        <v>27914.670439711037</v>
      </c>
      <c r="BF658">
        <v>21.409191790215328</v>
      </c>
      <c r="BG658">
        <v>29816.305441617766</v>
      </c>
      <c r="BH658">
        <v>21.398301882202606</v>
      </c>
    </row>
    <row r="659" spans="3:60" x14ac:dyDescent="0.2">
      <c r="C659" s="138">
        <v>31285.532199067111</v>
      </c>
      <c r="D659" s="138">
        <v>21.659045411989801</v>
      </c>
      <c r="E659" s="138">
        <v>33012.601957894432</v>
      </c>
      <c r="F659" s="138">
        <v>21.636549296510676</v>
      </c>
      <c r="G659" s="138">
        <v>-1727.0697588273215</v>
      </c>
      <c r="H659" s="138">
        <v>2.2496115479125223E-2</v>
      </c>
      <c r="N659" s="138"/>
      <c r="O659" s="138"/>
      <c r="P659" s="138"/>
      <c r="R659">
        <v>231.77337128060333</v>
      </c>
      <c r="S659">
        <v>70.499864335298298</v>
      </c>
      <c r="T659">
        <v>264.17521198273243</v>
      </c>
      <c r="U659">
        <v>113.67499978046024</v>
      </c>
      <c r="X659">
        <v>0.78283291123624776</v>
      </c>
      <c r="Y659">
        <v>0.74407007728300834</v>
      </c>
      <c r="Z659">
        <v>0.59946776414874237</v>
      </c>
      <c r="AA659">
        <v>0.71350869382660598</v>
      </c>
      <c r="AB659">
        <v>0.65219525693221447</v>
      </c>
      <c r="AC659">
        <v>0.7604788105365714</v>
      </c>
      <c r="AD659">
        <v>0.76733875763944637</v>
      </c>
      <c r="AE659">
        <v>0.80482574626949499</v>
      </c>
      <c r="AH659">
        <v>8.706637797721295E-3</v>
      </c>
      <c r="AI659">
        <v>0.21689937358120026</v>
      </c>
      <c r="AJ659">
        <v>2.0322522901163542E-2</v>
      </c>
      <c r="AK659">
        <v>0.24368791310483884</v>
      </c>
      <c r="AL659">
        <v>0.21339720568116538</v>
      </c>
      <c r="AM659">
        <v>3.0006081312000887E-2</v>
      </c>
      <c r="AN659">
        <v>0.22187869396134341</v>
      </c>
      <c r="AO659">
        <v>0.19236643344977045</v>
      </c>
      <c r="AR659">
        <v>8.9089060252933727E-4</v>
      </c>
      <c r="AS659">
        <v>4.8155574133782464E-3</v>
      </c>
      <c r="AT659">
        <v>9.8491648240831661E-2</v>
      </c>
      <c r="AU659">
        <v>2.1266083321852536E-3</v>
      </c>
      <c r="AV659">
        <v>1.8869058928646905E-3</v>
      </c>
      <c r="AW659">
        <v>3.4856882878094853E-3</v>
      </c>
      <c r="AX659">
        <v>3.537088930249726E-4</v>
      </c>
      <c r="AY659">
        <v>5.1625801778809599E-4</v>
      </c>
      <c r="BB659">
        <v>6.0184623601691412E-2</v>
      </c>
      <c r="BC659">
        <v>4.896835850803094E-2</v>
      </c>
      <c r="BE659">
        <v>31285.532199067111</v>
      </c>
      <c r="BF659">
        <v>21.659045411989801</v>
      </c>
      <c r="BG659">
        <v>33012.601957894432</v>
      </c>
      <c r="BH659">
        <v>21.636549296510676</v>
      </c>
    </row>
    <row r="660" spans="3:60" x14ac:dyDescent="0.2">
      <c r="C660" s="138">
        <v>27251.978695808226</v>
      </c>
      <c r="D660" s="138">
        <v>21.231802164906984</v>
      </c>
      <c r="E660" s="138">
        <v>29353.632960818864</v>
      </c>
      <c r="F660" s="138">
        <v>21.192316366581345</v>
      </c>
      <c r="G660" s="138">
        <v>-2101.6542650106385</v>
      </c>
      <c r="H660" s="138">
        <v>3.9485798325639365E-2</v>
      </c>
      <c r="N660" s="138"/>
      <c r="O660" s="138"/>
      <c r="P660" s="138"/>
      <c r="R660">
        <v>224.56525787747992</v>
      </c>
      <c r="S660">
        <v>65.10810926508637</v>
      </c>
      <c r="T660">
        <v>236.84982379367352</v>
      </c>
      <c r="U660">
        <v>95.07201240344294</v>
      </c>
      <c r="X660">
        <v>0.95734054778001521</v>
      </c>
      <c r="Y660">
        <v>0.6969630685800422</v>
      </c>
      <c r="Z660">
        <v>0.75720458371927457</v>
      </c>
      <c r="AA660">
        <v>0.73520662142262938</v>
      </c>
      <c r="AB660">
        <v>0.7045362609172926</v>
      </c>
      <c r="AC660">
        <v>0.91126539983255139</v>
      </c>
      <c r="AD660">
        <v>0.56448940724066066</v>
      </c>
      <c r="AE660">
        <v>0.63429449657239656</v>
      </c>
      <c r="AH660">
        <v>0.13358577157836349</v>
      </c>
      <c r="AI660">
        <v>0.19037962238142014</v>
      </c>
      <c r="AJ660">
        <v>0.31255348451149834</v>
      </c>
      <c r="AK660">
        <v>6.3200745451362117E-2</v>
      </c>
      <c r="AL660">
        <v>2.2572094833159584E-2</v>
      </c>
      <c r="AM660">
        <v>0.10995702451832334</v>
      </c>
      <c r="AN660">
        <v>5.6106583969813384E-2</v>
      </c>
      <c r="AO660">
        <v>0.12548658732957718</v>
      </c>
      <c r="AR660">
        <v>8.8729939209919451E-4</v>
      </c>
      <c r="AS660">
        <v>4.7116423842644695E-3</v>
      </c>
      <c r="AT660">
        <v>9.9834069917590626E-2</v>
      </c>
      <c r="AU660">
        <v>1.9819785947266131E-3</v>
      </c>
      <c r="AV660">
        <v>1.9715122992149709E-3</v>
      </c>
      <c r="AW660">
        <v>3.2694936757408015E-3</v>
      </c>
      <c r="AX660">
        <v>3.8380239187318834E-4</v>
      </c>
      <c r="AY660">
        <v>4.8430640073660047E-4</v>
      </c>
      <c r="BB660">
        <v>4.806041034962702E-2</v>
      </c>
      <c r="BC660">
        <v>6.0869572805341332E-2</v>
      </c>
      <c r="BE660">
        <v>27251.978695808226</v>
      </c>
      <c r="BF660">
        <v>21.231802164906984</v>
      </c>
      <c r="BG660">
        <v>29353.632960818864</v>
      </c>
      <c r="BH660">
        <v>21.192316366581345</v>
      </c>
    </row>
    <row r="661" spans="3:60" x14ac:dyDescent="0.2">
      <c r="C661" s="138">
        <v>27396.525579860281</v>
      </c>
      <c r="D661" s="138">
        <v>21.176769537328024</v>
      </c>
      <c r="E661" s="138">
        <v>29328.846652073771</v>
      </c>
      <c r="F661" s="138">
        <v>21.152453206437535</v>
      </c>
      <c r="G661" s="138">
        <v>-1932.32107221349</v>
      </c>
      <c r="H661" s="138">
        <v>2.4316330890489013E-2</v>
      </c>
      <c r="N661" s="138"/>
      <c r="O661" s="138"/>
      <c r="P661" s="138"/>
      <c r="R661">
        <v>147.25686156463206</v>
      </c>
      <c r="S661">
        <v>66.768577363237981</v>
      </c>
      <c r="T661">
        <v>253.44705555047707</v>
      </c>
      <c r="U661">
        <v>89.731320095219374</v>
      </c>
      <c r="X661">
        <v>0.82013452074606219</v>
      </c>
      <c r="Y661">
        <v>0.75886737104104784</v>
      </c>
      <c r="Z661">
        <v>0.81778608359731897</v>
      </c>
      <c r="AA661">
        <v>0.59910327769977467</v>
      </c>
      <c r="AB661">
        <v>0.95287911877074594</v>
      </c>
      <c r="AC661">
        <v>0.5361010785797613</v>
      </c>
      <c r="AD661">
        <v>0.82540242723317903</v>
      </c>
      <c r="AE661">
        <v>0.85064655259906596</v>
      </c>
      <c r="AH661">
        <v>8.3524278237279592E-2</v>
      </c>
      <c r="AI661">
        <v>7.3953101572419966E-2</v>
      </c>
      <c r="AJ661">
        <v>0.2445676645398952</v>
      </c>
      <c r="AK661">
        <v>4.891140592712806E-2</v>
      </c>
      <c r="AL661">
        <v>0.1030848353752164</v>
      </c>
      <c r="AM661">
        <v>0.12462343165549361</v>
      </c>
      <c r="AN661">
        <v>0.45377448790606034</v>
      </c>
      <c r="AO661">
        <v>0.1507191091121125</v>
      </c>
      <c r="AR661">
        <v>1.0042962438753245E-3</v>
      </c>
      <c r="AS661">
        <v>4.3479793477224221E-3</v>
      </c>
      <c r="AT661">
        <v>9.9300940659307363E-2</v>
      </c>
      <c r="AU661">
        <v>2.2044447974097769E-3</v>
      </c>
      <c r="AV661">
        <v>1.9877683760140827E-3</v>
      </c>
      <c r="AW661">
        <v>3.3524375081784969E-3</v>
      </c>
      <c r="AX661">
        <v>3.4943126619779404E-4</v>
      </c>
      <c r="AY661">
        <v>4.8039628804674717E-4</v>
      </c>
      <c r="BB661">
        <v>4.6380623386280906E-2</v>
      </c>
      <c r="BC661">
        <v>9.3429223828441765E-2</v>
      </c>
      <c r="BE661">
        <v>27396.525579860281</v>
      </c>
      <c r="BF661">
        <v>21.176769537328024</v>
      </c>
      <c r="BG661">
        <v>29328.846652073771</v>
      </c>
      <c r="BH661">
        <v>21.152453206437535</v>
      </c>
    </row>
    <row r="662" spans="3:60" x14ac:dyDescent="0.2">
      <c r="C662" s="138">
        <v>27053.952070213112</v>
      </c>
      <c r="D662" s="138">
        <v>20.140956899138402</v>
      </c>
      <c r="E662" s="138">
        <v>29130.736200463329</v>
      </c>
      <c r="F662" s="138">
        <v>20.100095055625943</v>
      </c>
      <c r="G662" s="138">
        <v>-2076.7841302502165</v>
      </c>
      <c r="H662" s="138">
        <v>4.0861843512459473E-2</v>
      </c>
      <c r="N662" s="138"/>
      <c r="O662" s="138"/>
      <c r="P662" s="138"/>
      <c r="R662">
        <v>60.498901584354059</v>
      </c>
      <c r="S662">
        <v>60.753444229601719</v>
      </c>
      <c r="T662">
        <v>242.7983572580228</v>
      </c>
      <c r="U662">
        <v>100.30738045870419</v>
      </c>
      <c r="X662">
        <v>0.77615661341957753</v>
      </c>
      <c r="Y662">
        <v>0.64019010720026082</v>
      </c>
      <c r="Z662">
        <v>0.73478893271093371</v>
      </c>
      <c r="AA662">
        <v>0.76304889712574175</v>
      </c>
      <c r="AB662">
        <v>0.71725411040994902</v>
      </c>
      <c r="AC662">
        <v>0.68103553987988352</v>
      </c>
      <c r="AD662">
        <v>0.75537127893632028</v>
      </c>
      <c r="AE662">
        <v>0.56616020932711597</v>
      </c>
      <c r="AH662">
        <v>5.0521893958044739E-2</v>
      </c>
      <c r="AI662">
        <v>9.4217021022702019E-2</v>
      </c>
      <c r="AJ662">
        <v>9.8445149292136436E-2</v>
      </c>
      <c r="AK662">
        <v>0.13547466625067117</v>
      </c>
      <c r="AL662">
        <v>0.11455222629563433</v>
      </c>
      <c r="AM662">
        <v>7.7414332153232124E-2</v>
      </c>
      <c r="AN662">
        <v>3.6644908236429186E-2</v>
      </c>
      <c r="AO662">
        <v>0.10863616798814413</v>
      </c>
      <c r="AR662">
        <v>9.236934510268302E-4</v>
      </c>
      <c r="AS662">
        <v>4.7593317965326509E-3</v>
      </c>
      <c r="AT662">
        <v>0.10139232727394021</v>
      </c>
      <c r="AU662">
        <v>2.0195217281901989E-3</v>
      </c>
      <c r="AV662">
        <v>1.9125526722963213E-3</v>
      </c>
      <c r="AW662">
        <v>3.1311672668898334E-3</v>
      </c>
      <c r="AX662">
        <v>4.2452908388146415E-4</v>
      </c>
      <c r="AY662">
        <v>4.1800489698331307E-4</v>
      </c>
      <c r="BB662">
        <v>5.664730618864211E-2</v>
      </c>
      <c r="BC662">
        <v>5.7986898338856729E-2</v>
      </c>
      <c r="BE662">
        <v>27053.952070213112</v>
      </c>
      <c r="BF662">
        <v>20.140956899138402</v>
      </c>
      <c r="BG662">
        <v>29130.736200463329</v>
      </c>
      <c r="BH662">
        <v>20.100095055625943</v>
      </c>
    </row>
    <row r="663" spans="3:60" x14ac:dyDescent="0.2">
      <c r="C663" s="138">
        <v>33752.31097825976</v>
      </c>
      <c r="D663" s="138">
        <v>20.114123208109852</v>
      </c>
      <c r="E663" s="138">
        <v>35994.095431849957</v>
      </c>
      <c r="F663" s="138">
        <v>20.053537409927124</v>
      </c>
      <c r="G663" s="138">
        <v>-2241.7844535901968</v>
      </c>
      <c r="H663" s="138">
        <v>6.0585798182728468E-2</v>
      </c>
      <c r="N663" s="138"/>
      <c r="O663" s="138"/>
      <c r="P663" s="138"/>
      <c r="R663">
        <v>120.84663178033355</v>
      </c>
      <c r="S663">
        <v>57.170229017213543</v>
      </c>
      <c r="T663">
        <v>213.41869463315373</v>
      </c>
      <c r="U663">
        <v>111.53165037525937</v>
      </c>
      <c r="X663">
        <v>0.93739026348015175</v>
      </c>
      <c r="Y663">
        <v>0.57043895060191352</v>
      </c>
      <c r="Z663">
        <v>0.96160967432114297</v>
      </c>
      <c r="AA663">
        <v>0.85582271562427281</v>
      </c>
      <c r="AB663">
        <v>0.50655785286315336</v>
      </c>
      <c r="AC663">
        <v>0.60937434766565557</v>
      </c>
      <c r="AD663">
        <v>0.87654727918541986</v>
      </c>
      <c r="AE663">
        <v>0.57221282163818632</v>
      </c>
      <c r="AH663">
        <v>7.9232042399260183E-2</v>
      </c>
      <c r="AI663">
        <v>9.8825283115617779E-3</v>
      </c>
      <c r="AJ663">
        <v>4.0049363730279453E-2</v>
      </c>
      <c r="AK663">
        <v>7.4248966252095427E-2</v>
      </c>
      <c r="AL663">
        <v>3.374392414336902E-2</v>
      </c>
      <c r="AM663">
        <v>0.12414901223145014</v>
      </c>
      <c r="AN663">
        <v>0.12024164333290444</v>
      </c>
      <c r="AO663">
        <v>7.0111717382429717E-2</v>
      </c>
      <c r="AR663">
        <v>8.7938542887140551E-4</v>
      </c>
      <c r="AS663">
        <v>4.4668225403902478E-3</v>
      </c>
      <c r="AT663">
        <v>9.9681066882823022E-2</v>
      </c>
      <c r="AU663">
        <v>2.3124958075950719E-3</v>
      </c>
      <c r="AV663">
        <v>1.9319498524601839E-3</v>
      </c>
      <c r="AW663">
        <v>3.3244561850533675E-3</v>
      </c>
      <c r="AX663">
        <v>3.5906334884555852E-4</v>
      </c>
      <c r="AY663">
        <v>3.0813822025545424E-4</v>
      </c>
      <c r="BB663">
        <v>3.9364294171382187E-2</v>
      </c>
      <c r="BC663">
        <v>4.493077290820862E-2</v>
      </c>
      <c r="BE663">
        <v>33752.31097825976</v>
      </c>
      <c r="BF663">
        <v>20.114123208109852</v>
      </c>
      <c r="BG663">
        <v>35994.095431849957</v>
      </c>
      <c r="BH663">
        <v>20.053537409927124</v>
      </c>
    </row>
    <row r="664" spans="3:60" x14ac:dyDescent="0.2">
      <c r="C664" s="138">
        <v>27675.576913665071</v>
      </c>
      <c r="D664" s="138">
        <v>20.804292882176828</v>
      </c>
      <c r="E664" s="138">
        <v>29325.73785151451</v>
      </c>
      <c r="F664" s="138">
        <v>20.762872205111648</v>
      </c>
      <c r="G664" s="138">
        <v>-1650.1609378494395</v>
      </c>
      <c r="H664" s="138">
        <v>4.142067706517949E-2</v>
      </c>
      <c r="N664" s="138"/>
      <c r="O664" s="138"/>
      <c r="P664" s="138"/>
      <c r="R664">
        <v>138.38098970345311</v>
      </c>
      <c r="S664">
        <v>52.094461229640658</v>
      </c>
      <c r="T664">
        <v>249.57303136417661</v>
      </c>
      <c r="U664">
        <v>112.73343355485136</v>
      </c>
      <c r="X664">
        <v>0.60153867830124197</v>
      </c>
      <c r="Y664">
        <v>0.66495304657366927</v>
      </c>
      <c r="Z664">
        <v>0.69863895632846196</v>
      </c>
      <c r="AA664">
        <v>0.97137702192085196</v>
      </c>
      <c r="AB664">
        <v>0.5840295032221523</v>
      </c>
      <c r="AC664">
        <v>0.81690501742739074</v>
      </c>
      <c r="AD664">
        <v>0.68644637037756895</v>
      </c>
      <c r="AE664">
        <v>0.83596947443586722</v>
      </c>
      <c r="AH664">
        <v>4.4223242444160205E-2</v>
      </c>
      <c r="AI664">
        <v>4.9716939415943462E-2</v>
      </c>
      <c r="AJ664">
        <v>0.21048070490343984</v>
      </c>
      <c r="AK664">
        <v>2.0190928401113362E-2</v>
      </c>
      <c r="AL664">
        <v>0.10812605469921777</v>
      </c>
      <c r="AM664">
        <v>0.24473492961347265</v>
      </c>
      <c r="AN664">
        <v>0.27384731283499708</v>
      </c>
      <c r="AO664">
        <v>6.2947386494400348E-2</v>
      </c>
      <c r="AR664">
        <v>8.4130987950457208E-4</v>
      </c>
      <c r="AS664">
        <v>4.5230587624522922E-3</v>
      </c>
      <c r="AT664">
        <v>9.9422860648115841E-2</v>
      </c>
      <c r="AU664">
        <v>1.8910625589072499E-3</v>
      </c>
      <c r="AV664">
        <v>2.0198780461594401E-3</v>
      </c>
      <c r="AW664">
        <v>3.3206066748323573E-3</v>
      </c>
      <c r="AX664">
        <v>4.5241731239031857E-4</v>
      </c>
      <c r="AY664">
        <v>5.3231551879839856E-4</v>
      </c>
      <c r="BB664">
        <v>5.0531992225110733E-2</v>
      </c>
      <c r="BC664">
        <v>3.7722067914231737E-2</v>
      </c>
      <c r="BE664">
        <v>27675.576913665071</v>
      </c>
      <c r="BF664">
        <v>20.804292882176828</v>
      </c>
      <c r="BG664">
        <v>29325.73785151451</v>
      </c>
      <c r="BH664">
        <v>20.762872205111648</v>
      </c>
    </row>
    <row r="665" spans="3:60" x14ac:dyDescent="0.2">
      <c r="C665" s="138">
        <v>28213.694763760232</v>
      </c>
      <c r="D665" s="138">
        <v>20.745509490097504</v>
      </c>
      <c r="E665" s="138">
        <v>30654.608962669456</v>
      </c>
      <c r="F665" s="138">
        <v>20.722133890458771</v>
      </c>
      <c r="G665" s="138">
        <v>-2440.9141989092241</v>
      </c>
      <c r="H665" s="138">
        <v>2.3375599638733036E-2</v>
      </c>
      <c r="N665" s="138"/>
      <c r="O665" s="138"/>
      <c r="P665" s="138"/>
      <c r="R665">
        <v>95.757557616634358</v>
      </c>
      <c r="S665">
        <v>65.26740150821476</v>
      </c>
      <c r="T665">
        <v>206.22282725642054</v>
      </c>
      <c r="U665">
        <v>103.94253587211745</v>
      </c>
      <c r="X665">
        <v>0.79692601727624535</v>
      </c>
      <c r="Y665">
        <v>0.44506809084852339</v>
      </c>
      <c r="Z665">
        <v>0.47990341544131121</v>
      </c>
      <c r="AA665">
        <v>0.93697124218037087</v>
      </c>
      <c r="AB665">
        <v>0.67420688404027074</v>
      </c>
      <c r="AC665">
        <v>0.60292990123090917</v>
      </c>
      <c r="AD665">
        <v>0.58879090790648048</v>
      </c>
      <c r="AE665">
        <v>0.74320774751653773</v>
      </c>
      <c r="AH665">
        <v>1.5959000973475579E-2</v>
      </c>
      <c r="AI665">
        <v>0.10473952520744079</v>
      </c>
      <c r="AJ665">
        <v>9.4500312084929927E-2</v>
      </c>
      <c r="AK665">
        <v>0.30151545590419482</v>
      </c>
      <c r="AL665">
        <v>0.23721164072710987</v>
      </c>
      <c r="AM665">
        <v>7.6780014327874291E-2</v>
      </c>
      <c r="AN665">
        <v>0.11018925719779427</v>
      </c>
      <c r="AO665">
        <v>8.3910760775795623E-2</v>
      </c>
      <c r="AR665">
        <v>7.5305808471852215E-4</v>
      </c>
      <c r="AS665">
        <v>4.5073566701232526E-3</v>
      </c>
      <c r="AT665">
        <v>0.10115431993589041</v>
      </c>
      <c r="AU665">
        <v>2.006886798911367E-3</v>
      </c>
      <c r="AV665">
        <v>2.1749661604666404E-3</v>
      </c>
      <c r="AW665">
        <v>3.642638794937425E-3</v>
      </c>
      <c r="AX665">
        <v>4.4264004995342443E-4</v>
      </c>
      <c r="AY665">
        <v>3.8047385297777179E-4</v>
      </c>
      <c r="BB665">
        <v>5.2145739765119936E-2</v>
      </c>
      <c r="BC665">
        <v>5.2157765207344498E-2</v>
      </c>
      <c r="BE665">
        <v>28213.694763760232</v>
      </c>
      <c r="BF665">
        <v>20.745509490097504</v>
      </c>
      <c r="BG665">
        <v>30654.608962669456</v>
      </c>
      <c r="BH665">
        <v>20.722133890458771</v>
      </c>
    </row>
    <row r="666" spans="3:60" x14ac:dyDescent="0.2">
      <c r="C666" s="138">
        <v>27475.926965056438</v>
      </c>
      <c r="D666" s="138">
        <v>20.526745371495984</v>
      </c>
      <c r="E666" s="138">
        <v>29304.245320576927</v>
      </c>
      <c r="F666" s="138">
        <v>20.464061639159777</v>
      </c>
      <c r="G666" s="138">
        <v>-1828.3183555204887</v>
      </c>
      <c r="H666" s="138">
        <v>6.2683732336207498E-2</v>
      </c>
      <c r="N666" s="138"/>
      <c r="O666" s="138"/>
      <c r="P666" s="138"/>
      <c r="R666">
        <v>472.74412135557748</v>
      </c>
      <c r="S666">
        <v>58.175596907299798</v>
      </c>
      <c r="T666">
        <v>271.48228065651023</v>
      </c>
      <c r="U666">
        <v>96.130653125379865</v>
      </c>
      <c r="X666">
        <v>0.64083390953730113</v>
      </c>
      <c r="Y666">
        <v>0.59211480177313769</v>
      </c>
      <c r="Z666">
        <v>0.73731603592324302</v>
      </c>
      <c r="AA666">
        <v>0.46891185901695198</v>
      </c>
      <c r="AB666">
        <v>0.79627944262683648</v>
      </c>
      <c r="AC666">
        <v>0.75867052763145348</v>
      </c>
      <c r="AD666">
        <v>0.81383150606281363</v>
      </c>
      <c r="AE666">
        <v>0.84159865157015001</v>
      </c>
      <c r="AH666">
        <v>0.11216480538766194</v>
      </c>
      <c r="AI666">
        <v>3.8501129309472581E-2</v>
      </c>
      <c r="AJ666">
        <v>3.8508349002366993E-2</v>
      </c>
      <c r="AK666">
        <v>0.12238348386238274</v>
      </c>
      <c r="AL666">
        <v>3.8663370425318755E-2</v>
      </c>
      <c r="AM666">
        <v>0.10634844230992113</v>
      </c>
      <c r="AN666">
        <v>0.18214178157197081</v>
      </c>
      <c r="AO666">
        <v>3.8233926549484987E-2</v>
      </c>
      <c r="AR666">
        <v>1.1502155115404866E-3</v>
      </c>
      <c r="AS666">
        <v>4.5826350968449781E-3</v>
      </c>
      <c r="AT666">
        <v>0.10063565373810457</v>
      </c>
      <c r="AU666">
        <v>2.112559793914448E-3</v>
      </c>
      <c r="AV666">
        <v>1.7349454930847392E-3</v>
      </c>
      <c r="AW666">
        <v>3.8527018010393599E-3</v>
      </c>
      <c r="AX666">
        <v>3.3814643014199553E-4</v>
      </c>
      <c r="AY666">
        <v>3.9465457159495055E-4</v>
      </c>
      <c r="BB666">
        <v>5.3719621048321842E-2</v>
      </c>
      <c r="BC666">
        <v>6.3615557248896892E-2</v>
      </c>
      <c r="BE666">
        <v>27475.926965056438</v>
      </c>
      <c r="BF666">
        <v>20.526745371495984</v>
      </c>
      <c r="BG666">
        <v>29304.245320576927</v>
      </c>
      <c r="BH666">
        <v>20.464061639159777</v>
      </c>
    </row>
    <row r="667" spans="3:60" x14ac:dyDescent="0.2">
      <c r="C667" s="138">
        <v>30332.384790263422</v>
      </c>
      <c r="D667" s="138">
        <v>21.446654771589689</v>
      </c>
      <c r="E667" s="138">
        <v>32565.84622484033</v>
      </c>
      <c r="F667" s="138">
        <v>21.422782211632985</v>
      </c>
      <c r="G667" s="138">
        <v>-2233.4614345769078</v>
      </c>
      <c r="H667" s="138">
        <v>2.3872559956704009E-2</v>
      </c>
      <c r="N667" s="138"/>
      <c r="O667" s="138"/>
      <c r="P667" s="138"/>
      <c r="R667">
        <v>162.90548706115953</v>
      </c>
      <c r="S667">
        <v>64.297546743554875</v>
      </c>
      <c r="T667">
        <v>238.5730554894804</v>
      </c>
      <c r="U667">
        <v>93.399883903611041</v>
      </c>
      <c r="X667">
        <v>0.86298031785496188</v>
      </c>
      <c r="Y667">
        <v>0.87607138592371725</v>
      </c>
      <c r="Z667">
        <v>0.80195578321007988</v>
      </c>
      <c r="AA667">
        <v>0.87452417714873065</v>
      </c>
      <c r="AB667">
        <v>0.77176912098193484</v>
      </c>
      <c r="AC667">
        <v>0.66799651472742028</v>
      </c>
      <c r="AD667">
        <v>0.77978117469767372</v>
      </c>
      <c r="AE667">
        <v>0.9105714265092405</v>
      </c>
      <c r="AH667">
        <v>7.7324982029459033E-2</v>
      </c>
      <c r="AI667">
        <v>0.12449121725334666</v>
      </c>
      <c r="AJ667">
        <v>0.16900189462685522</v>
      </c>
      <c r="AK667">
        <v>3.3940948780437963E-2</v>
      </c>
      <c r="AL667">
        <v>0.10170590533300949</v>
      </c>
      <c r="AM667">
        <v>3.619107314375325E-2</v>
      </c>
      <c r="AN667">
        <v>9.0438403134942669E-2</v>
      </c>
      <c r="AO667">
        <v>0.1256491971004392</v>
      </c>
      <c r="AR667">
        <v>8.0438453557845377E-4</v>
      </c>
      <c r="AS667">
        <v>4.2416465853914835E-3</v>
      </c>
      <c r="AT667">
        <v>9.8270309574306963E-2</v>
      </c>
      <c r="AU667">
        <v>2.2621883938973575E-3</v>
      </c>
      <c r="AV667">
        <v>2.0537940538709609E-3</v>
      </c>
      <c r="AW667">
        <v>3.3291623994942225E-3</v>
      </c>
      <c r="AX667">
        <v>3.639664413451725E-4</v>
      </c>
      <c r="AY667">
        <v>4.7332895543072961E-4</v>
      </c>
      <c r="BB667">
        <v>4.0101548253682333E-2</v>
      </c>
      <c r="BC667">
        <v>4.2614296751322105E-2</v>
      </c>
      <c r="BE667">
        <v>30332.384790263422</v>
      </c>
      <c r="BF667">
        <v>21.446654771589689</v>
      </c>
      <c r="BG667">
        <v>32565.84622484033</v>
      </c>
      <c r="BH667">
        <v>21.422782211632985</v>
      </c>
    </row>
    <row r="668" spans="3:60" x14ac:dyDescent="0.2">
      <c r="C668" s="138">
        <v>22199.808867789015</v>
      </c>
      <c r="D668" s="138">
        <v>20.229600869194265</v>
      </c>
      <c r="E668" s="138">
        <v>23764.63978271313</v>
      </c>
      <c r="F668" s="138">
        <v>20.153805549173871</v>
      </c>
      <c r="G668" s="138">
        <v>-1564.830914924114</v>
      </c>
      <c r="H668" s="138">
        <v>7.5795320020393575E-2</v>
      </c>
      <c r="N668" s="138"/>
      <c r="O668" s="138"/>
      <c r="P668" s="138"/>
      <c r="R668">
        <v>175.63736087103445</v>
      </c>
      <c r="S668">
        <v>66.394060300416243</v>
      </c>
      <c r="T668">
        <v>211.32775962966545</v>
      </c>
      <c r="U668">
        <v>90.734908170358949</v>
      </c>
      <c r="X668">
        <v>0.55306318143908784</v>
      </c>
      <c r="Y668">
        <v>0.67709280568783081</v>
      </c>
      <c r="Z668">
        <v>0.8236446441872024</v>
      </c>
      <c r="AA668">
        <v>0.78063541452137719</v>
      </c>
      <c r="AB668">
        <v>0.48894752756387272</v>
      </c>
      <c r="AC668">
        <v>0.82066525739972951</v>
      </c>
      <c r="AD668">
        <v>0.63365523789216438</v>
      </c>
      <c r="AE668">
        <v>0.94308629038412972</v>
      </c>
      <c r="AH668">
        <v>0.5368755443440697</v>
      </c>
      <c r="AI668">
        <v>0.13977131934966625</v>
      </c>
      <c r="AJ668">
        <v>2.0470060938025725E-2</v>
      </c>
      <c r="AK668">
        <v>0.18732555154335284</v>
      </c>
      <c r="AL668">
        <v>8.7728612606704282E-2</v>
      </c>
      <c r="AM668">
        <v>4.0431296869348321E-2</v>
      </c>
      <c r="AN668">
        <v>8.1241502328051163E-2</v>
      </c>
      <c r="AO668">
        <v>1.6484428313949362E-2</v>
      </c>
      <c r="AR668">
        <v>8.8049799960722094E-4</v>
      </c>
      <c r="AS668">
        <v>5.1182202284499878E-3</v>
      </c>
      <c r="AT668">
        <v>9.8687113847997873E-2</v>
      </c>
      <c r="AU668">
        <v>2.1178171579707694E-3</v>
      </c>
      <c r="AV668">
        <v>1.9309127739867745E-3</v>
      </c>
      <c r="AW668">
        <v>3.2129401514893936E-3</v>
      </c>
      <c r="AX668">
        <v>4.2690740731854415E-4</v>
      </c>
      <c r="AY668">
        <v>6.3092287332100483E-4</v>
      </c>
      <c r="BB668">
        <v>4.5228581825908568E-2</v>
      </c>
      <c r="BC668">
        <v>2.9694778764309822E-2</v>
      </c>
      <c r="BE668">
        <v>22199.808867789015</v>
      </c>
      <c r="BF668">
        <v>20.229600869194265</v>
      </c>
      <c r="BG668">
        <v>23764.63978271313</v>
      </c>
      <c r="BH668">
        <v>20.153805549173871</v>
      </c>
    </row>
    <row r="669" spans="3:60" x14ac:dyDescent="0.2">
      <c r="C669" s="138">
        <v>31645.956287196648</v>
      </c>
      <c r="D669" s="138">
        <v>20.565652906536208</v>
      </c>
      <c r="E669" s="138">
        <v>33349.862657437821</v>
      </c>
      <c r="F669" s="138">
        <v>20.509123676593557</v>
      </c>
      <c r="G669" s="138">
        <v>-1703.9063702411731</v>
      </c>
      <c r="H669" s="138">
        <v>5.6529229942650971E-2</v>
      </c>
      <c r="N669" s="138"/>
      <c r="O669" s="138"/>
      <c r="P669" s="138"/>
      <c r="R669">
        <v>264.84555440822101</v>
      </c>
      <c r="S669">
        <v>66.442460739327885</v>
      </c>
      <c r="T669">
        <v>267.35030546742661</v>
      </c>
      <c r="U669">
        <v>90.887874197896949</v>
      </c>
      <c r="X669">
        <v>0.86979280413770088</v>
      </c>
      <c r="Y669">
        <v>0.29890724314054196</v>
      </c>
      <c r="Z669">
        <v>0.86934207148601217</v>
      </c>
      <c r="AA669">
        <v>0.6711484792301925</v>
      </c>
      <c r="AB669">
        <v>0.84538004457390847</v>
      </c>
      <c r="AC669">
        <v>0.63373359557291953</v>
      </c>
      <c r="AD669">
        <v>0.69384291905794648</v>
      </c>
      <c r="AE669">
        <v>0.84440229239764086</v>
      </c>
      <c r="AH669">
        <v>0.2846131901821829</v>
      </c>
      <c r="AI669">
        <v>9.9084357711559101E-2</v>
      </c>
      <c r="AJ669">
        <v>0.34815898033912274</v>
      </c>
      <c r="AK669">
        <v>8.3197997652318501E-2</v>
      </c>
      <c r="AL669">
        <v>0.16025542131448134</v>
      </c>
      <c r="AM669">
        <v>0.3240709416885571</v>
      </c>
      <c r="AN669">
        <v>0.17630999587700169</v>
      </c>
      <c r="AO669">
        <v>4.4334764465943755E-2</v>
      </c>
      <c r="AR669">
        <v>9.5123943646979736E-4</v>
      </c>
      <c r="AS669">
        <v>4.24809432024082E-3</v>
      </c>
      <c r="AT669">
        <v>0.1016360413967643</v>
      </c>
      <c r="AU669">
        <v>2.0734136615968568E-3</v>
      </c>
      <c r="AV669">
        <v>2.057215831519299E-3</v>
      </c>
      <c r="AW669">
        <v>3.3214385442168325E-3</v>
      </c>
      <c r="AX669">
        <v>3.2244711518652244E-4</v>
      </c>
      <c r="AY669">
        <v>5.1937363247800405E-4</v>
      </c>
      <c r="BB669">
        <v>5.4927426433596493E-2</v>
      </c>
      <c r="BC669">
        <v>5.4996215368215307E-2</v>
      </c>
      <c r="BE669">
        <v>31645.956287196648</v>
      </c>
      <c r="BF669">
        <v>20.565652906536208</v>
      </c>
      <c r="BG669">
        <v>33349.862657437821</v>
      </c>
      <c r="BH669">
        <v>20.509123676593557</v>
      </c>
    </row>
    <row r="670" spans="3:60" x14ac:dyDescent="0.2">
      <c r="C670" s="138">
        <v>35104.580706059307</v>
      </c>
      <c r="D670" s="138">
        <v>21.22890415778285</v>
      </c>
      <c r="E670" s="138">
        <v>37020.547321538623</v>
      </c>
      <c r="F670" s="138">
        <v>21.253908547559003</v>
      </c>
      <c r="G670" s="138">
        <v>-1915.9666154793158</v>
      </c>
      <c r="H670" s="138">
        <v>-2.5004389776153602E-2</v>
      </c>
      <c r="N670" s="138"/>
      <c r="O670" s="138"/>
      <c r="P670" s="138"/>
      <c r="R670">
        <v>266.61384062666866</v>
      </c>
      <c r="S670">
        <v>57.790610789859649</v>
      </c>
      <c r="T670">
        <v>257.74602267377946</v>
      </c>
      <c r="U670">
        <v>104.16321668919673</v>
      </c>
      <c r="X670">
        <v>0.70219193030522775</v>
      </c>
      <c r="Y670">
        <v>0.77463841415885704</v>
      </c>
      <c r="Z670">
        <v>0.70584481789248377</v>
      </c>
      <c r="AA670">
        <v>0.84146760795887998</v>
      </c>
      <c r="AB670">
        <v>0.74957722963690532</v>
      </c>
      <c r="AC670">
        <v>0.6782183595504534</v>
      </c>
      <c r="AD670">
        <v>0.96758277021042072</v>
      </c>
      <c r="AE670">
        <v>0.74009911207587153</v>
      </c>
      <c r="AH670">
        <v>0.15495964886276659</v>
      </c>
      <c r="AI670">
        <v>4.5426713569582722E-2</v>
      </c>
      <c r="AJ670">
        <v>7.2767000930109127E-2</v>
      </c>
      <c r="AK670">
        <v>6.0902682132213393E-2</v>
      </c>
      <c r="AL670">
        <v>6.209000104803819E-2</v>
      </c>
      <c r="AM670">
        <v>6.0365351937290201E-2</v>
      </c>
      <c r="AN670">
        <v>5.2540921197197221E-2</v>
      </c>
      <c r="AO670">
        <v>4.8449294655160347E-2</v>
      </c>
      <c r="AR670">
        <v>8.8719743190635025E-4</v>
      </c>
      <c r="AS670">
        <v>4.5843447069333632E-3</v>
      </c>
      <c r="AT670">
        <v>9.7795769034876343E-2</v>
      </c>
      <c r="AU670">
        <v>1.9881364597342708E-3</v>
      </c>
      <c r="AV670">
        <v>2.0965597367801347E-3</v>
      </c>
      <c r="AW670">
        <v>3.5436934889461202E-3</v>
      </c>
      <c r="AX670">
        <v>2.9339533616621244E-4</v>
      </c>
      <c r="AY670">
        <v>4.1243932404333005E-4</v>
      </c>
      <c r="BB670">
        <v>5.7522943871052279E-2</v>
      </c>
      <c r="BC670">
        <v>3.9939869470418082E-2</v>
      </c>
      <c r="BE670">
        <v>35104.580706059307</v>
      </c>
      <c r="BF670">
        <v>21.22890415778285</v>
      </c>
      <c r="BG670">
        <v>37020.547321538623</v>
      </c>
      <c r="BH670">
        <v>21.253908547559003</v>
      </c>
    </row>
    <row r="671" spans="3:60" x14ac:dyDescent="0.2">
      <c r="C671" s="138">
        <v>26156.660207940928</v>
      </c>
      <c r="D671" s="138">
        <v>21.482465031875908</v>
      </c>
      <c r="E671" s="138">
        <v>28479.324751653126</v>
      </c>
      <c r="F671" s="138">
        <v>21.502973339431833</v>
      </c>
      <c r="G671" s="138">
        <v>-2322.6645437121988</v>
      </c>
      <c r="H671" s="138">
        <v>-2.0508307555925143E-2</v>
      </c>
      <c r="N671" s="138"/>
      <c r="O671" s="138"/>
      <c r="P671" s="138"/>
      <c r="R671">
        <v>55.97781839910644</v>
      </c>
      <c r="S671">
        <v>60.952034144574419</v>
      </c>
      <c r="T671">
        <v>253.10927063036195</v>
      </c>
      <c r="U671">
        <v>98.116424987797373</v>
      </c>
      <c r="X671">
        <v>0.8588582662360652</v>
      </c>
      <c r="Y671">
        <v>0.87722327529416844</v>
      </c>
      <c r="Z671">
        <v>0.72592413636312569</v>
      </c>
      <c r="AA671">
        <v>0.74019555517922986</v>
      </c>
      <c r="AB671">
        <v>0.59230528299849283</v>
      </c>
      <c r="AC671">
        <v>0.82577678780373887</v>
      </c>
      <c r="AD671">
        <v>0.73781976107430125</v>
      </c>
      <c r="AE671">
        <v>0.78296969245470283</v>
      </c>
      <c r="AH671">
        <v>4.4480173705863102E-2</v>
      </c>
      <c r="AI671">
        <v>3.6139187579901422E-2</v>
      </c>
      <c r="AJ671">
        <v>0.10479163013613868</v>
      </c>
      <c r="AK671">
        <v>9.6263127933177151E-2</v>
      </c>
      <c r="AL671">
        <v>0.1316073095282928</v>
      </c>
      <c r="AM671">
        <v>5.453122818637679E-2</v>
      </c>
      <c r="AN671">
        <v>8.8303483055756082E-2</v>
      </c>
      <c r="AO671">
        <v>0.15171721225787782</v>
      </c>
      <c r="AR671">
        <v>8.0884051555549111E-4</v>
      </c>
      <c r="AS671">
        <v>4.5891316938980742E-3</v>
      </c>
      <c r="AT671">
        <v>0.10226748667452745</v>
      </c>
      <c r="AU671">
        <v>2.1409484671395251E-3</v>
      </c>
      <c r="AV671">
        <v>1.775832000191742E-3</v>
      </c>
      <c r="AW671">
        <v>3.1712449351617767E-3</v>
      </c>
      <c r="AX671">
        <v>3.545349571672215E-4</v>
      </c>
      <c r="AY671">
        <v>5.1316413600566158E-4</v>
      </c>
      <c r="BB671">
        <v>4.6167665454043924E-2</v>
      </c>
      <c r="BC671">
        <v>6.8561602797675314E-2</v>
      </c>
      <c r="BE671">
        <v>26156.660207940928</v>
      </c>
      <c r="BF671">
        <v>21.482465031875908</v>
      </c>
      <c r="BG671">
        <v>28479.324751653126</v>
      </c>
      <c r="BH671">
        <v>21.502973339431833</v>
      </c>
    </row>
    <row r="672" spans="3:60" x14ac:dyDescent="0.2">
      <c r="C672" s="138">
        <v>42635.66504351428</v>
      </c>
      <c r="D672" s="138">
        <v>21.294855111578556</v>
      </c>
      <c r="E672" s="138">
        <v>45079.544904110131</v>
      </c>
      <c r="F672" s="138">
        <v>21.290585559123688</v>
      </c>
      <c r="G672" s="138">
        <v>-2443.8798605958509</v>
      </c>
      <c r="H672" s="138">
        <v>4.269552454868375E-3</v>
      </c>
      <c r="N672" s="138"/>
      <c r="O672" s="138"/>
      <c r="P672" s="138"/>
      <c r="R672">
        <v>264.59950510014687</v>
      </c>
      <c r="S672">
        <v>67.629043107926464</v>
      </c>
      <c r="T672">
        <v>284.06765312588618</v>
      </c>
      <c r="U672">
        <v>115.8299448935808</v>
      </c>
      <c r="X672">
        <v>0.69595238886814692</v>
      </c>
      <c r="Y672">
        <v>0.82148337776025238</v>
      </c>
      <c r="Z672">
        <v>0.92574628326183728</v>
      </c>
      <c r="AA672">
        <v>0.88968541744973195</v>
      </c>
      <c r="AB672">
        <v>0.70385696839978162</v>
      </c>
      <c r="AC672">
        <v>0.82574775103099496</v>
      </c>
      <c r="AD672">
        <v>0.60577619008191597</v>
      </c>
      <c r="AE672">
        <v>0.56088488366010525</v>
      </c>
      <c r="AH672">
        <v>0.13182680836098815</v>
      </c>
      <c r="AI672">
        <v>0.12154109217888187</v>
      </c>
      <c r="AJ672">
        <v>0.23814128844278926</v>
      </c>
      <c r="AK672">
        <v>0.24608780647111717</v>
      </c>
      <c r="AL672">
        <v>0.1020132615499737</v>
      </c>
      <c r="AM672">
        <v>5.1747106158744671E-2</v>
      </c>
      <c r="AN672">
        <v>0.21873855326466385</v>
      </c>
      <c r="AO672">
        <v>0.19831812276263627</v>
      </c>
      <c r="AR672">
        <v>8.4889619254905214E-4</v>
      </c>
      <c r="AS672">
        <v>4.3350398548231616E-3</v>
      </c>
      <c r="AT672">
        <v>0.10035217388618323</v>
      </c>
      <c r="AU672">
        <v>2.0919139814360443E-3</v>
      </c>
      <c r="AV672">
        <v>1.9201193104420738E-3</v>
      </c>
      <c r="AW672">
        <v>3.7480682879011962E-3</v>
      </c>
      <c r="AX672">
        <v>5.0207082453002094E-4</v>
      </c>
      <c r="AY672">
        <v>4.3451380313171313E-4</v>
      </c>
      <c r="BB672">
        <v>5.2317573089929237E-2</v>
      </c>
      <c r="BC672">
        <v>5.9931032346297597E-2</v>
      </c>
      <c r="BE672">
        <v>42635.66504351428</v>
      </c>
      <c r="BF672">
        <v>21.294855111578556</v>
      </c>
      <c r="BG672">
        <v>45079.544904110131</v>
      </c>
      <c r="BH672">
        <v>21.290585559123688</v>
      </c>
    </row>
    <row r="673" spans="3:60" x14ac:dyDescent="0.2">
      <c r="C673" s="138">
        <v>30944.961892150364</v>
      </c>
      <c r="D673" s="138">
        <v>20.941709739461846</v>
      </c>
      <c r="E673" s="138">
        <v>32728.411057173638</v>
      </c>
      <c r="F673" s="138">
        <v>20.933974591463336</v>
      </c>
      <c r="G673" s="138">
        <v>-1783.449165023274</v>
      </c>
      <c r="H673" s="138">
        <v>7.7351479985097171E-3</v>
      </c>
      <c r="N673" s="138"/>
      <c r="O673" s="138"/>
      <c r="P673" s="138"/>
      <c r="R673">
        <v>356.18624532469642</v>
      </c>
      <c r="S673">
        <v>68.882808390982092</v>
      </c>
      <c r="T673">
        <v>216.18563472961637</v>
      </c>
      <c r="U673">
        <v>107.76580960555141</v>
      </c>
      <c r="X673">
        <v>0.81991379964472411</v>
      </c>
      <c r="Y673">
        <v>0.41976897881042302</v>
      </c>
      <c r="Z673">
        <v>0.58763094343794131</v>
      </c>
      <c r="AA673">
        <v>0.89607560481637338</v>
      </c>
      <c r="AB673">
        <v>0.73820463920076484</v>
      </c>
      <c r="AC673">
        <v>0.83297284200280408</v>
      </c>
      <c r="AD673">
        <v>0.78371641005145298</v>
      </c>
      <c r="AE673">
        <v>0.80914383716187033</v>
      </c>
      <c r="AH673">
        <v>0.1516101323590211</v>
      </c>
      <c r="AI673">
        <v>0.17007834643725972</v>
      </c>
      <c r="AJ673">
        <v>0.1735420014705138</v>
      </c>
      <c r="AK673">
        <v>0.13202881696926594</v>
      </c>
      <c r="AL673">
        <v>7.060190545295808E-2</v>
      </c>
      <c r="AM673">
        <v>6.6556265725211561E-2</v>
      </c>
      <c r="AN673">
        <v>3.9977966203601389E-2</v>
      </c>
      <c r="AO673">
        <v>0.1531474207850233</v>
      </c>
      <c r="AR673">
        <v>9.2826217183461512E-4</v>
      </c>
      <c r="AS673">
        <v>3.987704671018338E-3</v>
      </c>
      <c r="AT673">
        <v>9.9362616559157957E-2</v>
      </c>
      <c r="AU673">
        <v>1.8334128598277597E-3</v>
      </c>
      <c r="AV673">
        <v>1.8628188039976569E-3</v>
      </c>
      <c r="AW673">
        <v>3.6540199058333611E-3</v>
      </c>
      <c r="AX673">
        <v>4.2997811528755481E-4</v>
      </c>
      <c r="AY673">
        <v>3.9441067618024568E-4</v>
      </c>
      <c r="BB673">
        <v>4.9013924194748822E-2</v>
      </c>
      <c r="BC673">
        <v>2.2987572440009117E-2</v>
      </c>
      <c r="BE673">
        <v>30944.961892150364</v>
      </c>
      <c r="BF673">
        <v>20.941709739461846</v>
      </c>
      <c r="BG673">
        <v>32728.411057173638</v>
      </c>
      <c r="BH673">
        <v>20.933974591463336</v>
      </c>
    </row>
    <row r="674" spans="3:60" x14ac:dyDescent="0.2">
      <c r="C674" s="138">
        <v>32002.621782095815</v>
      </c>
      <c r="D674" s="138">
        <v>21.349874848862235</v>
      </c>
      <c r="E674" s="138">
        <v>33862.163526746539</v>
      </c>
      <c r="F674" s="138">
        <v>21.33972733583785</v>
      </c>
      <c r="G674" s="138">
        <v>-1859.5417446507236</v>
      </c>
      <c r="H674" s="138">
        <v>1.0147513024385546E-2</v>
      </c>
      <c r="N674" s="138"/>
      <c r="O674" s="138"/>
      <c r="P674" s="138"/>
      <c r="R674">
        <v>236.77952553616981</v>
      </c>
      <c r="S674">
        <v>69.957670362383212</v>
      </c>
      <c r="T674">
        <v>268.28563837218951</v>
      </c>
      <c r="U674">
        <v>87.19157393026552</v>
      </c>
      <c r="X674">
        <v>0.83021696976739012</v>
      </c>
      <c r="Y674">
        <v>0.84919693759471926</v>
      </c>
      <c r="Z674">
        <v>0.85572949423366185</v>
      </c>
      <c r="AA674">
        <v>0.85002349200187277</v>
      </c>
      <c r="AB674">
        <v>0.71193746506499389</v>
      </c>
      <c r="AC674">
        <v>0.63961485613503055</v>
      </c>
      <c r="AD674">
        <v>0.70733955179191332</v>
      </c>
      <c r="AE674">
        <v>0.79010104994965136</v>
      </c>
      <c r="AH674">
        <v>8.4630795207824461E-2</v>
      </c>
      <c r="AI674">
        <v>6.537036769250526E-2</v>
      </c>
      <c r="AJ674">
        <v>0.37209034909573224</v>
      </c>
      <c r="AK674">
        <v>0.16025674314161908</v>
      </c>
      <c r="AL674">
        <v>8.7938739157872758E-2</v>
      </c>
      <c r="AM674">
        <v>0.1337407916670551</v>
      </c>
      <c r="AN674">
        <v>6.2596783221980035E-2</v>
      </c>
      <c r="AO674">
        <v>0.36582697248410823</v>
      </c>
      <c r="AR674">
        <v>9.1687215164892866E-4</v>
      </c>
      <c r="AS674">
        <v>4.7748778864526997E-3</v>
      </c>
      <c r="AT674">
        <v>9.9205885465455224E-2</v>
      </c>
      <c r="AU674">
        <v>1.7829390083169883E-3</v>
      </c>
      <c r="AV674">
        <v>1.9369784832365443E-3</v>
      </c>
      <c r="AW674">
        <v>3.4474077116330992E-3</v>
      </c>
      <c r="AX674">
        <v>3.9150289322131495E-4</v>
      </c>
      <c r="AY674">
        <v>4.148681574750053E-4</v>
      </c>
      <c r="BB674">
        <v>4.861887863745476E-2</v>
      </c>
      <c r="BC674">
        <v>3.467235708957745E-2</v>
      </c>
      <c r="BE674">
        <v>32002.621782095815</v>
      </c>
      <c r="BF674">
        <v>21.349874848862235</v>
      </c>
      <c r="BG674">
        <v>33862.163526746539</v>
      </c>
      <c r="BH674">
        <v>21.33972733583785</v>
      </c>
    </row>
    <row r="675" spans="3:60" x14ac:dyDescent="0.2">
      <c r="C675" s="138">
        <v>25628.717056252048</v>
      </c>
      <c r="D675" s="138">
        <v>20.848920971444141</v>
      </c>
      <c r="E675" s="138">
        <v>27278.804919889037</v>
      </c>
      <c r="F675" s="138">
        <v>20.834273483337007</v>
      </c>
      <c r="G675" s="138">
        <v>-1650.0878636369889</v>
      </c>
      <c r="H675" s="138">
        <v>1.4647488107133455E-2</v>
      </c>
      <c r="N675" s="138"/>
      <c r="O675" s="138"/>
      <c r="P675" s="138"/>
      <c r="R675">
        <v>338.41227926476972</v>
      </c>
      <c r="S675">
        <v>63.871271568166158</v>
      </c>
      <c r="T675">
        <v>195.18130859228614</v>
      </c>
      <c r="U675">
        <v>115.82814540321402</v>
      </c>
      <c r="X675">
        <v>0.82992844282363021</v>
      </c>
      <c r="Y675">
        <v>0.63087948767502011</v>
      </c>
      <c r="Z675">
        <v>0.58824149700832673</v>
      </c>
      <c r="AA675">
        <v>0.59003649269591518</v>
      </c>
      <c r="AB675">
        <v>0.69356423560413016</v>
      </c>
      <c r="AC675">
        <v>0.61240637814488164</v>
      </c>
      <c r="AD675">
        <v>0.75861557993025275</v>
      </c>
      <c r="AE675">
        <v>0.69707257735040296</v>
      </c>
      <c r="AH675">
        <v>8.5266834664409652E-2</v>
      </c>
      <c r="AI675">
        <v>0.2292896836195405</v>
      </c>
      <c r="AJ675">
        <v>0.11218670967483635</v>
      </c>
      <c r="AK675">
        <v>0.15319472546561619</v>
      </c>
      <c r="AL675">
        <v>3.5630016304035395E-2</v>
      </c>
      <c r="AM675">
        <v>2.7295740206478181E-2</v>
      </c>
      <c r="AN675">
        <v>0.13383231597528444</v>
      </c>
      <c r="AO675">
        <v>0.21501476751508686</v>
      </c>
      <c r="AR675">
        <v>9.7212608961849689E-4</v>
      </c>
      <c r="AS675">
        <v>4.7781377795922397E-3</v>
      </c>
      <c r="AT675">
        <v>0.10114342673927768</v>
      </c>
      <c r="AU675">
        <v>2.0026665133425769E-3</v>
      </c>
      <c r="AV675">
        <v>2.0121413012725853E-3</v>
      </c>
      <c r="AW675">
        <v>3.4395911781712751E-3</v>
      </c>
      <c r="AX675">
        <v>3.9592996842309995E-4</v>
      </c>
      <c r="AY675">
        <v>4.343478132757856E-4</v>
      </c>
      <c r="BB675">
        <v>4.3622709212434975E-2</v>
      </c>
      <c r="BC675">
        <v>2.6635390948922751E-2</v>
      </c>
      <c r="BE675">
        <v>25628.717056252048</v>
      </c>
      <c r="BF675">
        <v>20.848920971444141</v>
      </c>
      <c r="BG675">
        <v>27278.804919889037</v>
      </c>
      <c r="BH675">
        <v>20.834273483337007</v>
      </c>
    </row>
    <row r="676" spans="3:60" x14ac:dyDescent="0.2">
      <c r="C676" s="138">
        <v>29080.425984848851</v>
      </c>
      <c r="D676" s="138">
        <v>21.590038254917264</v>
      </c>
      <c r="E676" s="138">
        <v>31425.693240758501</v>
      </c>
      <c r="F676" s="138">
        <v>21.597968747627053</v>
      </c>
      <c r="G676" s="138">
        <v>-2345.26725590965</v>
      </c>
      <c r="H676" s="138">
        <v>-7.9304927097894051E-3</v>
      </c>
      <c r="N676" s="138"/>
      <c r="O676" s="138"/>
      <c r="P676" s="138"/>
      <c r="R676">
        <v>10.236261497161962</v>
      </c>
      <c r="S676">
        <v>64.522597370565066</v>
      </c>
      <c r="T676">
        <v>239.37149668297505</v>
      </c>
      <c r="U676">
        <v>92.500662494246157</v>
      </c>
      <c r="X676">
        <v>0.82778215931960708</v>
      </c>
      <c r="Y676">
        <v>0.84800788446076036</v>
      </c>
      <c r="Z676">
        <v>0.6683091005012457</v>
      </c>
      <c r="AA676">
        <v>0.57843386406694364</v>
      </c>
      <c r="AB676">
        <v>0.69287844712371194</v>
      </c>
      <c r="AC676">
        <v>0.63048291151221136</v>
      </c>
      <c r="AD676">
        <v>0.593780155646501</v>
      </c>
      <c r="AE676">
        <v>0.62437354575166704</v>
      </c>
      <c r="AH676">
        <v>9.4235730362697279E-2</v>
      </c>
      <c r="AI676">
        <v>6.3085983654385225E-2</v>
      </c>
      <c r="AJ676">
        <v>4.507577395127893E-2</v>
      </c>
      <c r="AK676">
        <v>0.11490871220883403</v>
      </c>
      <c r="AL676">
        <v>0.11928256178163699</v>
      </c>
      <c r="AM676">
        <v>0.18730559380898859</v>
      </c>
      <c r="AN676">
        <v>9.4553844936861253E-2</v>
      </c>
      <c r="AO676">
        <v>9.3269511490751134E-3</v>
      </c>
      <c r="AR676">
        <v>8.0600580792058974E-4</v>
      </c>
      <c r="AS676">
        <v>4.4007412104669309E-3</v>
      </c>
      <c r="AT676">
        <v>9.9860582636158199E-2</v>
      </c>
      <c r="AU676">
        <v>1.8201925709760746E-3</v>
      </c>
      <c r="AV676">
        <v>1.9164342825951613E-3</v>
      </c>
      <c r="AW676">
        <v>3.3132907004941076E-3</v>
      </c>
      <c r="AX676">
        <v>3.5929818681019869E-4</v>
      </c>
      <c r="AY676">
        <v>4.3041253717388851E-4</v>
      </c>
      <c r="BB676">
        <v>5.4924549415954593E-2</v>
      </c>
      <c r="BC676">
        <v>5.6942817697603787E-2</v>
      </c>
      <c r="BE676">
        <v>29080.425984848851</v>
      </c>
      <c r="BF676">
        <v>21.590038254917264</v>
      </c>
      <c r="BG676">
        <v>31425.693240758501</v>
      </c>
      <c r="BH676">
        <v>21.597968747627053</v>
      </c>
    </row>
    <row r="677" spans="3:60" x14ac:dyDescent="0.2">
      <c r="C677" s="138">
        <v>30320.945621148872</v>
      </c>
      <c r="D677" s="138">
        <v>20.937516108917496</v>
      </c>
      <c r="E677" s="138">
        <v>32327.437756559499</v>
      </c>
      <c r="F677" s="138">
        <v>20.935040801162629</v>
      </c>
      <c r="G677" s="138">
        <v>-2006.4921354106264</v>
      </c>
      <c r="H677" s="138">
        <v>2.475307754867373E-3</v>
      </c>
      <c r="N677" s="138"/>
      <c r="O677" s="138"/>
      <c r="P677" s="138"/>
      <c r="R677">
        <v>306.67594996611348</v>
      </c>
      <c r="S677">
        <v>57.050981940594092</v>
      </c>
      <c r="T677">
        <v>264.35610340731102</v>
      </c>
      <c r="U677">
        <v>81.648057039088386</v>
      </c>
      <c r="X677">
        <v>0.69329905209802511</v>
      </c>
      <c r="Y677">
        <v>0.46941567394848094</v>
      </c>
      <c r="Z677">
        <v>0.85980383663986149</v>
      </c>
      <c r="AA677">
        <v>0.70388528727829336</v>
      </c>
      <c r="AB677">
        <v>0.84664988619557435</v>
      </c>
      <c r="AC677">
        <v>0.78308877344642314</v>
      </c>
      <c r="AD677">
        <v>0.52934196850840176</v>
      </c>
      <c r="AE677">
        <v>0.66596983518532571</v>
      </c>
      <c r="AH677">
        <v>8.2164621114162228E-2</v>
      </c>
      <c r="AI677">
        <v>0.19942043517810659</v>
      </c>
      <c r="AJ677">
        <v>4.2006016291446735E-2</v>
      </c>
      <c r="AK677">
        <v>7.6497196354296637E-2</v>
      </c>
      <c r="AL677">
        <v>4.3382391603996595E-2</v>
      </c>
      <c r="AM677">
        <v>0.14855776452523728</v>
      </c>
      <c r="AN677">
        <v>0.16284613726402875</v>
      </c>
      <c r="AO677">
        <v>4.2971138046338675E-2</v>
      </c>
      <c r="AR677">
        <v>8.9345885088709665E-4</v>
      </c>
      <c r="AS677">
        <v>4.406376095356138E-3</v>
      </c>
      <c r="AT677">
        <v>0.10033346252252917</v>
      </c>
      <c r="AU677">
        <v>2.2001622060372483E-3</v>
      </c>
      <c r="AV677">
        <v>1.9692405738501052E-3</v>
      </c>
      <c r="AW677">
        <v>3.5914578685565246E-3</v>
      </c>
      <c r="AX677">
        <v>3.017561630521012E-4</v>
      </c>
      <c r="AY677">
        <v>4.948488656608685E-4</v>
      </c>
      <c r="BB677">
        <v>4.7331101716644827E-2</v>
      </c>
      <c r="BC677">
        <v>3.6523254718672939E-2</v>
      </c>
      <c r="BE677">
        <v>30320.945621148872</v>
      </c>
      <c r="BF677">
        <v>20.937516108917496</v>
      </c>
      <c r="BG677">
        <v>32327.437756559499</v>
      </c>
      <c r="BH677">
        <v>20.935040801162629</v>
      </c>
    </row>
    <row r="678" spans="3:60" x14ac:dyDescent="0.2">
      <c r="C678" s="138">
        <v>26144.072253893039</v>
      </c>
      <c r="D678" s="138">
        <v>21.3102909403975</v>
      </c>
      <c r="E678" s="138">
        <v>28009.931868621032</v>
      </c>
      <c r="F678" s="138">
        <v>21.283823613639612</v>
      </c>
      <c r="G678" s="138">
        <v>-1865.8596147279932</v>
      </c>
      <c r="H678" s="138">
        <v>2.6467326757888543E-2</v>
      </c>
      <c r="N678" s="138"/>
      <c r="O678" s="138"/>
      <c r="P678" s="138"/>
      <c r="R678">
        <v>239.71158213288669</v>
      </c>
      <c r="S678">
        <v>65.602334560285158</v>
      </c>
      <c r="T678">
        <v>228.13552580903743</v>
      </c>
      <c r="U678">
        <v>84.158363797702023</v>
      </c>
      <c r="X678">
        <v>0.75121533663545581</v>
      </c>
      <c r="Y678">
        <v>0.81449723644173622</v>
      </c>
      <c r="Z678">
        <v>0.89642291261618168</v>
      </c>
      <c r="AA678">
        <v>0.74335863173518058</v>
      </c>
      <c r="AB678">
        <v>0.69536839108339099</v>
      </c>
      <c r="AC678">
        <v>0.80327112453754501</v>
      </c>
      <c r="AD678">
        <v>0.9280227800974572</v>
      </c>
      <c r="AE678">
        <v>0.59933998050364801</v>
      </c>
      <c r="AH678">
        <v>3.7757799690473104E-2</v>
      </c>
      <c r="AI678">
        <v>4.3711931598059417E-2</v>
      </c>
      <c r="AJ678">
        <v>6.7404310300328563E-3</v>
      </c>
      <c r="AK678">
        <v>0.1893528158351101</v>
      </c>
      <c r="AL678">
        <v>0.13362107020269332</v>
      </c>
      <c r="AM678">
        <v>0.11941298977132331</v>
      </c>
      <c r="AN678">
        <v>7.8355572160136111E-2</v>
      </c>
      <c r="AO678">
        <v>1.2419168415376935E-2</v>
      </c>
      <c r="AR678">
        <v>8.07017261327748E-4</v>
      </c>
      <c r="AS678">
        <v>4.2439008905346591E-3</v>
      </c>
      <c r="AT678">
        <v>0.10046273878042378</v>
      </c>
      <c r="AU678">
        <v>2.096595385417066E-3</v>
      </c>
      <c r="AV678">
        <v>2.0180977163475333E-3</v>
      </c>
      <c r="AW678">
        <v>3.22315414189958E-3</v>
      </c>
      <c r="AX678">
        <v>4.2437216511359566E-4</v>
      </c>
      <c r="AY678">
        <v>4.5768450789873683E-4</v>
      </c>
      <c r="BB678">
        <v>4.447683808255256E-2</v>
      </c>
      <c r="BC678">
        <v>2.416496817393211E-2</v>
      </c>
      <c r="BE678">
        <v>26144.072253893039</v>
      </c>
      <c r="BF678">
        <v>21.3102909403975</v>
      </c>
      <c r="BG678">
        <v>28009.931868621032</v>
      </c>
      <c r="BH678">
        <v>21.283823613639612</v>
      </c>
    </row>
    <row r="679" spans="3:60" x14ac:dyDescent="0.2">
      <c r="C679" s="138">
        <v>29262.364325424456</v>
      </c>
      <c r="D679" s="138">
        <v>20.728579851043019</v>
      </c>
      <c r="E679" s="138">
        <v>31529.651725555876</v>
      </c>
      <c r="F679" s="138">
        <v>20.719516376566677</v>
      </c>
      <c r="G679" s="138">
        <v>-2267.2874001314194</v>
      </c>
      <c r="H679" s="138">
        <v>9.0634744763420372E-3</v>
      </c>
      <c r="N679" s="138"/>
      <c r="O679" s="138"/>
      <c r="P679" s="138"/>
      <c r="R679">
        <v>198.35606488721231</v>
      </c>
      <c r="S679">
        <v>63.951707603929172</v>
      </c>
      <c r="T679">
        <v>199.03670493317006</v>
      </c>
      <c r="U679">
        <v>86.809037593627878</v>
      </c>
      <c r="X679">
        <v>0.74390124430620097</v>
      </c>
      <c r="Y679">
        <v>0.79479322744537328</v>
      </c>
      <c r="Z679">
        <v>0.53372871302149383</v>
      </c>
      <c r="AA679">
        <v>0.67635302898123273</v>
      </c>
      <c r="AB679">
        <v>0.85692557524710233</v>
      </c>
      <c r="AC679">
        <v>0.637161262707724</v>
      </c>
      <c r="AD679">
        <v>0.5489899028269638</v>
      </c>
      <c r="AE679">
        <v>0.58270442809461309</v>
      </c>
      <c r="AH679">
        <v>7.7857580795354986E-2</v>
      </c>
      <c r="AI679">
        <v>7.9270231552768466E-2</v>
      </c>
      <c r="AJ679">
        <v>3.4257413851072283E-2</v>
      </c>
      <c r="AK679">
        <v>0.23184101500265886</v>
      </c>
      <c r="AL679">
        <v>9.1304882015591948E-2</v>
      </c>
      <c r="AM679">
        <v>0.12963833260657409</v>
      </c>
      <c r="AN679">
        <v>5.7652252317782482E-2</v>
      </c>
      <c r="AO679">
        <v>0.26091654474503112</v>
      </c>
      <c r="AR679">
        <v>7.208001086264407E-4</v>
      </c>
      <c r="AS679">
        <v>4.8757340614895561E-3</v>
      </c>
      <c r="AT679">
        <v>0.10106502625308156</v>
      </c>
      <c r="AU679">
        <v>2.1859423439463121E-3</v>
      </c>
      <c r="AV679">
        <v>1.8158380048684261E-3</v>
      </c>
      <c r="AW679">
        <v>3.3840814794597355E-3</v>
      </c>
      <c r="AX679">
        <v>4.1770120233697305E-4</v>
      </c>
      <c r="AY679">
        <v>4.7346401760817169E-4</v>
      </c>
      <c r="BB679">
        <v>4.9986105740257747E-2</v>
      </c>
      <c r="BC679">
        <v>2.2022126243070036E-2</v>
      </c>
      <c r="BE679">
        <v>29262.364325424456</v>
      </c>
      <c r="BF679">
        <v>20.728579851043019</v>
      </c>
      <c r="BG679">
        <v>31529.651725555876</v>
      </c>
      <c r="BH679">
        <v>20.719516376566677</v>
      </c>
    </row>
    <row r="680" spans="3:60" x14ac:dyDescent="0.2">
      <c r="C680" s="138">
        <v>30306.293091599055</v>
      </c>
      <c r="D680" s="138">
        <v>21.208554392145949</v>
      </c>
      <c r="E680" s="138">
        <v>31821.4222789901</v>
      </c>
      <c r="F680" s="138">
        <v>21.177643973667141</v>
      </c>
      <c r="G680" s="138">
        <v>-1515.129187391045</v>
      </c>
      <c r="H680" s="138">
        <v>3.09104184788076E-2</v>
      </c>
      <c r="N680" s="138"/>
      <c r="O680" s="138"/>
      <c r="P680" s="138"/>
      <c r="R680">
        <v>429.14798711853109</v>
      </c>
      <c r="S680">
        <v>63.28817357822976</v>
      </c>
      <c r="T680">
        <v>241.79106274032904</v>
      </c>
      <c r="U680">
        <v>111.91230647082716</v>
      </c>
      <c r="X680">
        <v>0.32768543353531082</v>
      </c>
      <c r="Y680">
        <v>0.6094709883967574</v>
      </c>
      <c r="Z680">
        <v>0.7678952505636828</v>
      </c>
      <c r="AA680">
        <v>0.64412067060881861</v>
      </c>
      <c r="AB680">
        <v>0.69281331652163958</v>
      </c>
      <c r="AC680">
        <v>0.83490969547695093</v>
      </c>
      <c r="AD680">
        <v>0.84499834652020833</v>
      </c>
      <c r="AE680">
        <v>0.87630469676070577</v>
      </c>
      <c r="AH680">
        <v>0.19219065342420338</v>
      </c>
      <c r="AI680">
        <v>4.9757416262616871E-2</v>
      </c>
      <c r="AJ680">
        <v>5.7638450443593059E-2</v>
      </c>
      <c r="AK680">
        <v>3.5434820174873538E-2</v>
      </c>
      <c r="AL680">
        <v>4.0267772610935171E-2</v>
      </c>
      <c r="AM680">
        <v>1.7512613359886409E-2</v>
      </c>
      <c r="AN680">
        <v>0.17240053408619416</v>
      </c>
      <c r="AO680">
        <v>0.20515471098196558</v>
      </c>
      <c r="AR680">
        <v>9.9214216694776258E-4</v>
      </c>
      <c r="AS680">
        <v>4.550399964832974E-3</v>
      </c>
      <c r="AT680">
        <v>9.910018791393703E-2</v>
      </c>
      <c r="AU680">
        <v>1.9392015382934309E-3</v>
      </c>
      <c r="AV680">
        <v>2.1656300514221183E-3</v>
      </c>
      <c r="AW680">
        <v>3.4701739224731742E-3</v>
      </c>
      <c r="AX680">
        <v>5.1244876554534802E-4</v>
      </c>
      <c r="AY680">
        <v>5.0547688992474971E-4</v>
      </c>
      <c r="BB680">
        <v>5.8098202742785321E-2</v>
      </c>
      <c r="BC680">
        <v>5.6040301712322216E-2</v>
      </c>
      <c r="BE680">
        <v>30306.293091599055</v>
      </c>
      <c r="BF680">
        <v>21.208554392145949</v>
      </c>
      <c r="BG680">
        <v>31821.4222789901</v>
      </c>
      <c r="BH680">
        <v>21.177643973667141</v>
      </c>
    </row>
    <row r="681" spans="3:60" x14ac:dyDescent="0.2">
      <c r="C681" s="138">
        <v>27431.471894755749</v>
      </c>
      <c r="D681" s="138">
        <v>21.327403321014742</v>
      </c>
      <c r="E681" s="138">
        <v>29365.664688833993</v>
      </c>
      <c r="F681" s="138">
        <v>21.325549491178624</v>
      </c>
      <c r="G681" s="138">
        <v>-1934.1927940782443</v>
      </c>
      <c r="H681" s="138">
        <v>1.8538298361185923E-3</v>
      </c>
      <c r="N681" s="138"/>
      <c r="O681" s="138"/>
      <c r="P681" s="138"/>
      <c r="R681">
        <v>188.70170304648497</v>
      </c>
      <c r="S681">
        <v>63.690154541806834</v>
      </c>
      <c r="T681">
        <v>254.74638361581199</v>
      </c>
      <c r="U681">
        <v>83.998472805317661</v>
      </c>
      <c r="X681">
        <v>0.69213766367569229</v>
      </c>
      <c r="Y681">
        <v>0.86801345682795339</v>
      </c>
      <c r="Z681">
        <v>0.829012523865988</v>
      </c>
      <c r="AA681">
        <v>0.81527379503420172</v>
      </c>
      <c r="AB681">
        <v>0.74640685884328295</v>
      </c>
      <c r="AC681">
        <v>0.78883133492628632</v>
      </c>
      <c r="AD681">
        <v>0.77701286491239585</v>
      </c>
      <c r="AE681">
        <v>0.68219618324271758</v>
      </c>
      <c r="AH681">
        <v>2.7127896371528681E-2</v>
      </c>
      <c r="AI681">
        <v>0.13429389468166208</v>
      </c>
      <c r="AJ681">
        <v>4.3496641345315945E-2</v>
      </c>
      <c r="AK681">
        <v>0.12197151925203553</v>
      </c>
      <c r="AL681">
        <v>9.6699531116025472E-2</v>
      </c>
      <c r="AM681">
        <v>2.74728234265329E-2</v>
      </c>
      <c r="AN681">
        <v>0.14789146659082042</v>
      </c>
      <c r="AO681">
        <v>0.10145141205353503</v>
      </c>
      <c r="AR681">
        <v>9.6969440472582935E-4</v>
      </c>
      <c r="AS681">
        <v>4.5165535197945195E-3</v>
      </c>
      <c r="AT681">
        <v>9.9075282532552017E-2</v>
      </c>
      <c r="AU681">
        <v>1.8462759379628542E-3</v>
      </c>
      <c r="AV681">
        <v>1.9852857690291969E-3</v>
      </c>
      <c r="AW681">
        <v>3.3314025668256951E-3</v>
      </c>
      <c r="AX681">
        <v>3.8428320336178663E-4</v>
      </c>
      <c r="AY681">
        <v>3.3413806474757437E-4</v>
      </c>
      <c r="BB681">
        <v>5.073313270679225E-2</v>
      </c>
      <c r="BC681">
        <v>7.7014510269628356E-2</v>
      </c>
      <c r="BE681">
        <v>27431.471894755749</v>
      </c>
      <c r="BF681">
        <v>21.327403321014742</v>
      </c>
      <c r="BG681">
        <v>29365.664688833993</v>
      </c>
      <c r="BH681">
        <v>21.325549491178624</v>
      </c>
    </row>
    <row r="682" spans="3:60" x14ac:dyDescent="0.2">
      <c r="C682" s="138">
        <v>27066.203425879532</v>
      </c>
      <c r="D682" s="138">
        <v>20.776448782278496</v>
      </c>
      <c r="E682" s="138">
        <v>28738.089034728597</v>
      </c>
      <c r="F682" s="138">
        <v>20.768038684204438</v>
      </c>
      <c r="G682" s="138">
        <v>-1671.8856088490647</v>
      </c>
      <c r="H682" s="138">
        <v>8.4100980740586806E-3</v>
      </c>
      <c r="N682" s="138"/>
      <c r="O682" s="138"/>
      <c r="P682" s="138"/>
      <c r="R682">
        <v>453.10015807327085</v>
      </c>
      <c r="S682">
        <v>55.82379706038104</v>
      </c>
      <c r="T682">
        <v>258.82409072609016</v>
      </c>
      <c r="U682">
        <v>102.61510466991601</v>
      </c>
      <c r="X682">
        <v>0.83667706926565022</v>
      </c>
      <c r="Y682">
        <v>0.33252943657968836</v>
      </c>
      <c r="Z682">
        <v>0.92026510873002987</v>
      </c>
      <c r="AA682">
        <v>0.6480558453153058</v>
      </c>
      <c r="AB682">
        <v>0.89872417508547309</v>
      </c>
      <c r="AC682">
        <v>0.95735280336399431</v>
      </c>
      <c r="AD682">
        <v>0.60819739034872922</v>
      </c>
      <c r="AE682">
        <v>0.84561897536586517</v>
      </c>
      <c r="AH682">
        <v>0.12275168730631014</v>
      </c>
      <c r="AI682">
        <v>7.9530665553724456E-2</v>
      </c>
      <c r="AJ682">
        <v>0.11275355635280027</v>
      </c>
      <c r="AK682">
        <v>6.6499964538253131E-2</v>
      </c>
      <c r="AL682">
        <v>3.7591777922863168E-2</v>
      </c>
      <c r="AM682">
        <v>0.12592204991713651</v>
      </c>
      <c r="AN682">
        <v>0.11740928460357947</v>
      </c>
      <c r="AO682">
        <v>0.23981433210729775</v>
      </c>
      <c r="AR682">
        <v>8.4314896175912237E-4</v>
      </c>
      <c r="AS682">
        <v>4.3858257957640539E-3</v>
      </c>
      <c r="AT682">
        <v>9.7443521599450841E-2</v>
      </c>
      <c r="AU682">
        <v>2.2294715852965163E-3</v>
      </c>
      <c r="AV682">
        <v>1.8593731341377247E-3</v>
      </c>
      <c r="AW682">
        <v>3.4265086878725315E-3</v>
      </c>
      <c r="AX682">
        <v>3.711494699293001E-4</v>
      </c>
      <c r="AY682">
        <v>4.2496333523553686E-4</v>
      </c>
      <c r="BB682">
        <v>4.8237412175165098E-2</v>
      </c>
      <c r="BC682">
        <v>0.12423466897868407</v>
      </c>
      <c r="BE682">
        <v>27066.203425879532</v>
      </c>
      <c r="BF682">
        <v>20.776448782278496</v>
      </c>
      <c r="BG682">
        <v>28738.089034728597</v>
      </c>
      <c r="BH682">
        <v>20.768038684204438</v>
      </c>
    </row>
    <row r="683" spans="3:60" x14ac:dyDescent="0.2">
      <c r="C683" s="138">
        <v>26711.945135338025</v>
      </c>
      <c r="D683" s="138">
        <v>19.895107359133338</v>
      </c>
      <c r="E683" s="138">
        <v>28752.857528051511</v>
      </c>
      <c r="F683" s="138">
        <v>19.806064027174745</v>
      </c>
      <c r="G683" s="138">
        <v>-2040.912392713486</v>
      </c>
      <c r="H683" s="138">
        <v>8.9043331958592375E-2</v>
      </c>
      <c r="N683" s="138"/>
      <c r="O683" s="138"/>
      <c r="P683" s="138"/>
      <c r="R683">
        <v>128.31899694932704</v>
      </c>
      <c r="S683">
        <v>62.226557967568937</v>
      </c>
      <c r="T683">
        <v>237.02359252723338</v>
      </c>
      <c r="U683">
        <v>71.421682140647732</v>
      </c>
      <c r="X683">
        <v>0.79675634633790116</v>
      </c>
      <c r="Y683">
        <v>0.64191770470405396</v>
      </c>
      <c r="Z683">
        <v>0.92818132533860231</v>
      </c>
      <c r="AA683">
        <v>0.72171853599940605</v>
      </c>
      <c r="AB683">
        <v>0.86432620669179816</v>
      </c>
      <c r="AC683">
        <v>0.67317631791155863</v>
      </c>
      <c r="AD683">
        <v>0.70875445479623067</v>
      </c>
      <c r="AE683">
        <v>0.72494847041632937</v>
      </c>
      <c r="AH683">
        <v>0.17275121713340991</v>
      </c>
      <c r="AI683">
        <v>0.12954159140609078</v>
      </c>
      <c r="AJ683">
        <v>4.740920349639699E-2</v>
      </c>
      <c r="AK683">
        <v>8.6497010775427596E-2</v>
      </c>
      <c r="AL683">
        <v>4.5944540585249549E-2</v>
      </c>
      <c r="AM683">
        <v>0.1106993989704339</v>
      </c>
      <c r="AN683">
        <v>6.2871170869053472E-2</v>
      </c>
      <c r="AO683">
        <v>9.8464619456466784E-2</v>
      </c>
      <c r="AR683">
        <v>7.7417014416569026E-4</v>
      </c>
      <c r="AS683">
        <v>4.5299464777700527E-3</v>
      </c>
      <c r="AT683">
        <v>9.7719789752590908E-2</v>
      </c>
      <c r="AU683">
        <v>1.7126850177769202E-3</v>
      </c>
      <c r="AV683">
        <v>2.0551385416620604E-3</v>
      </c>
      <c r="AW683">
        <v>3.7962159795242867E-3</v>
      </c>
      <c r="AX683">
        <v>4.0150877476952118E-4</v>
      </c>
      <c r="AY683">
        <v>3.0159378171784167E-4</v>
      </c>
      <c r="BB683">
        <v>5.0012602290410491E-2</v>
      </c>
      <c r="BC683">
        <v>4.8099763484819369E-2</v>
      </c>
      <c r="BE683">
        <v>26711.945135338025</v>
      </c>
      <c r="BF683">
        <v>19.895107359133338</v>
      </c>
      <c r="BG683">
        <v>28752.857528051511</v>
      </c>
      <c r="BH683">
        <v>19.806064027174745</v>
      </c>
    </row>
    <row r="684" spans="3:60" x14ac:dyDescent="0.2">
      <c r="C684" s="138">
        <v>30077.490987907924</v>
      </c>
      <c r="D684" s="138">
        <v>21.431706154380528</v>
      </c>
      <c r="E684" s="138">
        <v>32441.723503669142</v>
      </c>
      <c r="F684" s="138">
        <v>21.458811518668554</v>
      </c>
      <c r="G684" s="138">
        <v>-2364.2325157612177</v>
      </c>
      <c r="H684" s="138">
        <v>-2.7105364288026124E-2</v>
      </c>
      <c r="N684" s="138"/>
      <c r="O684" s="138"/>
      <c r="P684" s="138"/>
      <c r="R684">
        <v>274.64681970116385</v>
      </c>
      <c r="S684">
        <v>55.007461008536389</v>
      </c>
      <c r="T684">
        <v>227.44288092316953</v>
      </c>
      <c r="U684">
        <v>90.716684388060798</v>
      </c>
      <c r="X684">
        <v>0.73773063608195089</v>
      </c>
      <c r="Y684">
        <v>0.84544735242658253</v>
      </c>
      <c r="Z684">
        <v>0.80816731181685308</v>
      </c>
      <c r="AA684">
        <v>0.85567029894716917</v>
      </c>
      <c r="AB684">
        <v>0.49990666051153027</v>
      </c>
      <c r="AC684">
        <v>0.677293382465329</v>
      </c>
      <c r="AD684">
        <v>0.86742367535752063</v>
      </c>
      <c r="AE684">
        <v>0.85322298630806692</v>
      </c>
      <c r="AH684">
        <v>0.13662612488219361</v>
      </c>
      <c r="AI684">
        <v>4.1610700230242825E-2</v>
      </c>
      <c r="AJ684">
        <v>4.920921729238259E-2</v>
      </c>
      <c r="AK684">
        <v>0.23424050660728668</v>
      </c>
      <c r="AL684">
        <v>0.1125782094232346</v>
      </c>
      <c r="AM684">
        <v>4.6011742458964777E-2</v>
      </c>
      <c r="AN684">
        <v>3.7415166550307744E-2</v>
      </c>
      <c r="AO684">
        <v>3.7267942069308724E-2</v>
      </c>
      <c r="AR684">
        <v>8.8476180603345978E-4</v>
      </c>
      <c r="AS684">
        <v>4.178670251942255E-3</v>
      </c>
      <c r="AT684">
        <v>9.9404807087193431E-2</v>
      </c>
      <c r="AU684">
        <v>1.8483964287232277E-3</v>
      </c>
      <c r="AV684">
        <v>1.9887386807565101E-3</v>
      </c>
      <c r="AW684">
        <v>3.2950014896460031E-3</v>
      </c>
      <c r="AX684">
        <v>4.6779210875058652E-4</v>
      </c>
      <c r="AY684">
        <v>5.0527344762252291E-4</v>
      </c>
      <c r="BB684">
        <v>5.5702553253979104E-2</v>
      </c>
      <c r="BC684">
        <v>6.068583363935276E-2</v>
      </c>
      <c r="BE684">
        <v>30077.490987907924</v>
      </c>
      <c r="BF684">
        <v>21.431706154380528</v>
      </c>
      <c r="BG684">
        <v>32441.723503669142</v>
      </c>
      <c r="BH684">
        <v>21.458811518668554</v>
      </c>
    </row>
    <row r="685" spans="3:60" x14ac:dyDescent="0.2">
      <c r="C685" s="138">
        <v>28390.628794346416</v>
      </c>
      <c r="D685" s="138">
        <v>21.40784684378524</v>
      </c>
      <c r="E685" s="138">
        <v>30099.222405850542</v>
      </c>
      <c r="F685" s="138">
        <v>21.399919594036831</v>
      </c>
      <c r="G685" s="138">
        <v>-1708.5936115041259</v>
      </c>
      <c r="H685" s="138">
        <v>7.927249748409082E-3</v>
      </c>
      <c r="N685" s="138"/>
      <c r="O685" s="138"/>
      <c r="P685" s="138"/>
      <c r="R685">
        <v>209.50254046549057</v>
      </c>
      <c r="S685">
        <v>76.968246531276364</v>
      </c>
      <c r="T685">
        <v>265.35147546949622</v>
      </c>
      <c r="U685">
        <v>100.62266821296247</v>
      </c>
      <c r="X685">
        <v>0.76912683352266964</v>
      </c>
      <c r="Y685">
        <v>0.81480772567987148</v>
      </c>
      <c r="Z685">
        <v>0.81004956980931508</v>
      </c>
      <c r="AA685">
        <v>0.80034420214567037</v>
      </c>
      <c r="AB685">
        <v>0.72362389229128743</v>
      </c>
      <c r="AC685">
        <v>0.8344355064724861</v>
      </c>
      <c r="AD685">
        <v>0.8257813053113604</v>
      </c>
      <c r="AE685">
        <v>0.52506808018164897</v>
      </c>
      <c r="AH685">
        <v>0.110516611819375</v>
      </c>
      <c r="AI685">
        <v>0.15672371238139771</v>
      </c>
      <c r="AJ685">
        <v>0.25315125754477252</v>
      </c>
      <c r="AK685">
        <v>5.3654494036174283E-2</v>
      </c>
      <c r="AL685">
        <v>0.18983643774275016</v>
      </c>
      <c r="AM685">
        <v>2.5472741595359949E-2</v>
      </c>
      <c r="AN685">
        <v>0.11338454113884922</v>
      </c>
      <c r="AO685">
        <v>0.19910975540223863</v>
      </c>
      <c r="AR685">
        <v>8.4758642300292468E-4</v>
      </c>
      <c r="AS685">
        <v>4.4681125460129967E-3</v>
      </c>
      <c r="AT685">
        <v>9.9883618621698339E-2</v>
      </c>
      <c r="AU685">
        <v>2.0544584248090025E-3</v>
      </c>
      <c r="AV685">
        <v>1.6856900241878968E-3</v>
      </c>
      <c r="AW685">
        <v>3.4195672188347404E-3</v>
      </c>
      <c r="AX685">
        <v>3.6445810381043346E-4</v>
      </c>
      <c r="AY685">
        <v>4.5333155759730293E-4</v>
      </c>
      <c r="BB685">
        <v>4.1538941351256832E-2</v>
      </c>
      <c r="BC685">
        <v>4.7748750888277236E-2</v>
      </c>
      <c r="BE685">
        <v>28390.628794346416</v>
      </c>
      <c r="BF685">
        <v>21.40784684378524</v>
      </c>
      <c r="BG685">
        <v>30099.222405850542</v>
      </c>
      <c r="BH685">
        <v>21.399919594036831</v>
      </c>
    </row>
    <row r="686" spans="3:60" x14ac:dyDescent="0.2">
      <c r="C686" s="138">
        <v>32149.46284543104</v>
      </c>
      <c r="D686" s="138">
        <v>20.613490864294601</v>
      </c>
      <c r="E686" s="138">
        <v>34455.926790053549</v>
      </c>
      <c r="F686" s="138">
        <v>20.566675359214901</v>
      </c>
      <c r="G686" s="138">
        <v>-2306.4639446225083</v>
      </c>
      <c r="H686" s="138">
        <v>4.6815505079699449E-2</v>
      </c>
      <c r="N686" s="138"/>
      <c r="O686" s="138"/>
      <c r="P686" s="138"/>
      <c r="R686">
        <v>-39.07628169909998</v>
      </c>
      <c r="S686">
        <v>66.73938249910421</v>
      </c>
      <c r="T686">
        <v>291.45601971271884</v>
      </c>
      <c r="U686">
        <v>107.20207216056926</v>
      </c>
      <c r="X686">
        <v>0.80295137433571373</v>
      </c>
      <c r="Y686">
        <v>0.92154750791680273</v>
      </c>
      <c r="Z686">
        <v>0.78784905668913885</v>
      </c>
      <c r="AA686">
        <v>0.50303531873937246</v>
      </c>
      <c r="AB686">
        <v>0.75789460945144183</v>
      </c>
      <c r="AC686">
        <v>0.61405202694070382</v>
      </c>
      <c r="AD686">
        <v>0.66940613959282158</v>
      </c>
      <c r="AE686">
        <v>0.93014628592800763</v>
      </c>
      <c r="AH686">
        <v>0.11335453722204325</v>
      </c>
      <c r="AI686">
        <v>7.2019826568909595E-2</v>
      </c>
      <c r="AJ686">
        <v>2.7933239474249083E-2</v>
      </c>
      <c r="AK686">
        <v>2.6924691047393257E-2</v>
      </c>
      <c r="AL686">
        <v>0.1006102252894121</v>
      </c>
      <c r="AM686">
        <v>0.1480794992221518</v>
      </c>
      <c r="AN686">
        <v>0.14342166539233192</v>
      </c>
      <c r="AO686">
        <v>3.4464247437491768E-2</v>
      </c>
      <c r="AR686">
        <v>7.6423131184945499E-4</v>
      </c>
      <c r="AS686">
        <v>4.3368906930686809E-3</v>
      </c>
      <c r="AT686">
        <v>0.10115732639588215</v>
      </c>
      <c r="AU686">
        <v>2.0095505819207604E-3</v>
      </c>
      <c r="AV686">
        <v>1.9613848565103276E-3</v>
      </c>
      <c r="AW686">
        <v>3.5156213069272857E-3</v>
      </c>
      <c r="AX686">
        <v>5.7728755172758994E-4</v>
      </c>
      <c r="AY686">
        <v>5.4376861287019906E-4</v>
      </c>
      <c r="BB686">
        <v>6.0194311210267637E-2</v>
      </c>
      <c r="BC686">
        <v>4.4426762333614998E-2</v>
      </c>
      <c r="BE686">
        <v>32149.46284543104</v>
      </c>
      <c r="BF686">
        <v>20.613490864294601</v>
      </c>
      <c r="BG686">
        <v>34455.926790053549</v>
      </c>
      <c r="BH686">
        <v>20.566675359214901</v>
      </c>
    </row>
    <row r="687" spans="3:60" x14ac:dyDescent="0.2">
      <c r="C687" s="138">
        <v>30155.000635850047</v>
      </c>
      <c r="D687" s="138">
        <v>21.094380121318007</v>
      </c>
      <c r="E687" s="138">
        <v>32415.110723767357</v>
      </c>
      <c r="F687" s="138">
        <v>21.072695685286309</v>
      </c>
      <c r="G687" s="138">
        <v>-2260.11008791731</v>
      </c>
      <c r="H687" s="138">
        <v>2.168443603169834E-2</v>
      </c>
      <c r="N687" s="138"/>
      <c r="O687" s="138"/>
      <c r="P687" s="138"/>
      <c r="R687">
        <v>188.80777415436052</v>
      </c>
      <c r="S687">
        <v>50.714067491282634</v>
      </c>
      <c r="T687">
        <v>258.55519347589473</v>
      </c>
      <c r="U687">
        <v>97.188086059964888</v>
      </c>
      <c r="X687">
        <v>0.78056605078622521</v>
      </c>
      <c r="Y687">
        <v>0.76143019636046183</v>
      </c>
      <c r="Z687">
        <v>0.62409593782890649</v>
      </c>
      <c r="AA687">
        <v>0.82814647630243365</v>
      </c>
      <c r="AB687">
        <v>0.79288166671041249</v>
      </c>
      <c r="AC687">
        <v>0.71633530320155692</v>
      </c>
      <c r="AD687">
        <v>0.90965140098910768</v>
      </c>
      <c r="AE687">
        <v>0.91491654440682235</v>
      </c>
      <c r="AH687">
        <v>3.9486865952564454E-2</v>
      </c>
      <c r="AI687">
        <v>2.3395094085829182E-2</v>
      </c>
      <c r="AJ687">
        <v>0.43011026221281179</v>
      </c>
      <c r="AK687">
        <v>2.8589822870340731E-2</v>
      </c>
      <c r="AL687">
        <v>8.8268445734948853E-2</v>
      </c>
      <c r="AM687">
        <v>0.12892434667593411</v>
      </c>
      <c r="AN687">
        <v>0.10462689605991282</v>
      </c>
      <c r="AO687">
        <v>9.5877193164821017E-2</v>
      </c>
      <c r="AR687">
        <v>1.0753756325425634E-3</v>
      </c>
      <c r="AS687">
        <v>4.6438600026156296E-3</v>
      </c>
      <c r="AT687">
        <v>9.877124290418321E-2</v>
      </c>
      <c r="AU687">
        <v>2.0730809677900197E-3</v>
      </c>
      <c r="AV687">
        <v>1.8796189540857206E-3</v>
      </c>
      <c r="AW687">
        <v>3.2631309894703489E-3</v>
      </c>
      <c r="AX687">
        <v>4.0493295784338468E-4</v>
      </c>
      <c r="AY687">
        <v>4.9943012660713659E-4</v>
      </c>
      <c r="BB687">
        <v>5.0210020103475528E-2</v>
      </c>
      <c r="BC687">
        <v>4.6798759099803466E-2</v>
      </c>
      <c r="BE687">
        <v>30155.000635850047</v>
      </c>
      <c r="BF687">
        <v>21.094380121318007</v>
      </c>
      <c r="BG687">
        <v>32415.110723767357</v>
      </c>
      <c r="BH687">
        <v>21.072695685286309</v>
      </c>
    </row>
    <row r="688" spans="3:60" x14ac:dyDescent="0.2">
      <c r="C688" s="138">
        <v>34891.949553122962</v>
      </c>
      <c r="D688" s="138">
        <v>21.738030638006983</v>
      </c>
      <c r="E688" s="138">
        <v>37334.610909733921</v>
      </c>
      <c r="F688" s="138">
        <v>21.740029229985627</v>
      </c>
      <c r="G688" s="138">
        <v>-2442.661356610959</v>
      </c>
      <c r="H688" s="138">
        <v>-1.9985919786442707E-3</v>
      </c>
      <c r="N688" s="138"/>
      <c r="O688" s="138"/>
      <c r="P688" s="138"/>
      <c r="R688">
        <v>127.32379049477069</v>
      </c>
      <c r="S688">
        <v>68.256880958938609</v>
      </c>
      <c r="T688">
        <v>280.53280729117228</v>
      </c>
      <c r="U688">
        <v>91.017621422745307</v>
      </c>
      <c r="X688">
        <v>0.63450096654451438</v>
      </c>
      <c r="Y688">
        <v>0.7910478326772914</v>
      </c>
      <c r="Z688">
        <v>0.66190126964873253</v>
      </c>
      <c r="AA688">
        <v>0.81816027124274204</v>
      </c>
      <c r="AB688">
        <v>0.83574980754479611</v>
      </c>
      <c r="AC688">
        <v>0.71848211127031103</v>
      </c>
      <c r="AD688">
        <v>0.91462787273107793</v>
      </c>
      <c r="AE688">
        <v>0.7719649504228403</v>
      </c>
      <c r="AH688">
        <v>0.31615805392813812</v>
      </c>
      <c r="AI688">
        <v>0.11245970989465937</v>
      </c>
      <c r="AJ688">
        <v>7.2470868300530178E-2</v>
      </c>
      <c r="AK688">
        <v>0.20037621796012928</v>
      </c>
      <c r="AL688">
        <v>0.20900640615066246</v>
      </c>
      <c r="AM688">
        <v>0.21093671289099625</v>
      </c>
      <c r="AN688">
        <v>0.23913040540819852</v>
      </c>
      <c r="AO688">
        <v>5.0808129896664944E-2</v>
      </c>
      <c r="AR688">
        <v>1.0180553651949475E-3</v>
      </c>
      <c r="AS688">
        <v>4.3566963326049334E-3</v>
      </c>
      <c r="AT688">
        <v>9.9989785341776202E-2</v>
      </c>
      <c r="AU688">
        <v>1.8981618547386006E-3</v>
      </c>
      <c r="AV688">
        <v>2.0015731080901267E-3</v>
      </c>
      <c r="AW688">
        <v>3.3751211559512198E-3</v>
      </c>
      <c r="AX688">
        <v>4.4703244894439553E-4</v>
      </c>
      <c r="AY688">
        <v>4.1917206101819781E-4</v>
      </c>
      <c r="BB688">
        <v>4.5317999954137926E-2</v>
      </c>
      <c r="BC688">
        <v>1.2374573569116998E-2</v>
      </c>
      <c r="BE688">
        <v>34891.949553122962</v>
      </c>
      <c r="BF688">
        <v>21.738030638006983</v>
      </c>
      <c r="BG688">
        <v>37334.610909733921</v>
      </c>
      <c r="BH688">
        <v>21.740029229985627</v>
      </c>
    </row>
    <row r="689" spans="3:60" x14ac:dyDescent="0.2">
      <c r="C689" s="138">
        <v>34237.343999074648</v>
      </c>
      <c r="D689" s="138">
        <v>20.831476605189689</v>
      </c>
      <c r="E689" s="138">
        <v>36394.717525906308</v>
      </c>
      <c r="F689" s="138">
        <v>20.810370312175696</v>
      </c>
      <c r="G689" s="138">
        <v>-2157.3735268316595</v>
      </c>
      <c r="H689" s="138">
        <v>2.1106293013993138E-2</v>
      </c>
      <c r="N689" s="138"/>
      <c r="O689" s="138"/>
      <c r="P689" s="138"/>
      <c r="R689">
        <v>243.00065238960065</v>
      </c>
      <c r="S689">
        <v>65.8554322121213</v>
      </c>
      <c r="T689">
        <v>228.58646071842273</v>
      </c>
      <c r="U689">
        <v>102.93055469395878</v>
      </c>
      <c r="X689">
        <v>0.86297422599446527</v>
      </c>
      <c r="Y689">
        <v>0.7738083776760214</v>
      </c>
      <c r="Z689">
        <v>0.85350627778065413</v>
      </c>
      <c r="AA689">
        <v>0.68928196698257405</v>
      </c>
      <c r="AB689">
        <v>0.84735949614196215</v>
      </c>
      <c r="AC689">
        <v>0.92223820945164903</v>
      </c>
      <c r="AD689">
        <v>0.86234965678202324</v>
      </c>
      <c r="AE689">
        <v>0.82694516520632044</v>
      </c>
      <c r="AH689">
        <v>0.34495729603819303</v>
      </c>
      <c r="AI689">
        <v>0.21075142151564163</v>
      </c>
      <c r="AJ689">
        <v>0.19616917186770555</v>
      </c>
      <c r="AK689">
        <v>7.4968699644404557E-2</v>
      </c>
      <c r="AL689">
        <v>0.1029347862693466</v>
      </c>
      <c r="AM689">
        <v>0.18245199514826438</v>
      </c>
      <c r="AN689">
        <v>0.13882878099740292</v>
      </c>
      <c r="AO689">
        <v>4.7502007439952365E-2</v>
      </c>
      <c r="AR689">
        <v>1.0313084639489434E-3</v>
      </c>
      <c r="AS689">
        <v>4.5926270329703645E-3</v>
      </c>
      <c r="AT689">
        <v>0.10118431052454691</v>
      </c>
      <c r="AU689">
        <v>1.7898446273492681E-3</v>
      </c>
      <c r="AV689">
        <v>1.9416163376282508E-3</v>
      </c>
      <c r="AW689">
        <v>3.3847233632355632E-3</v>
      </c>
      <c r="AX689">
        <v>4.5069869489511305E-4</v>
      </c>
      <c r="AY689">
        <v>4.0826791159617227E-4</v>
      </c>
      <c r="BB689">
        <v>4.9948930565116623E-2</v>
      </c>
      <c r="BC689">
        <v>4.7764321127776324E-3</v>
      </c>
      <c r="BE689">
        <v>34237.343999074648</v>
      </c>
      <c r="BF689">
        <v>20.831476605189689</v>
      </c>
      <c r="BG689">
        <v>36394.717525906308</v>
      </c>
      <c r="BH689">
        <v>20.810370312175696</v>
      </c>
    </row>
    <row r="690" spans="3:60" x14ac:dyDescent="0.2">
      <c r="C690" s="138">
        <v>32758.073391098271</v>
      </c>
      <c r="D690" s="138">
        <v>21.285726909980834</v>
      </c>
      <c r="E690" s="138">
        <v>34686.787159908818</v>
      </c>
      <c r="F690" s="138">
        <v>21.282611752000186</v>
      </c>
      <c r="G690" s="138">
        <v>-1928.7137688105468</v>
      </c>
      <c r="H690" s="138">
        <v>3.1151579806483198E-3</v>
      </c>
      <c r="N690" s="138"/>
      <c r="O690" s="138"/>
      <c r="P690" s="138"/>
      <c r="R690">
        <v>227.73727937667962</v>
      </c>
      <c r="S690">
        <v>64.874785206259986</v>
      </c>
      <c r="T690">
        <v>236.73148145558147</v>
      </c>
      <c r="U690">
        <v>95.676776103210997</v>
      </c>
      <c r="X690">
        <v>0.89479526127382791</v>
      </c>
      <c r="Y690">
        <v>0.78099426381841897</v>
      </c>
      <c r="Z690">
        <v>0.85505571589884755</v>
      </c>
      <c r="AA690">
        <v>0.78108425785330193</v>
      </c>
      <c r="AB690">
        <v>0.74821394085185611</v>
      </c>
      <c r="AC690">
        <v>0.65309491871105874</v>
      </c>
      <c r="AD690">
        <v>0.83717078655259769</v>
      </c>
      <c r="AE690">
        <v>0.66280005267024156</v>
      </c>
      <c r="AH690">
        <v>0.10197973864384369</v>
      </c>
      <c r="AI690">
        <v>5.8744052519379641E-2</v>
      </c>
      <c r="AJ690">
        <v>0.11681525071344812</v>
      </c>
      <c r="AK690">
        <v>0.21482306899499271</v>
      </c>
      <c r="AL690">
        <v>0.29257624487973255</v>
      </c>
      <c r="AM690">
        <v>1.4944453843916961E-3</v>
      </c>
      <c r="AN690">
        <v>0.11691965976314656</v>
      </c>
      <c r="AO690">
        <v>0.12625616122440142</v>
      </c>
      <c r="AR690">
        <v>8.7557910626229478E-4</v>
      </c>
      <c r="AS690">
        <v>4.5051850502658697E-3</v>
      </c>
      <c r="AT690">
        <v>9.9441544511201727E-2</v>
      </c>
      <c r="AU690">
        <v>2.1307252868554283E-3</v>
      </c>
      <c r="AV690">
        <v>1.9965867825015977E-3</v>
      </c>
      <c r="AW690">
        <v>3.4261656176456379E-3</v>
      </c>
      <c r="AX690">
        <v>3.8640799990174779E-4</v>
      </c>
      <c r="AY690">
        <v>5.3000571343631009E-4</v>
      </c>
      <c r="BB690">
        <v>4.7246065513145606E-2</v>
      </c>
      <c r="BC690">
        <v>4.9844268087452348E-2</v>
      </c>
      <c r="BE690">
        <v>32758.073391098271</v>
      </c>
      <c r="BF690">
        <v>21.285726909980834</v>
      </c>
      <c r="BG690">
        <v>34686.787159908818</v>
      </c>
      <c r="BH690">
        <v>21.282611752000186</v>
      </c>
    </row>
    <row r="691" spans="3:60" x14ac:dyDescent="0.2">
      <c r="C691" s="138">
        <v>31981.743623060906</v>
      </c>
      <c r="D691" s="138">
        <v>21.182106894031193</v>
      </c>
      <c r="E691" s="138">
        <v>33719.829469829929</v>
      </c>
      <c r="F691" s="138">
        <v>21.148263046372282</v>
      </c>
      <c r="G691" s="138">
        <v>-1738.0858467690232</v>
      </c>
      <c r="H691" s="138">
        <v>3.384384765891113E-2</v>
      </c>
      <c r="N691" s="138"/>
      <c r="O691" s="138"/>
      <c r="P691" s="138"/>
      <c r="R691">
        <v>107.24831919882618</v>
      </c>
      <c r="S691">
        <v>55.36241722822777</v>
      </c>
      <c r="T691">
        <v>273.3164875636557</v>
      </c>
      <c r="U691">
        <v>104.18953733815678</v>
      </c>
      <c r="X691">
        <v>0.79189437342608393</v>
      </c>
      <c r="Y691">
        <v>0.52145659692937263</v>
      </c>
      <c r="Z691">
        <v>0.74336673435202016</v>
      </c>
      <c r="AA691">
        <v>0.81071936041556403</v>
      </c>
      <c r="AB691">
        <v>0.83466581015532948</v>
      </c>
      <c r="AC691">
        <v>0.70271998771338384</v>
      </c>
      <c r="AD691">
        <v>0.3488895276464401</v>
      </c>
      <c r="AE691">
        <v>0.58944832053216822</v>
      </c>
      <c r="AH691">
        <v>0.15572239648187391</v>
      </c>
      <c r="AI691">
        <v>0.14593632301458825</v>
      </c>
      <c r="AJ691">
        <v>8.0019036917771791E-2</v>
      </c>
      <c r="AK691">
        <v>0.22465908637944998</v>
      </c>
      <c r="AL691">
        <v>0.1405390421155045</v>
      </c>
      <c r="AM691">
        <v>7.5298204622979537E-2</v>
      </c>
      <c r="AN691">
        <v>3.1808145826008438E-2</v>
      </c>
      <c r="AO691">
        <v>0.27902143888990394</v>
      </c>
      <c r="AR691">
        <v>8.4543553891941686E-4</v>
      </c>
      <c r="AS691">
        <v>4.4999990847688354E-3</v>
      </c>
      <c r="AT691">
        <v>9.9877511334148655E-2</v>
      </c>
      <c r="AU691">
        <v>1.8138884597913444E-3</v>
      </c>
      <c r="AV691">
        <v>2.2531247342941763E-3</v>
      </c>
      <c r="AW691">
        <v>3.3343360676581974E-3</v>
      </c>
      <c r="AX691">
        <v>4.0295906885734478E-4</v>
      </c>
      <c r="AY691">
        <v>4.2072591045579918E-4</v>
      </c>
      <c r="BB691">
        <v>4.1249318471445369E-2</v>
      </c>
      <c r="BC691">
        <v>3.1657921419193095E-2</v>
      </c>
      <c r="BE691">
        <v>31981.743623060906</v>
      </c>
      <c r="BF691">
        <v>21.182106894031193</v>
      </c>
      <c r="BG691">
        <v>33719.829469829929</v>
      </c>
      <c r="BH691">
        <v>21.148263046372282</v>
      </c>
    </row>
    <row r="692" spans="3:60" x14ac:dyDescent="0.2">
      <c r="C692" s="138">
        <v>31162.012207033109</v>
      </c>
      <c r="D692" s="138">
        <v>20.805217570957321</v>
      </c>
      <c r="E692" s="138">
        <v>33112.707533987857</v>
      </c>
      <c r="F692" s="138">
        <v>20.785967516342133</v>
      </c>
      <c r="G692" s="138">
        <v>-1950.6953269547485</v>
      </c>
      <c r="H692" s="138">
        <v>1.9250054615188361E-2</v>
      </c>
      <c r="N692" s="138"/>
      <c r="O692" s="138"/>
      <c r="P692" s="138"/>
      <c r="R692">
        <v>118.87212400517333</v>
      </c>
      <c r="S692">
        <v>56.70902478908598</v>
      </c>
      <c r="T692">
        <v>274.77645726840819</v>
      </c>
      <c r="U692">
        <v>98.480940775334147</v>
      </c>
      <c r="X692">
        <v>0.80697221556712284</v>
      </c>
      <c r="Y692">
        <v>0.6786903944726751</v>
      </c>
      <c r="Z692">
        <v>0.86788589679212402</v>
      </c>
      <c r="AA692">
        <v>0.73124233981144626</v>
      </c>
      <c r="AB692">
        <v>0.6109331494139032</v>
      </c>
      <c r="AC692">
        <v>0.83451824591484924</v>
      </c>
      <c r="AD692">
        <v>0.58382327837128534</v>
      </c>
      <c r="AE692">
        <v>0.97471303120047392</v>
      </c>
      <c r="AH692">
        <v>0.25999176344307828</v>
      </c>
      <c r="AI692">
        <v>0.26332947486651925</v>
      </c>
      <c r="AJ692">
        <v>9.8312575309914552E-2</v>
      </c>
      <c r="AK692">
        <v>8.7753072386672626E-2</v>
      </c>
      <c r="AL692">
        <v>0.21461950972998167</v>
      </c>
      <c r="AM692">
        <v>1.645365975902302E-2</v>
      </c>
      <c r="AN692">
        <v>5.0397300142654311E-2</v>
      </c>
      <c r="AO692">
        <v>4.3214470896219881E-2</v>
      </c>
      <c r="AR692">
        <v>1.0852565843741946E-3</v>
      </c>
      <c r="AS692">
        <v>4.5145895228396737E-3</v>
      </c>
      <c r="AT692">
        <v>9.937443147782056E-2</v>
      </c>
      <c r="AU692">
        <v>1.9060409046832726E-3</v>
      </c>
      <c r="AV692">
        <v>2.0148508781576702E-3</v>
      </c>
      <c r="AW692">
        <v>3.6887711265659595E-3</v>
      </c>
      <c r="AX692">
        <v>3.2232221785616702E-4</v>
      </c>
      <c r="AY692">
        <v>4.0588335141160067E-4</v>
      </c>
      <c r="BB692">
        <v>4.6319718779593406E-2</v>
      </c>
      <c r="BC692">
        <v>4.4591240253304541E-2</v>
      </c>
      <c r="BE692">
        <v>31162.012207033109</v>
      </c>
      <c r="BF692">
        <v>20.805217570957321</v>
      </c>
      <c r="BG692">
        <v>33112.707533987857</v>
      </c>
      <c r="BH692">
        <v>20.785967516342133</v>
      </c>
    </row>
    <row r="693" spans="3:60" x14ac:dyDescent="0.2">
      <c r="C693" s="138">
        <v>26200.299234736143</v>
      </c>
      <c r="D693" s="138">
        <v>21.077651312114291</v>
      </c>
      <c r="E693" s="138">
        <v>28342.75125244274</v>
      </c>
      <c r="F693" s="138">
        <v>21.087528191126562</v>
      </c>
      <c r="G693" s="138">
        <v>-2142.452017706597</v>
      </c>
      <c r="H693" s="138">
        <v>-9.8768790122711891E-3</v>
      </c>
      <c r="N693" s="138"/>
      <c r="O693" s="138"/>
      <c r="P693" s="138"/>
      <c r="R693">
        <v>273.10701944737161</v>
      </c>
      <c r="S693">
        <v>69.175393536206158</v>
      </c>
      <c r="T693">
        <v>269.7194771583745</v>
      </c>
      <c r="U693">
        <v>95.832378049667952</v>
      </c>
      <c r="X693">
        <v>0.79164473675370106</v>
      </c>
      <c r="Y693">
        <v>0.68144587361623565</v>
      </c>
      <c r="Z693">
        <v>0.53736935782130801</v>
      </c>
      <c r="AA693">
        <v>0.6266182637760167</v>
      </c>
      <c r="AB693">
        <v>0.79874438724371644</v>
      </c>
      <c r="AC693">
        <v>0.91913236525412301</v>
      </c>
      <c r="AD693">
        <v>0.86499366071623973</v>
      </c>
      <c r="AE693">
        <v>0.54401985253605933</v>
      </c>
      <c r="AH693">
        <v>6.464779904965301E-3</v>
      </c>
      <c r="AI693">
        <v>9.1945919738436355E-2</v>
      </c>
      <c r="AJ693">
        <v>0.11385281876477393</v>
      </c>
      <c r="AK693">
        <v>0.1140770279118769</v>
      </c>
      <c r="AL693">
        <v>0.10523071194684896</v>
      </c>
      <c r="AM693">
        <v>2.5525718863284474E-2</v>
      </c>
      <c r="AN693">
        <v>0.1029020031467397</v>
      </c>
      <c r="AO693">
        <v>0.19117581740312706</v>
      </c>
      <c r="AR693">
        <v>9.7405919075077563E-4</v>
      </c>
      <c r="AS693">
        <v>4.4464210397297177E-3</v>
      </c>
      <c r="AT693">
        <v>9.9295807068681047E-2</v>
      </c>
      <c r="AU693">
        <v>2.0195662697326533E-3</v>
      </c>
      <c r="AV693">
        <v>2.060453254045802E-3</v>
      </c>
      <c r="AW693">
        <v>3.4693440593567271E-3</v>
      </c>
      <c r="AX693">
        <v>3.6328272902267381E-4</v>
      </c>
      <c r="AY693">
        <v>3.7511429889020004E-4</v>
      </c>
      <c r="BB693">
        <v>4.4000829259496894E-2</v>
      </c>
      <c r="BC693">
        <v>4.8561829532388856E-2</v>
      </c>
      <c r="BE693">
        <v>26200.299234736143</v>
      </c>
      <c r="BF693">
        <v>21.077651312114291</v>
      </c>
      <c r="BG693">
        <v>28342.75125244274</v>
      </c>
      <c r="BH693">
        <v>21.087528191126562</v>
      </c>
    </row>
    <row r="694" spans="3:60" x14ac:dyDescent="0.2">
      <c r="C694" s="138">
        <v>23655.141005706559</v>
      </c>
      <c r="D694" s="138">
        <v>21.5472368415872</v>
      </c>
      <c r="E694" s="138">
        <v>25552.675051082904</v>
      </c>
      <c r="F694" s="138">
        <v>21.538112470931086</v>
      </c>
      <c r="G694" s="138">
        <v>-1897.5340453763456</v>
      </c>
      <c r="H694" s="138">
        <v>9.1243706561137117E-3</v>
      </c>
      <c r="N694" s="138"/>
      <c r="O694" s="138"/>
      <c r="P694" s="138"/>
      <c r="R694">
        <v>311.80034101898883</v>
      </c>
      <c r="S694">
        <v>52.075760446511239</v>
      </c>
      <c r="T694">
        <v>250.40029127111546</v>
      </c>
      <c r="U694">
        <v>108.69333402531892</v>
      </c>
      <c r="X694">
        <v>0.87441345082896738</v>
      </c>
      <c r="Y694">
        <v>0.84932389836041566</v>
      </c>
      <c r="Z694">
        <v>0.62448626397324991</v>
      </c>
      <c r="AA694">
        <v>0.84892135742918717</v>
      </c>
      <c r="AB694">
        <v>0.82735815759720044</v>
      </c>
      <c r="AC694">
        <v>0.73240162567293909</v>
      </c>
      <c r="AD694">
        <v>0.90407505511245734</v>
      </c>
      <c r="AE694">
        <v>0.85456884797110311</v>
      </c>
      <c r="AH694">
        <v>2.65921628767809E-2</v>
      </c>
      <c r="AI694">
        <v>5.4953834159216397E-2</v>
      </c>
      <c r="AJ694">
        <v>0.4331133146914613</v>
      </c>
      <c r="AK694">
        <v>9.4073888093678892E-2</v>
      </c>
      <c r="AL694">
        <v>0.28408606353728749</v>
      </c>
      <c r="AM694">
        <v>4.4152777949136301E-2</v>
      </c>
      <c r="AN694">
        <v>0.24478713339109959</v>
      </c>
      <c r="AO694">
        <v>0.1047563520471968</v>
      </c>
      <c r="AR694">
        <v>1.0177752170257293E-3</v>
      </c>
      <c r="AS694">
        <v>4.4382124082524947E-3</v>
      </c>
      <c r="AT694">
        <v>0.10321103533087683</v>
      </c>
      <c r="AU694">
        <v>1.932401667604557E-3</v>
      </c>
      <c r="AV694">
        <v>2.0575468877805925E-3</v>
      </c>
      <c r="AW694">
        <v>3.7086320875263645E-3</v>
      </c>
      <c r="AX694">
        <v>3.0966334364441095E-4</v>
      </c>
      <c r="AY694">
        <v>5.0579431365760374E-4</v>
      </c>
      <c r="BB694">
        <v>4.7841351997014815E-2</v>
      </c>
      <c r="BC694">
        <v>3.3478938778383351E-2</v>
      </c>
      <c r="BE694">
        <v>23655.141005706559</v>
      </c>
      <c r="BF694">
        <v>21.5472368415872</v>
      </c>
      <c r="BG694">
        <v>25552.675051082904</v>
      </c>
      <c r="BH694">
        <v>21.538112470931086</v>
      </c>
    </row>
    <row r="695" spans="3:60" x14ac:dyDescent="0.2">
      <c r="C695" s="138">
        <v>28964.418217305742</v>
      </c>
      <c r="D695" s="138">
        <v>20.643309519783436</v>
      </c>
      <c r="E695" s="138">
        <v>30953.740832607811</v>
      </c>
      <c r="F695" s="138">
        <v>20.608507739886321</v>
      </c>
      <c r="G695" s="138">
        <v>-1989.3226153020696</v>
      </c>
      <c r="H695" s="138">
        <v>3.4801779897115637E-2</v>
      </c>
      <c r="N695" s="138"/>
      <c r="O695" s="138"/>
      <c r="P695" s="138"/>
      <c r="R695">
        <v>-22.792099352244804</v>
      </c>
      <c r="S695">
        <v>59.355233394481438</v>
      </c>
      <c r="T695">
        <v>280.03181584801018</v>
      </c>
      <c r="U695">
        <v>83.349360965452846</v>
      </c>
      <c r="X695">
        <v>0.65011133980619429</v>
      </c>
      <c r="Y695">
        <v>0.87755030094688924</v>
      </c>
      <c r="Z695">
        <v>0.79865960075550269</v>
      </c>
      <c r="AA695">
        <v>0.68284140067499965</v>
      </c>
      <c r="AB695">
        <v>0.89328024220319824</v>
      </c>
      <c r="AC695">
        <v>0.76679734589997939</v>
      </c>
      <c r="AD695">
        <v>0.68862708457774446</v>
      </c>
      <c r="AE695">
        <v>0.45904561112705849</v>
      </c>
      <c r="AH695">
        <v>5.1506698407822515E-2</v>
      </c>
      <c r="AI695">
        <v>1.4442269162971311E-2</v>
      </c>
      <c r="AJ695">
        <v>5.701339395012206E-2</v>
      </c>
      <c r="AK695">
        <v>4.7694126807601656E-2</v>
      </c>
      <c r="AL695">
        <v>0.21015136927337552</v>
      </c>
      <c r="AM695">
        <v>3.8063279216907109E-2</v>
      </c>
      <c r="AN695">
        <v>0.3635752763163923</v>
      </c>
      <c r="AO695">
        <v>3.5049021123840673E-2</v>
      </c>
      <c r="AR695">
        <v>9.5637704396311918E-4</v>
      </c>
      <c r="AS695">
        <v>4.4568073891752729E-3</v>
      </c>
      <c r="AT695">
        <v>9.9649192410131995E-2</v>
      </c>
      <c r="AU695">
        <v>1.9296222573177838E-3</v>
      </c>
      <c r="AV695">
        <v>2.1181994564118956E-3</v>
      </c>
      <c r="AW695">
        <v>3.2762593136391981E-3</v>
      </c>
      <c r="AX695">
        <v>3.959215181915432E-4</v>
      </c>
      <c r="AY695">
        <v>3.6775410287884149E-4</v>
      </c>
      <c r="BB695">
        <v>4.8967123275914924E-2</v>
      </c>
      <c r="BC695">
        <v>7.3162245949599747E-2</v>
      </c>
      <c r="BE695">
        <v>28964.418217305742</v>
      </c>
      <c r="BF695">
        <v>20.643309519783436</v>
      </c>
      <c r="BG695">
        <v>30953.740832607811</v>
      </c>
      <c r="BH695">
        <v>20.608507739886321</v>
      </c>
    </row>
    <row r="696" spans="3:60" x14ac:dyDescent="0.2">
      <c r="C696" s="138">
        <v>31998.510974990222</v>
      </c>
      <c r="D696" s="138">
        <v>20.28540549046048</v>
      </c>
      <c r="E696" s="138">
        <v>33604.311840327377</v>
      </c>
      <c r="F696" s="138">
        <v>20.242286895818996</v>
      </c>
      <c r="G696" s="138">
        <v>-1605.8008653371544</v>
      </c>
      <c r="H696" s="138">
        <v>4.3118594641484265E-2</v>
      </c>
      <c r="N696" s="138"/>
      <c r="O696" s="138"/>
      <c r="P696" s="138"/>
      <c r="R696">
        <v>404.82932601427598</v>
      </c>
      <c r="S696">
        <v>61.194401348270752</v>
      </c>
      <c r="T696">
        <v>239.45015870489831</v>
      </c>
      <c r="U696">
        <v>92.094024840779682</v>
      </c>
      <c r="X696">
        <v>0.91567002084582771</v>
      </c>
      <c r="Y696">
        <v>0.68605914259458312</v>
      </c>
      <c r="Z696">
        <v>0.70868117547385556</v>
      </c>
      <c r="AA696">
        <v>0.92717028784852218</v>
      </c>
      <c r="AB696">
        <v>0.85460824356643106</v>
      </c>
      <c r="AC696">
        <v>0.63668553787824644</v>
      </c>
      <c r="AD696">
        <v>0.81621186767035103</v>
      </c>
      <c r="AE696">
        <v>0.71006585861531801</v>
      </c>
      <c r="AH696">
        <v>0.41090008850435489</v>
      </c>
      <c r="AI696">
        <v>2.6729867717729783E-2</v>
      </c>
      <c r="AJ696">
        <v>3.7924500420818408E-2</v>
      </c>
      <c r="AK696">
        <v>6.6001907853106001E-3</v>
      </c>
      <c r="AL696">
        <v>0.3577438223776761</v>
      </c>
      <c r="AM696">
        <v>0.12843381311218272</v>
      </c>
      <c r="AN696">
        <v>3.7130792875681884E-2</v>
      </c>
      <c r="AO696">
        <v>0.15198640617951376</v>
      </c>
      <c r="AR696">
        <v>8.273547994005684E-4</v>
      </c>
      <c r="AS696">
        <v>4.2738588485650344E-3</v>
      </c>
      <c r="AT696">
        <v>9.9699255559676944E-2</v>
      </c>
      <c r="AU696">
        <v>1.8163443109411182E-3</v>
      </c>
      <c r="AV696">
        <v>2.2146429812409663E-3</v>
      </c>
      <c r="AW696">
        <v>3.281805985753838E-3</v>
      </c>
      <c r="AX696">
        <v>3.9832023129104943E-4</v>
      </c>
      <c r="AY696">
        <v>4.4584503418919558E-4</v>
      </c>
      <c r="BB696">
        <v>4.8259027533767977E-2</v>
      </c>
      <c r="BC696">
        <v>2.0772263917367129E-2</v>
      </c>
      <c r="BE696">
        <v>31998.510974990222</v>
      </c>
      <c r="BF696">
        <v>20.28540549046048</v>
      </c>
      <c r="BG696">
        <v>33604.311840327377</v>
      </c>
      <c r="BH696">
        <v>20.242286895818996</v>
      </c>
    </row>
    <row r="697" spans="3:60" x14ac:dyDescent="0.2">
      <c r="C697" s="138">
        <v>32750.919092507189</v>
      </c>
      <c r="D697" s="138">
        <v>21.485469594359476</v>
      </c>
      <c r="E697" s="138">
        <v>34732.383785845181</v>
      </c>
      <c r="F697" s="138">
        <v>21.479933975987883</v>
      </c>
      <c r="G697" s="138">
        <v>-1981.4646933379918</v>
      </c>
      <c r="H697" s="138">
        <v>5.5356183715922214E-3</v>
      </c>
      <c r="N697" s="138"/>
      <c r="O697" s="138"/>
      <c r="P697" s="138"/>
      <c r="R697">
        <v>486.93421322674396</v>
      </c>
      <c r="S697">
        <v>60.547395592227588</v>
      </c>
      <c r="T697">
        <v>234.00243309644097</v>
      </c>
      <c r="U697">
        <v>103.44667865998093</v>
      </c>
      <c r="X697">
        <v>0.56675697605697362</v>
      </c>
      <c r="Y697">
        <v>0.62837640080324253</v>
      </c>
      <c r="Z697">
        <v>0.83007318016357734</v>
      </c>
      <c r="AA697">
        <v>0.53605134429996659</v>
      </c>
      <c r="AB697">
        <v>0.56110900757354898</v>
      </c>
      <c r="AC697">
        <v>0.90548518013077373</v>
      </c>
      <c r="AD697">
        <v>0.93433563482007664</v>
      </c>
      <c r="AE697">
        <v>0.79456983376057699</v>
      </c>
      <c r="AH697">
        <v>5.3476141226695861E-2</v>
      </c>
      <c r="AI697">
        <v>5.6599910759419725E-2</v>
      </c>
      <c r="AJ697">
        <v>0.16463450629475584</v>
      </c>
      <c r="AK697">
        <v>0.11851194906042395</v>
      </c>
      <c r="AL697">
        <v>0.13942451364825048</v>
      </c>
      <c r="AM697">
        <v>0.11062876397465482</v>
      </c>
      <c r="AN697">
        <v>0.14509601269694028</v>
      </c>
      <c r="AO697">
        <v>0.14910398740079545</v>
      </c>
      <c r="AR697">
        <v>8.580280932000083E-4</v>
      </c>
      <c r="AS697">
        <v>4.3588290526091157E-3</v>
      </c>
      <c r="AT697">
        <v>9.9017019502930362E-2</v>
      </c>
      <c r="AU697">
        <v>1.7822922972832132E-3</v>
      </c>
      <c r="AV697">
        <v>2.1026849926667479E-3</v>
      </c>
      <c r="AW697">
        <v>3.6420835218988756E-3</v>
      </c>
      <c r="AX697">
        <v>4.4454159384588188E-4</v>
      </c>
      <c r="AY697">
        <v>5.0221340060940811E-4</v>
      </c>
      <c r="BB697">
        <v>4.6345081715809568E-2</v>
      </c>
      <c r="BC697">
        <v>9.0094325571109413E-2</v>
      </c>
      <c r="BE697">
        <v>32750.919092507189</v>
      </c>
      <c r="BF697">
        <v>21.485469594359476</v>
      </c>
      <c r="BG697">
        <v>34732.383785845181</v>
      </c>
      <c r="BH697">
        <v>21.479933975987883</v>
      </c>
    </row>
    <row r="698" spans="3:60" x14ac:dyDescent="0.2">
      <c r="C698" s="138">
        <v>32226.37621831636</v>
      </c>
      <c r="D698" s="138">
        <v>19.918492776096585</v>
      </c>
      <c r="E698" s="138">
        <v>34095.471105262121</v>
      </c>
      <c r="F698" s="138">
        <v>19.83486392688739</v>
      </c>
      <c r="G698" s="138">
        <v>-1869.0948869457607</v>
      </c>
      <c r="H698" s="138">
        <v>8.3628849209194556E-2</v>
      </c>
      <c r="N698" s="138"/>
      <c r="O698" s="138"/>
      <c r="P698" s="138"/>
      <c r="R698">
        <v>280.770556609594</v>
      </c>
      <c r="S698">
        <v>64.910775960299176</v>
      </c>
      <c r="T698">
        <v>265.76126187106655</v>
      </c>
      <c r="U698">
        <v>95.867904474642685</v>
      </c>
      <c r="X698">
        <v>0.54489031649685649</v>
      </c>
      <c r="Y698">
        <v>0.88325195357260611</v>
      </c>
      <c r="Z698">
        <v>0.65149628186548658</v>
      </c>
      <c r="AA698">
        <v>0.87494513117445816</v>
      </c>
      <c r="AB698">
        <v>0.67630213339013601</v>
      </c>
      <c r="AC698">
        <v>0.91713450805321006</v>
      </c>
      <c r="AD698">
        <v>0.80253495291793986</v>
      </c>
      <c r="AE698">
        <v>0.56757186171709417</v>
      </c>
      <c r="AH698">
        <v>0.14811500781447617</v>
      </c>
      <c r="AI698">
        <v>0.23444318590043167</v>
      </c>
      <c r="AJ698">
        <v>0.11354575564916247</v>
      </c>
      <c r="AK698">
        <v>0.15741107008191768</v>
      </c>
      <c r="AL698">
        <v>0.12179251924183898</v>
      </c>
      <c r="AM698">
        <v>3.2076155389689553E-2</v>
      </c>
      <c r="AN698">
        <v>0.23608456803301281</v>
      </c>
      <c r="AO698">
        <v>7.8246406736661722E-2</v>
      </c>
      <c r="AR698">
        <v>7.9018193125955779E-4</v>
      </c>
      <c r="AS698">
        <v>4.2126069945459177E-3</v>
      </c>
      <c r="AT698">
        <v>0.10002328839846275</v>
      </c>
      <c r="AU698">
        <v>2.2530402746571143E-3</v>
      </c>
      <c r="AV698">
        <v>1.9506015879198165E-3</v>
      </c>
      <c r="AW698">
        <v>3.127012624772117E-3</v>
      </c>
      <c r="AX698">
        <v>4.10785181655271E-4</v>
      </c>
      <c r="AY698">
        <v>5.0693643586219306E-4</v>
      </c>
      <c r="BB698">
        <v>5.2727047263298354E-2</v>
      </c>
      <c r="BC698">
        <v>5.0737467714145668E-2</v>
      </c>
      <c r="BE698">
        <v>32226.37621831636</v>
      </c>
      <c r="BF698">
        <v>19.918492776096585</v>
      </c>
      <c r="BG698">
        <v>34095.471105262121</v>
      </c>
      <c r="BH698">
        <v>19.83486392688739</v>
      </c>
    </row>
    <row r="699" spans="3:60" x14ac:dyDescent="0.2">
      <c r="C699" s="138">
        <v>25572.160556418494</v>
      </c>
      <c r="D699" s="138">
        <v>20.096417964563791</v>
      </c>
      <c r="E699" s="138">
        <v>27541.550145360474</v>
      </c>
      <c r="F699" s="138">
        <v>20.025464481324317</v>
      </c>
      <c r="G699" s="138">
        <v>-1969.38958894198</v>
      </c>
      <c r="H699" s="138">
        <v>7.095348323947448E-2</v>
      </c>
      <c r="N699" s="138"/>
      <c r="O699" s="138"/>
      <c r="P699" s="138"/>
      <c r="R699">
        <v>338.68714066933313</v>
      </c>
      <c r="S699">
        <v>61.107067037061405</v>
      </c>
      <c r="T699">
        <v>260.02764932356672</v>
      </c>
      <c r="U699">
        <v>93.747603719773949</v>
      </c>
      <c r="X699">
        <v>0.96805501289033624</v>
      </c>
      <c r="Y699">
        <v>0.6735309230123292</v>
      </c>
      <c r="Z699">
        <v>0.7645495235457257</v>
      </c>
      <c r="AA699">
        <v>0.70573963914870619</v>
      </c>
      <c r="AB699">
        <v>0.75400936289182585</v>
      </c>
      <c r="AC699">
        <v>0.92324723628023331</v>
      </c>
      <c r="AD699">
        <v>0.8137074316986822</v>
      </c>
      <c r="AE699">
        <v>0.76831391722844478</v>
      </c>
      <c r="AH699">
        <v>9.863429816623126E-2</v>
      </c>
      <c r="AI699">
        <v>8.3610400434179888E-2</v>
      </c>
      <c r="AJ699">
        <v>0.17119420680117836</v>
      </c>
      <c r="AK699">
        <v>0.28662367656183119</v>
      </c>
      <c r="AL699">
        <v>0.13810544643502953</v>
      </c>
      <c r="AM699">
        <v>2.5331102722509824E-2</v>
      </c>
      <c r="AN699">
        <v>0.11641109448622877</v>
      </c>
      <c r="AO699">
        <v>4.5195765811474442E-2</v>
      </c>
      <c r="AR699">
        <v>9.2346886910088521E-4</v>
      </c>
      <c r="AS699">
        <v>4.5300661934762898E-3</v>
      </c>
      <c r="AT699">
        <v>9.9149547099132193E-2</v>
      </c>
      <c r="AU699">
        <v>1.879778325672727E-3</v>
      </c>
      <c r="AV699">
        <v>1.9450014845954682E-3</v>
      </c>
      <c r="AW699">
        <v>3.6118306121631916E-3</v>
      </c>
      <c r="AX699">
        <v>2.7508816980267582E-4</v>
      </c>
      <c r="AY699">
        <v>5.1616780474506019E-4</v>
      </c>
      <c r="BB699">
        <v>5.2326518324731452E-2</v>
      </c>
      <c r="BC699">
        <v>3.3133300566507727E-2</v>
      </c>
      <c r="BE699">
        <v>25572.160556418494</v>
      </c>
      <c r="BF699">
        <v>20.096417964563791</v>
      </c>
      <c r="BG699">
        <v>27541.550145360474</v>
      </c>
      <c r="BH699">
        <v>20.025464481324317</v>
      </c>
    </row>
    <row r="700" spans="3:60" x14ac:dyDescent="0.2">
      <c r="C700" s="138">
        <v>33082.745877289562</v>
      </c>
      <c r="D700" s="138">
        <v>20.683660815669327</v>
      </c>
      <c r="E700" s="138">
        <v>34808.835528383068</v>
      </c>
      <c r="F700" s="138">
        <v>20.650512386729652</v>
      </c>
      <c r="G700" s="138">
        <v>-1726.0896510935054</v>
      </c>
      <c r="H700" s="138">
        <v>3.3148428939675512E-2</v>
      </c>
      <c r="N700" s="138"/>
      <c r="O700" s="138"/>
      <c r="P700" s="138"/>
      <c r="R700">
        <v>365.7527631814956</v>
      </c>
      <c r="S700">
        <v>57.111804007717716</v>
      </c>
      <c r="T700">
        <v>218.61007180160175</v>
      </c>
      <c r="U700">
        <v>95.229187367065379</v>
      </c>
      <c r="X700">
        <v>0.53627459113614495</v>
      </c>
      <c r="Y700">
        <v>0.73448422621579956</v>
      </c>
      <c r="Z700">
        <v>0.76743721248710384</v>
      </c>
      <c r="AA700">
        <v>0.96815222175026272</v>
      </c>
      <c r="AB700">
        <v>0.70384569988145484</v>
      </c>
      <c r="AC700">
        <v>0.54679793873521298</v>
      </c>
      <c r="AD700">
        <v>0.92970570925242235</v>
      </c>
      <c r="AE700">
        <v>0.86876319108038991</v>
      </c>
      <c r="AH700">
        <v>1.550218068603082E-2</v>
      </c>
      <c r="AI700">
        <v>0.2309310847716739</v>
      </c>
      <c r="AJ700">
        <v>0.15294617697469648</v>
      </c>
      <c r="AK700">
        <v>0.19110852981526794</v>
      </c>
      <c r="AL700">
        <v>5.7255541072522842E-2</v>
      </c>
      <c r="AM700">
        <v>0.10367721123648743</v>
      </c>
      <c r="AN700">
        <v>9.0719522766119276E-2</v>
      </c>
      <c r="AO700">
        <v>4.2453251788759361E-2</v>
      </c>
      <c r="AR700">
        <v>8.6507043030313547E-4</v>
      </c>
      <c r="AS700">
        <v>4.4291928255425946E-3</v>
      </c>
      <c r="AT700">
        <v>9.7570709350221621E-2</v>
      </c>
      <c r="AU700">
        <v>1.9548447626565237E-3</v>
      </c>
      <c r="AV700">
        <v>1.8410463876816223E-3</v>
      </c>
      <c r="AW700">
        <v>3.4221425703834241E-3</v>
      </c>
      <c r="AX700">
        <v>4.6442774524291242E-4</v>
      </c>
      <c r="AY700">
        <v>4.5674565198339234E-4</v>
      </c>
      <c r="BB700">
        <v>4.5212795570229274E-2</v>
      </c>
      <c r="BC700">
        <v>5.7937000451123488E-2</v>
      </c>
      <c r="BE700">
        <v>33082.745877289562</v>
      </c>
      <c r="BF700">
        <v>20.683660815669327</v>
      </c>
      <c r="BG700">
        <v>34808.835528383068</v>
      </c>
      <c r="BH700">
        <v>20.650512386729652</v>
      </c>
    </row>
    <row r="701" spans="3:60" x14ac:dyDescent="0.2">
      <c r="C701" s="138">
        <v>30429.385772883794</v>
      </c>
      <c r="D701" s="138">
        <v>19.66981405035763</v>
      </c>
      <c r="E701" s="138">
        <v>32610.887449411701</v>
      </c>
      <c r="F701" s="138">
        <v>19.589000714543293</v>
      </c>
      <c r="G701" s="138">
        <v>-2181.501676527907</v>
      </c>
      <c r="H701" s="138">
        <v>8.081333581433725E-2</v>
      </c>
      <c r="N701" s="138"/>
      <c r="O701" s="138"/>
      <c r="P701" s="138"/>
      <c r="R701">
        <v>438.62548327799192</v>
      </c>
      <c r="S701">
        <v>57.987977784896493</v>
      </c>
      <c r="T701">
        <v>254.27684143493983</v>
      </c>
      <c r="U701">
        <v>99.760956188505702</v>
      </c>
      <c r="X701">
        <v>0.90430863292265706</v>
      </c>
      <c r="Y701">
        <v>0.820552004390946</v>
      </c>
      <c r="Z701">
        <v>0.61796491932448183</v>
      </c>
      <c r="AA701">
        <v>0.44856704694491445</v>
      </c>
      <c r="AB701">
        <v>0.75911506249597405</v>
      </c>
      <c r="AC701">
        <v>0.79205165421353918</v>
      </c>
      <c r="AD701">
        <v>0.66778373779620903</v>
      </c>
      <c r="AE701">
        <v>0.79020291924858177</v>
      </c>
      <c r="AH701">
        <v>0.19818848573419412</v>
      </c>
      <c r="AI701">
        <v>0.47211249249325316</v>
      </c>
      <c r="AJ701">
        <v>6.630005251203186E-2</v>
      </c>
      <c r="AK701">
        <v>7.1400144876840987E-2</v>
      </c>
      <c r="AL701">
        <v>0.16226091166649581</v>
      </c>
      <c r="AM701">
        <v>2.6806436013439683E-2</v>
      </c>
      <c r="AN701">
        <v>2.3810104449178304E-2</v>
      </c>
      <c r="AO701">
        <v>0.18870318454734847</v>
      </c>
      <c r="AR701">
        <v>7.4590171505680867E-4</v>
      </c>
      <c r="AS701">
        <v>4.3742479901094844E-3</v>
      </c>
      <c r="AT701">
        <v>0.10108715326904394</v>
      </c>
      <c r="AU701">
        <v>1.8900660750734675E-3</v>
      </c>
      <c r="AV701">
        <v>2.052660044914334E-3</v>
      </c>
      <c r="AW701">
        <v>3.767801729880671E-3</v>
      </c>
      <c r="AX701">
        <v>3.9481402192047602E-4</v>
      </c>
      <c r="AY701">
        <v>3.7153550290466077E-4</v>
      </c>
      <c r="BB701">
        <v>4.8594715393220841E-2</v>
      </c>
      <c r="BC701">
        <v>6.3656050741773051E-2</v>
      </c>
      <c r="BE701">
        <v>30429.385772883794</v>
      </c>
      <c r="BF701">
        <v>19.66981405035763</v>
      </c>
      <c r="BG701">
        <v>32610.887449411701</v>
      </c>
      <c r="BH701">
        <v>19.589000714543293</v>
      </c>
    </row>
    <row r="702" spans="3:60" x14ac:dyDescent="0.2">
      <c r="C702" s="138">
        <v>31459.238371865558</v>
      </c>
      <c r="D702" s="138">
        <v>21.446143548815236</v>
      </c>
      <c r="E702" s="138">
        <v>33418.360441870187</v>
      </c>
      <c r="F702" s="138">
        <v>21.420446643443679</v>
      </c>
      <c r="G702" s="138">
        <v>-1959.1220700046288</v>
      </c>
      <c r="H702" s="138">
        <v>2.5696905371557222E-2</v>
      </c>
      <c r="N702" s="138"/>
      <c r="O702" s="138"/>
      <c r="P702" s="138"/>
      <c r="R702">
        <v>216.98619052685606</v>
      </c>
      <c r="S702">
        <v>61.243825862268764</v>
      </c>
      <c r="T702">
        <v>235.46663723299613</v>
      </c>
      <c r="U702">
        <v>98.948932237941875</v>
      </c>
      <c r="X702">
        <v>0.70472429636963918</v>
      </c>
      <c r="Y702">
        <v>0.95227989505297483</v>
      </c>
      <c r="Z702">
        <v>0.71430658483214859</v>
      </c>
      <c r="AA702">
        <v>0.87539139043524483</v>
      </c>
      <c r="AB702">
        <v>0.75798297854000118</v>
      </c>
      <c r="AC702">
        <v>0.80930859368803487</v>
      </c>
      <c r="AD702">
        <v>0.86791778859549706</v>
      </c>
      <c r="AE702">
        <v>0.94160327406357736</v>
      </c>
      <c r="AH702">
        <v>8.6299910395397528E-2</v>
      </c>
      <c r="AI702">
        <v>4.5323221656882184E-2</v>
      </c>
      <c r="AJ702">
        <v>4.3296067862675591E-2</v>
      </c>
      <c r="AK702">
        <v>0.21340893810224393</v>
      </c>
      <c r="AL702">
        <v>6.3245665911920379E-2</v>
      </c>
      <c r="AM702">
        <v>4.8918874541156288E-2</v>
      </c>
      <c r="AN702">
        <v>0.19684870734422644</v>
      </c>
      <c r="AO702">
        <v>0.12045350549457867</v>
      </c>
      <c r="AR702">
        <v>1.0533003385250206E-3</v>
      </c>
      <c r="AS702">
        <v>4.203258809592025E-3</v>
      </c>
      <c r="AT702">
        <v>9.9179527637067999E-2</v>
      </c>
      <c r="AU702">
        <v>1.8848988492153162E-3</v>
      </c>
      <c r="AV702">
        <v>2.0761242688681625E-3</v>
      </c>
      <c r="AW702">
        <v>3.5657239459426782E-3</v>
      </c>
      <c r="AX702">
        <v>4.817394299501121E-4</v>
      </c>
      <c r="AY702">
        <v>4.2650474399437877E-4</v>
      </c>
      <c r="BB702">
        <v>5.0957718228392901E-2</v>
      </c>
      <c r="BC702">
        <v>3.6093391423052595E-2</v>
      </c>
      <c r="BE702">
        <v>31459.238371865558</v>
      </c>
      <c r="BF702">
        <v>21.446143548815236</v>
      </c>
      <c r="BG702">
        <v>33418.360441870187</v>
      </c>
      <c r="BH702">
        <v>21.420446643443679</v>
      </c>
    </row>
    <row r="703" spans="3:60" x14ac:dyDescent="0.2">
      <c r="C703" s="138">
        <v>29939.369354564296</v>
      </c>
      <c r="D703" s="138">
        <v>21.127225608998764</v>
      </c>
      <c r="E703" s="138">
        <v>31776.691838695304</v>
      </c>
      <c r="F703" s="138">
        <v>21.123130271343051</v>
      </c>
      <c r="G703" s="138">
        <v>-1837.3224841310075</v>
      </c>
      <c r="H703" s="138">
        <v>4.095337655712683E-3</v>
      </c>
      <c r="N703" s="138"/>
      <c r="O703" s="138"/>
      <c r="P703" s="138"/>
      <c r="R703">
        <v>310.028825001114</v>
      </c>
      <c r="S703">
        <v>59.04714898023186</v>
      </c>
      <c r="T703">
        <v>263.17286880650846</v>
      </c>
      <c r="U703">
        <v>91.237064000012097</v>
      </c>
      <c r="X703">
        <v>0.73616627247657418</v>
      </c>
      <c r="Y703">
        <v>0.69236158802703796</v>
      </c>
      <c r="Z703">
        <v>0.9732347063574065</v>
      </c>
      <c r="AA703">
        <v>0.89838268894653162</v>
      </c>
      <c r="AB703">
        <v>0.63773491025857543</v>
      </c>
      <c r="AC703">
        <v>0.53029752278803566</v>
      </c>
      <c r="AD703">
        <v>0.7640813522207055</v>
      </c>
      <c r="AE703">
        <v>0.88671409629045739</v>
      </c>
      <c r="AH703">
        <v>0.15287831387472106</v>
      </c>
      <c r="AI703">
        <v>8.808700999427721E-2</v>
      </c>
      <c r="AJ703">
        <v>0.2012577099615015</v>
      </c>
      <c r="AK703">
        <v>0.14800112347973449</v>
      </c>
      <c r="AL703">
        <v>6.9290812010651903E-2</v>
      </c>
      <c r="AM703">
        <v>8.6395796444527551E-2</v>
      </c>
      <c r="AN703">
        <v>0.1552726129154226</v>
      </c>
      <c r="AO703">
        <v>5.7884856462639966E-2</v>
      </c>
      <c r="AR703">
        <v>1.0467367393000027E-3</v>
      </c>
      <c r="AS703">
        <v>4.6164112564658355E-3</v>
      </c>
      <c r="AT703">
        <v>0.10051415110613371</v>
      </c>
      <c r="AU703">
        <v>1.8882981247710414E-3</v>
      </c>
      <c r="AV703">
        <v>2.0149586754836246E-3</v>
      </c>
      <c r="AW703">
        <v>3.4561018754052375E-3</v>
      </c>
      <c r="AX703">
        <v>4.0725941498787055E-4</v>
      </c>
      <c r="AY703">
        <v>5.2278451455300967E-4</v>
      </c>
      <c r="BB703">
        <v>4.0080875953484689E-2</v>
      </c>
      <c r="BC703">
        <v>5.4192944847757163E-2</v>
      </c>
      <c r="BE703">
        <v>29939.369354564296</v>
      </c>
      <c r="BF703">
        <v>21.127225608998764</v>
      </c>
      <c r="BG703">
        <v>31776.691838695304</v>
      </c>
      <c r="BH703">
        <v>21.123130271343051</v>
      </c>
    </row>
    <row r="704" spans="3:60" x14ac:dyDescent="0.2">
      <c r="C704" s="138">
        <v>33330.07295904489</v>
      </c>
      <c r="D704" s="138">
        <v>21.177112492426645</v>
      </c>
      <c r="E704" s="138">
        <v>35522.626474691991</v>
      </c>
      <c r="F704" s="138">
        <v>21.15891885932502</v>
      </c>
      <c r="G704" s="138">
        <v>-2192.5535156471014</v>
      </c>
      <c r="H704" s="138">
        <v>1.8193633101624584E-2</v>
      </c>
      <c r="N704" s="138"/>
      <c r="O704" s="138"/>
      <c r="P704" s="138"/>
      <c r="R704">
        <v>363.93082221074786</v>
      </c>
      <c r="S704">
        <v>66.213689813802247</v>
      </c>
      <c r="T704">
        <v>296.80625590201714</v>
      </c>
      <c r="U704">
        <v>108.41512326847058</v>
      </c>
      <c r="X704">
        <v>0.84983313587880138</v>
      </c>
      <c r="Y704">
        <v>0.91161892994699678</v>
      </c>
      <c r="Z704">
        <v>0.51529028710717906</v>
      </c>
      <c r="AA704">
        <v>0.83034470776962377</v>
      </c>
      <c r="AB704">
        <v>0.56446240786013757</v>
      </c>
      <c r="AC704">
        <v>0.681582634263875</v>
      </c>
      <c r="AD704">
        <v>0.44966511289015204</v>
      </c>
      <c r="AE704">
        <v>0.71816717408536512</v>
      </c>
      <c r="AH704">
        <v>0.11821538248633057</v>
      </c>
      <c r="AI704">
        <v>0.19759327317378472</v>
      </c>
      <c r="AJ704">
        <v>0.33174691443672333</v>
      </c>
      <c r="AK704">
        <v>0.21185271051517052</v>
      </c>
      <c r="AL704">
        <v>8.5998995220626817E-2</v>
      </c>
      <c r="AM704">
        <v>6.8304365803472655E-2</v>
      </c>
      <c r="AN704">
        <v>0.11722965848486722</v>
      </c>
      <c r="AO704">
        <v>4.8235655454264448E-2</v>
      </c>
      <c r="AR704">
        <v>1.1589188575142906E-3</v>
      </c>
      <c r="AS704">
        <v>4.4846840945537286E-3</v>
      </c>
      <c r="AT704">
        <v>0.10118354568028909</v>
      </c>
      <c r="AU704">
        <v>1.9176048711516899E-3</v>
      </c>
      <c r="AV704">
        <v>1.8353073389305451E-3</v>
      </c>
      <c r="AW704">
        <v>3.1979795714900199E-3</v>
      </c>
      <c r="AX704">
        <v>4.600065915217888E-4</v>
      </c>
      <c r="AY704">
        <v>4.0386519864417635E-4</v>
      </c>
      <c r="BB704">
        <v>5.4525666854166821E-2</v>
      </c>
      <c r="BC704">
        <v>2.9632262570629533E-2</v>
      </c>
      <c r="BE704">
        <v>33330.07295904489</v>
      </c>
      <c r="BF704">
        <v>21.177112492426645</v>
      </c>
      <c r="BG704">
        <v>35522.626474691991</v>
      </c>
      <c r="BH704">
        <v>21.15891885932502</v>
      </c>
    </row>
    <row r="705" spans="3:60" x14ac:dyDescent="0.2">
      <c r="C705" s="138">
        <v>29245.060490056829</v>
      </c>
      <c r="D705" s="138">
        <v>20.580547656421224</v>
      </c>
      <c r="E705" s="138">
        <v>31072.304287000035</v>
      </c>
      <c r="F705" s="138">
        <v>20.543557928580164</v>
      </c>
      <c r="G705" s="138">
        <v>-1827.2437969432067</v>
      </c>
      <c r="H705" s="138">
        <v>3.6989727841060471E-2</v>
      </c>
      <c r="N705" s="138"/>
      <c r="O705" s="138"/>
      <c r="P705" s="138"/>
      <c r="R705">
        <v>276.97068066341774</v>
      </c>
      <c r="S705">
        <v>59.229342361784511</v>
      </c>
      <c r="T705">
        <v>252.6944900574066</v>
      </c>
      <c r="U705">
        <v>93.896916227268846</v>
      </c>
      <c r="X705">
        <v>0.80499319304745387</v>
      </c>
      <c r="Y705">
        <v>0.719810846323233</v>
      </c>
      <c r="Z705">
        <v>0.83491425979473466</v>
      </c>
      <c r="AA705">
        <v>0.63533894048558548</v>
      </c>
      <c r="AB705">
        <v>0.74314718945732483</v>
      </c>
      <c r="AC705">
        <v>0.79799507774530409</v>
      </c>
      <c r="AD705">
        <v>0.6723492577709187</v>
      </c>
      <c r="AE705">
        <v>0.82375510758224979</v>
      </c>
      <c r="AH705">
        <v>0.16545498908713674</v>
      </c>
      <c r="AI705">
        <v>4.5139864380643102E-2</v>
      </c>
      <c r="AJ705">
        <v>8.1186359243106243E-2</v>
      </c>
      <c r="AK705">
        <v>1.4423303248714658E-2</v>
      </c>
      <c r="AL705">
        <v>0.19626849439731187</v>
      </c>
      <c r="AM705">
        <v>0.10141605392542929</v>
      </c>
      <c r="AN705">
        <v>9.1750384967837606E-2</v>
      </c>
      <c r="AO705">
        <v>9.2722031465360399E-2</v>
      </c>
      <c r="AR705">
        <v>9.032426152888462E-4</v>
      </c>
      <c r="AS705">
        <v>4.5282219488805842E-3</v>
      </c>
      <c r="AT705">
        <v>0.10035898617401218</v>
      </c>
      <c r="AU705">
        <v>1.9670103489803602E-3</v>
      </c>
      <c r="AV705">
        <v>1.9906368596515896E-3</v>
      </c>
      <c r="AW705">
        <v>3.390729720165065E-3</v>
      </c>
      <c r="AX705">
        <v>4.1123563204181757E-4</v>
      </c>
      <c r="AY705">
        <v>4.8646509450778197E-4</v>
      </c>
      <c r="BB705">
        <v>4.8521041830034084E-2</v>
      </c>
      <c r="BC705">
        <v>5.561924048880007E-2</v>
      </c>
      <c r="BE705">
        <v>29245.060490056829</v>
      </c>
      <c r="BF705">
        <v>20.580547656421224</v>
      </c>
      <c r="BG705">
        <v>31072.304287000035</v>
      </c>
      <c r="BH705">
        <v>20.543557928580164</v>
      </c>
    </row>
    <row r="706" spans="3:60" x14ac:dyDescent="0.2">
      <c r="C706" s="138">
        <v>34762.061007539094</v>
      </c>
      <c r="D706" s="138">
        <v>21.403180945859109</v>
      </c>
      <c r="E706" s="138">
        <v>36919.113633559813</v>
      </c>
      <c r="F706" s="138">
        <v>21.395356829467911</v>
      </c>
      <c r="G706" s="138">
        <v>-2157.0526260207189</v>
      </c>
      <c r="H706" s="138">
        <v>7.8241163911982881E-3</v>
      </c>
      <c r="N706" s="138"/>
      <c r="O706" s="138"/>
      <c r="P706" s="138"/>
      <c r="R706">
        <v>395.86528100559229</v>
      </c>
      <c r="S706">
        <v>66.002612965026657</v>
      </c>
      <c r="T706">
        <v>217.2095299139628</v>
      </c>
      <c r="U706">
        <v>99.155455102271432</v>
      </c>
      <c r="X706">
        <v>0.76116831269390894</v>
      </c>
      <c r="Y706">
        <v>0.86644694232367048</v>
      </c>
      <c r="Z706">
        <v>0.50635099866675359</v>
      </c>
      <c r="AA706">
        <v>0.61080031161574277</v>
      </c>
      <c r="AB706">
        <v>0.68805931412336474</v>
      </c>
      <c r="AC706">
        <v>0.79672392645431223</v>
      </c>
      <c r="AD706">
        <v>0.65342560026292418</v>
      </c>
      <c r="AE706">
        <v>0.71996943742651776</v>
      </c>
      <c r="AH706">
        <v>0.12487092102874675</v>
      </c>
      <c r="AI706">
        <v>9.8888573469031682E-2</v>
      </c>
      <c r="AJ706">
        <v>4.9094071433771314E-2</v>
      </c>
      <c r="AK706">
        <v>0.23404673394438325</v>
      </c>
      <c r="AL706">
        <v>3.4141968886824747E-2</v>
      </c>
      <c r="AM706">
        <v>5.4728724680176422E-2</v>
      </c>
      <c r="AN706">
        <v>0.22242758491561676</v>
      </c>
      <c r="AO706">
        <v>6.8473853818206143E-2</v>
      </c>
      <c r="AR706">
        <v>8.8696039917113279E-4</v>
      </c>
      <c r="AS706">
        <v>4.5378262599866659E-3</v>
      </c>
      <c r="AT706">
        <v>0.1001764303724304</v>
      </c>
      <c r="AU706">
        <v>2.0834079407827666E-3</v>
      </c>
      <c r="AV706">
        <v>2.2458838466167252E-3</v>
      </c>
      <c r="AW706">
        <v>3.4347102733794932E-3</v>
      </c>
      <c r="AX706">
        <v>4.2660072319378184E-4</v>
      </c>
      <c r="AY706">
        <v>5.1683419779358086E-4</v>
      </c>
      <c r="BB706">
        <v>4.4937740043580261E-2</v>
      </c>
      <c r="BC706">
        <v>5.1093491811240566E-2</v>
      </c>
      <c r="BE706">
        <v>34762.061007539094</v>
      </c>
      <c r="BF706">
        <v>21.403180945859109</v>
      </c>
      <c r="BG706">
        <v>36919.113633559813</v>
      </c>
      <c r="BH706">
        <v>21.395356829467911</v>
      </c>
    </row>
    <row r="707" spans="3:60" x14ac:dyDescent="0.2">
      <c r="C707" s="138">
        <v>32102.091737572297</v>
      </c>
      <c r="D707" s="138">
        <v>19.779854906505708</v>
      </c>
      <c r="E707" s="138">
        <v>34564.952525053857</v>
      </c>
      <c r="F707" s="138">
        <v>19.776285823673639</v>
      </c>
      <c r="G707" s="138">
        <v>-2462.8607874815607</v>
      </c>
      <c r="H707" s="138">
        <v>3.569082832068915E-3</v>
      </c>
      <c r="N707" s="138"/>
      <c r="O707" s="138"/>
      <c r="P707" s="138"/>
      <c r="R707">
        <v>183.31213530752837</v>
      </c>
      <c r="S707">
        <v>50.872122745395004</v>
      </c>
      <c r="T707">
        <v>213.65291049427174</v>
      </c>
      <c r="U707">
        <v>95.373824396124419</v>
      </c>
      <c r="X707">
        <v>0.73614498399368666</v>
      </c>
      <c r="Y707">
        <v>0.86525095198768354</v>
      </c>
      <c r="Z707">
        <v>0.86308887607019036</v>
      </c>
      <c r="AA707">
        <v>0.90669690819592752</v>
      </c>
      <c r="AB707">
        <v>0.83381224246719676</v>
      </c>
      <c r="AC707">
        <v>0.82260091608786978</v>
      </c>
      <c r="AD707">
        <v>0.46562429530570115</v>
      </c>
      <c r="AE707">
        <v>0.86574060007039244</v>
      </c>
      <c r="AH707">
        <v>4.078364434723436E-2</v>
      </c>
      <c r="AI707">
        <v>8.8233325300777987E-2</v>
      </c>
      <c r="AJ707">
        <v>0.1196442112245778</v>
      </c>
      <c r="AK707">
        <v>7.2890002663650644E-2</v>
      </c>
      <c r="AL707">
        <v>0.16788179191250874</v>
      </c>
      <c r="AM707">
        <v>0.27410919772520981</v>
      </c>
      <c r="AN707">
        <v>4.3096384549791256E-2</v>
      </c>
      <c r="AO707">
        <v>0.23627792112932466</v>
      </c>
      <c r="AR707">
        <v>8.7951958549985275E-4</v>
      </c>
      <c r="AS707">
        <v>4.7066463519531698E-3</v>
      </c>
      <c r="AT707">
        <v>9.8729962646580363E-2</v>
      </c>
      <c r="AU707">
        <v>2.1167866842137784E-3</v>
      </c>
      <c r="AV707">
        <v>2.2054872972213646E-3</v>
      </c>
      <c r="AW707">
        <v>3.5806050395763567E-3</v>
      </c>
      <c r="AX707">
        <v>4.2384720672994369E-4</v>
      </c>
      <c r="AY707">
        <v>4.3034718423338818E-4</v>
      </c>
      <c r="BB707">
        <v>5.0843039556384695E-2</v>
      </c>
      <c r="BC707">
        <v>9.4640315916628248E-2</v>
      </c>
      <c r="BE707">
        <v>32102.091737572297</v>
      </c>
      <c r="BF707">
        <v>19.779854906505708</v>
      </c>
      <c r="BG707">
        <v>34564.952525053857</v>
      </c>
      <c r="BH707">
        <v>19.776285823673639</v>
      </c>
    </row>
    <row r="708" spans="3:60" x14ac:dyDescent="0.2">
      <c r="C708" s="138">
        <v>37271.200602067482</v>
      </c>
      <c r="D708" s="138">
        <v>21.111900469682737</v>
      </c>
      <c r="E708" s="138">
        <v>39356.142333258191</v>
      </c>
      <c r="F708" s="138">
        <v>21.147886651171909</v>
      </c>
      <c r="G708" s="138">
        <v>-2084.9417311907091</v>
      </c>
      <c r="H708" s="138">
        <v>-3.5986181489171543E-2</v>
      </c>
      <c r="N708" s="138"/>
      <c r="O708" s="138"/>
      <c r="P708" s="138"/>
      <c r="R708">
        <v>336.55692997059055</v>
      </c>
      <c r="S708">
        <v>59.277198681828175</v>
      </c>
      <c r="T708">
        <v>225.47594261948791</v>
      </c>
      <c r="U708">
        <v>89.853869141488559</v>
      </c>
      <c r="X708">
        <v>0.86108847284912748</v>
      </c>
      <c r="Y708">
        <v>0.84936167428708786</v>
      </c>
      <c r="Z708">
        <v>0.82537209309594839</v>
      </c>
      <c r="AA708">
        <v>0.46647842768398717</v>
      </c>
      <c r="AB708">
        <v>0.7910083988327522</v>
      </c>
      <c r="AC708">
        <v>0.88696220901141709</v>
      </c>
      <c r="AD708">
        <v>0.73223210469862776</v>
      </c>
      <c r="AE708">
        <v>0.88924239192364563</v>
      </c>
      <c r="AH708">
        <v>8.0693570768314293E-2</v>
      </c>
      <c r="AI708">
        <v>0.40678223592851304</v>
      </c>
      <c r="AJ708">
        <v>2.1050668187651889E-2</v>
      </c>
      <c r="AK708">
        <v>0.24463223004758716</v>
      </c>
      <c r="AL708">
        <v>7.5769986496860287E-2</v>
      </c>
      <c r="AM708">
        <v>3.4377403112292093E-2</v>
      </c>
      <c r="AN708">
        <v>0.11525471784431707</v>
      </c>
      <c r="AO708">
        <v>0.15133275757749209</v>
      </c>
      <c r="AR708">
        <v>1.042139638317674E-3</v>
      </c>
      <c r="AS708">
        <v>4.4897683054604303E-3</v>
      </c>
      <c r="AT708">
        <v>0.10124821034827236</v>
      </c>
      <c r="AU708">
        <v>2.0163254300042954E-3</v>
      </c>
      <c r="AV708">
        <v>2.113959129824039E-3</v>
      </c>
      <c r="AW708">
        <v>3.5828960638428775E-3</v>
      </c>
      <c r="AX708">
        <v>3.352064141578874E-4</v>
      </c>
      <c r="AY708">
        <v>4.4169056706743284E-4</v>
      </c>
      <c r="BB708">
        <v>4.697295668021019E-2</v>
      </c>
      <c r="BC708">
        <v>8.2591950316939111E-2</v>
      </c>
      <c r="BE708">
        <v>37271.200602067482</v>
      </c>
      <c r="BF708">
        <v>21.111900469682737</v>
      </c>
      <c r="BG708">
        <v>39356.142333258191</v>
      </c>
      <c r="BH708">
        <v>21.147886651171909</v>
      </c>
    </row>
    <row r="709" spans="3:60" x14ac:dyDescent="0.2">
      <c r="C709" s="138">
        <v>28986.40576191511</v>
      </c>
      <c r="D709" s="138">
        <v>20.948952588774841</v>
      </c>
      <c r="E709" s="138">
        <v>30883.891932739793</v>
      </c>
      <c r="F709" s="138">
        <v>20.937832315137321</v>
      </c>
      <c r="G709" s="138">
        <v>-1897.4861708246826</v>
      </c>
      <c r="H709" s="138">
        <v>1.1120273637519773E-2</v>
      </c>
      <c r="N709" s="138"/>
      <c r="O709" s="138"/>
      <c r="P709" s="138"/>
      <c r="R709">
        <v>261.88174618148139</v>
      </c>
      <c r="S709">
        <v>62.444963001804403</v>
      </c>
      <c r="T709">
        <v>238.2333418075099</v>
      </c>
      <c r="U709">
        <v>93.875035212054513</v>
      </c>
      <c r="X709">
        <v>0.82920639159644172</v>
      </c>
      <c r="Y709">
        <v>0.88605560814148498</v>
      </c>
      <c r="Z709">
        <v>0.90016870380161351</v>
      </c>
      <c r="AA709">
        <v>0.60156298505070327</v>
      </c>
      <c r="AB709">
        <v>0.67331858700556879</v>
      </c>
      <c r="AC709">
        <v>0.70151524471447768</v>
      </c>
      <c r="AD709">
        <v>0.46085367875750255</v>
      </c>
      <c r="AE709">
        <v>0.91763575150992904</v>
      </c>
      <c r="AH709">
        <v>4.6791799703319814E-2</v>
      </c>
      <c r="AI709">
        <v>0.19626813287917877</v>
      </c>
      <c r="AJ709">
        <v>7.337571070758675E-2</v>
      </c>
      <c r="AK709">
        <v>0.29955028027914676</v>
      </c>
      <c r="AL709">
        <v>0.30652889933528693</v>
      </c>
      <c r="AM709">
        <v>2.4489937825872943E-2</v>
      </c>
      <c r="AN709">
        <v>6.9368725574898482E-2</v>
      </c>
      <c r="AO709">
        <v>9.9843915137024286E-2</v>
      </c>
      <c r="AR709">
        <v>8.2512606092884121E-4</v>
      </c>
      <c r="AS709">
        <v>4.4054508570858832E-3</v>
      </c>
      <c r="AT709">
        <v>9.8624042593928027E-2</v>
      </c>
      <c r="AU709">
        <v>1.9641337053201953E-3</v>
      </c>
      <c r="AV709">
        <v>1.6200670781442602E-3</v>
      </c>
      <c r="AW709">
        <v>3.3684313465487136E-3</v>
      </c>
      <c r="AX709">
        <v>4.5605050063068919E-4</v>
      </c>
      <c r="AY709">
        <v>3.6179751569177023E-4</v>
      </c>
      <c r="BB709">
        <v>5.3099527319378725E-2</v>
      </c>
      <c r="BC709">
        <v>3.9442015696508605E-2</v>
      </c>
      <c r="BE709">
        <v>28986.40576191511</v>
      </c>
      <c r="BF709">
        <v>20.948952588774841</v>
      </c>
      <c r="BG709">
        <v>30883.891932739793</v>
      </c>
      <c r="BH709">
        <v>20.937832315137321</v>
      </c>
    </row>
    <row r="710" spans="3:60" x14ac:dyDescent="0.2">
      <c r="C710" s="138">
        <v>33390.91619004403</v>
      </c>
      <c r="D710" s="138">
        <v>20.08959178427741</v>
      </c>
      <c r="E710" s="138">
        <v>35451.520948280122</v>
      </c>
      <c r="F710" s="138">
        <v>20.042916599595848</v>
      </c>
      <c r="G710" s="138">
        <v>-2060.6047582360916</v>
      </c>
      <c r="H710" s="138">
        <v>4.6675184681561177E-2</v>
      </c>
      <c r="N710" s="138"/>
      <c r="O710" s="138"/>
      <c r="P710" s="138"/>
      <c r="R710">
        <v>251.32698874379261</v>
      </c>
      <c r="S710">
        <v>76.596003947828677</v>
      </c>
      <c r="T710">
        <v>220.7839347626529</v>
      </c>
      <c r="U710">
        <v>100.02789854818214</v>
      </c>
      <c r="X710">
        <v>0.93813306562256471</v>
      </c>
      <c r="Y710">
        <v>0.65015468527032272</v>
      </c>
      <c r="Z710">
        <v>0.70352990588517916</v>
      </c>
      <c r="AA710">
        <v>0.69751092537082937</v>
      </c>
      <c r="AB710">
        <v>0.79996886079552465</v>
      </c>
      <c r="AC710">
        <v>0.52779262778775093</v>
      </c>
      <c r="AD710">
        <v>0.46764738423930552</v>
      </c>
      <c r="AE710">
        <v>0.43934351914653419</v>
      </c>
      <c r="AH710">
        <v>0.15437697941584005</v>
      </c>
      <c r="AI710">
        <v>0.1429365561559246</v>
      </c>
      <c r="AJ710">
        <v>7.7243001532993238E-2</v>
      </c>
      <c r="AK710">
        <v>6.9523836298089337E-2</v>
      </c>
      <c r="AL710">
        <v>3.5699005108939419E-2</v>
      </c>
      <c r="AM710">
        <v>6.9743010190062238E-2</v>
      </c>
      <c r="AN710">
        <v>0.13555128299380559</v>
      </c>
      <c r="AO710">
        <v>8.6881911915478893E-2</v>
      </c>
      <c r="AR710">
        <v>9.3507424946803752E-4</v>
      </c>
      <c r="AS710">
        <v>4.2891582681271355E-3</v>
      </c>
      <c r="AT710">
        <v>0.10004603214207641</v>
      </c>
      <c r="AU710">
        <v>2.0408751661437075E-3</v>
      </c>
      <c r="AV710">
        <v>2.0592993860694131E-3</v>
      </c>
      <c r="AW710">
        <v>3.5153355815538134E-3</v>
      </c>
      <c r="AX710">
        <v>3.4636761179536246E-4</v>
      </c>
      <c r="AY710">
        <v>5.5624603843229536E-4</v>
      </c>
      <c r="BB710">
        <v>6.0396459194312913E-2</v>
      </c>
      <c r="BC710">
        <v>8.5402829611564091E-2</v>
      </c>
      <c r="BE710">
        <v>33390.91619004403</v>
      </c>
      <c r="BF710">
        <v>20.08959178427741</v>
      </c>
      <c r="BG710">
        <v>35451.520948280122</v>
      </c>
      <c r="BH710">
        <v>20.042916599595848</v>
      </c>
    </row>
    <row r="711" spans="3:60" x14ac:dyDescent="0.2">
      <c r="C711" s="138">
        <v>32042.919012587081</v>
      </c>
      <c r="D711" s="138">
        <v>19.822287103582838</v>
      </c>
      <c r="E711" s="138">
        <v>33995.686832755659</v>
      </c>
      <c r="F711" s="138">
        <v>19.749126416592713</v>
      </c>
      <c r="G711" s="138">
        <v>-1952.7678201685776</v>
      </c>
      <c r="H711" s="138">
        <v>7.3160686990124901E-2</v>
      </c>
      <c r="N711" s="138"/>
      <c r="O711" s="138"/>
      <c r="P711" s="138"/>
      <c r="R711">
        <v>445.26483870745903</v>
      </c>
      <c r="S711">
        <v>67.065243034262991</v>
      </c>
      <c r="T711">
        <v>257.4757304625316</v>
      </c>
      <c r="U711">
        <v>96.605671837842834</v>
      </c>
      <c r="X711">
        <v>0.77616877701725295</v>
      </c>
      <c r="Y711">
        <v>0.7630909575352679</v>
      </c>
      <c r="Z711">
        <v>0.77563213775717799</v>
      </c>
      <c r="AA711">
        <v>0.52222853465281061</v>
      </c>
      <c r="AB711">
        <v>0.69758423126238711</v>
      </c>
      <c r="AC711">
        <v>0.58647455129528248</v>
      </c>
      <c r="AD711">
        <v>0.61642421962078808</v>
      </c>
      <c r="AE711">
        <v>0.80514479313610998</v>
      </c>
      <c r="AH711">
        <v>1.2784242086800957E-2</v>
      </c>
      <c r="AI711">
        <v>0.24021935124177296</v>
      </c>
      <c r="AJ711">
        <v>0.11930881863506682</v>
      </c>
      <c r="AK711">
        <v>0.21249716556648601</v>
      </c>
      <c r="AL711">
        <v>0.18877241160420333</v>
      </c>
      <c r="AM711">
        <v>6.04196063087441E-2</v>
      </c>
      <c r="AN711">
        <v>6.6107844562766971E-2</v>
      </c>
      <c r="AO711">
        <v>7.7503671488508785E-2</v>
      </c>
      <c r="AR711">
        <v>9.2871097930857793E-4</v>
      </c>
      <c r="AS711">
        <v>4.5328669026711843E-3</v>
      </c>
      <c r="AT711">
        <v>9.858955751297413E-2</v>
      </c>
      <c r="AU711">
        <v>1.7631811270761744E-3</v>
      </c>
      <c r="AV711">
        <v>1.8435946183445813E-3</v>
      </c>
      <c r="AW711">
        <v>3.6566821219222723E-3</v>
      </c>
      <c r="AX711">
        <v>3.1770850986615747E-4</v>
      </c>
      <c r="AY711">
        <v>5.226578451341668E-4</v>
      </c>
      <c r="BB711">
        <v>4.7213346790263039E-2</v>
      </c>
      <c r="BC711">
        <v>4.8685561436312419E-2</v>
      </c>
      <c r="BE711">
        <v>32042.919012587081</v>
      </c>
      <c r="BF711">
        <v>19.822287103582838</v>
      </c>
      <c r="BG711">
        <v>33995.686832755659</v>
      </c>
      <c r="BH711">
        <v>19.749126416592713</v>
      </c>
    </row>
    <row r="712" spans="3:60" x14ac:dyDescent="0.2">
      <c r="C712" s="138">
        <v>32916.088341549628</v>
      </c>
      <c r="D712" s="138">
        <v>21.320100941408796</v>
      </c>
      <c r="E712" s="138">
        <v>34999.607007239516</v>
      </c>
      <c r="F712" s="138">
        <v>21.311071868681356</v>
      </c>
      <c r="G712" s="138">
        <v>-2083.5186656898877</v>
      </c>
      <c r="H712" s="138">
        <v>9.029072727440024E-3</v>
      </c>
      <c r="N712" s="138"/>
      <c r="O712" s="138"/>
      <c r="P712" s="138"/>
      <c r="R712">
        <v>369.73469519857281</v>
      </c>
      <c r="S712">
        <v>61.71000774392035</v>
      </c>
      <c r="T712">
        <v>242.0341942999828</v>
      </c>
      <c r="U712">
        <v>104.72216876570123</v>
      </c>
      <c r="X712">
        <v>0.8253120214259968</v>
      </c>
      <c r="Y712">
        <v>0.65240008507534797</v>
      </c>
      <c r="Z712">
        <v>0.87064176205287935</v>
      </c>
      <c r="AA712">
        <v>0.95868802931949082</v>
      </c>
      <c r="AB712">
        <v>0.50356641533247015</v>
      </c>
      <c r="AC712">
        <v>0.87454600662822046</v>
      </c>
      <c r="AD712">
        <v>0.58613067973093158</v>
      </c>
      <c r="AE712">
        <v>0.66242731835220592</v>
      </c>
      <c r="AH712">
        <v>0.24162464155997121</v>
      </c>
      <c r="AI712">
        <v>0.24823264874711093</v>
      </c>
      <c r="AJ712">
        <v>3.3657675848133617E-2</v>
      </c>
      <c r="AK712">
        <v>6.686570066889308E-2</v>
      </c>
      <c r="AL712">
        <v>0.25615971030060003</v>
      </c>
      <c r="AM712">
        <v>0.15786497635405505</v>
      </c>
      <c r="AN712">
        <v>0.27126785745181792</v>
      </c>
      <c r="AO712">
        <v>0.28045224332212304</v>
      </c>
      <c r="AR712">
        <v>9.5612079715279297E-4</v>
      </c>
      <c r="AS712">
        <v>4.4664617978840008E-3</v>
      </c>
      <c r="AT712">
        <v>0.100771030257095</v>
      </c>
      <c r="AU712">
        <v>2.0192224075638032E-3</v>
      </c>
      <c r="AV712">
        <v>2.2149861134077575E-3</v>
      </c>
      <c r="AW712">
        <v>3.3938666576662346E-3</v>
      </c>
      <c r="AX712">
        <v>3.2288702215731206E-4</v>
      </c>
      <c r="AY712">
        <v>3.8743634344151894E-4</v>
      </c>
      <c r="BB712">
        <v>4.7209667730489534E-2</v>
      </c>
      <c r="BC712">
        <v>8.7827479418637222E-2</v>
      </c>
      <c r="BE712">
        <v>32916.088341549628</v>
      </c>
      <c r="BF712">
        <v>21.320100941408796</v>
      </c>
      <c r="BG712">
        <v>34999.607007239516</v>
      </c>
      <c r="BH712">
        <v>21.311071868681356</v>
      </c>
    </row>
    <row r="713" spans="3:60" x14ac:dyDescent="0.2">
      <c r="C713" s="138">
        <v>31216.687140288956</v>
      </c>
      <c r="D713" s="138">
        <v>20.796728752392653</v>
      </c>
      <c r="E713" s="138">
        <v>33660.376972107108</v>
      </c>
      <c r="F713" s="138">
        <v>20.770263322386519</v>
      </c>
      <c r="G713" s="138">
        <v>-2443.689831818152</v>
      </c>
      <c r="H713" s="138">
        <v>2.6465430006133772E-2</v>
      </c>
      <c r="N713" s="138"/>
      <c r="O713" s="138"/>
      <c r="P713" s="138"/>
      <c r="R713">
        <v>242.55460504320439</v>
      </c>
      <c r="S713">
        <v>60.60687034234828</v>
      </c>
      <c r="T713">
        <v>221.68416530857863</v>
      </c>
      <c r="U713">
        <v>85.818559595137216</v>
      </c>
      <c r="X713">
        <v>0.78420405744401978</v>
      </c>
      <c r="Y713">
        <v>0.76355130268224269</v>
      </c>
      <c r="Z713">
        <v>0.82796006694637259</v>
      </c>
      <c r="AA713">
        <v>0.55812923349262322</v>
      </c>
      <c r="AB713">
        <v>0.79275214139521155</v>
      </c>
      <c r="AC713">
        <v>0.94510147814444823</v>
      </c>
      <c r="AD713">
        <v>0.76399295283973223</v>
      </c>
      <c r="AE713">
        <v>0.83535195056179634</v>
      </c>
      <c r="AH713">
        <v>5.6747351609422347E-2</v>
      </c>
      <c r="AI713">
        <v>2.9846726161517179E-2</v>
      </c>
      <c r="AJ713">
        <v>3.7669088692231956E-2</v>
      </c>
      <c r="AK713">
        <v>6.7136904005371534E-3</v>
      </c>
      <c r="AL713">
        <v>0.11920858109139421</v>
      </c>
      <c r="AM713">
        <v>4.6303063930843269E-2</v>
      </c>
      <c r="AN713">
        <v>0.25660596883159215</v>
      </c>
      <c r="AO713">
        <v>4.8635353449731578E-2</v>
      </c>
      <c r="AR713">
        <v>7.6476948064553715E-4</v>
      </c>
      <c r="AS713">
        <v>4.6481804929676684E-3</v>
      </c>
      <c r="AT713">
        <v>9.8407672503513649E-2</v>
      </c>
      <c r="AU713">
        <v>2.0802252609177785E-3</v>
      </c>
      <c r="AV713">
        <v>1.7902112817146324E-3</v>
      </c>
      <c r="AW713">
        <v>3.3380606371616675E-3</v>
      </c>
      <c r="AX713">
        <v>4.5039550859327093E-4</v>
      </c>
      <c r="AY713">
        <v>5.4840173020542782E-4</v>
      </c>
      <c r="BB713">
        <v>5.8417842996569269E-2</v>
      </c>
      <c r="BC713">
        <v>7.3496374666961906E-2</v>
      </c>
      <c r="BE713">
        <v>31216.687140288956</v>
      </c>
      <c r="BF713">
        <v>20.796728752392653</v>
      </c>
      <c r="BG713">
        <v>33660.376972107108</v>
      </c>
      <c r="BH713">
        <v>20.770263322386519</v>
      </c>
    </row>
    <row r="714" spans="3:60" x14ac:dyDescent="0.2">
      <c r="C714" s="138">
        <v>36821.847507197519</v>
      </c>
      <c r="D714" s="138">
        <v>20.927260247912297</v>
      </c>
      <c r="E714" s="138">
        <v>39369.381748531094</v>
      </c>
      <c r="F714" s="138">
        <v>20.898181884313093</v>
      </c>
      <c r="G714" s="138">
        <v>-2547.5342413335748</v>
      </c>
      <c r="H714" s="138">
        <v>2.9078363599204238E-2</v>
      </c>
      <c r="N714" s="138"/>
      <c r="O714" s="138"/>
      <c r="P714" s="138"/>
      <c r="R714">
        <v>346.17810667194647</v>
      </c>
      <c r="S714">
        <v>66.431805103731804</v>
      </c>
      <c r="T714">
        <v>235.72382390953234</v>
      </c>
      <c r="U714">
        <v>93.051334987470327</v>
      </c>
      <c r="X714">
        <v>0.86622894827856856</v>
      </c>
      <c r="Y714">
        <v>0.89541223605464593</v>
      </c>
      <c r="Z714">
        <v>0.74508908436968968</v>
      </c>
      <c r="AA714">
        <v>0.74715383811034908</v>
      </c>
      <c r="AB714">
        <v>0.84144492449676755</v>
      </c>
      <c r="AC714">
        <v>0.69573315364299582</v>
      </c>
      <c r="AD714">
        <v>0.79278757451015514</v>
      </c>
      <c r="AE714">
        <v>0.67915488111114308</v>
      </c>
      <c r="AH714">
        <v>0.14113946003467082</v>
      </c>
      <c r="AI714">
        <v>0.16301950468588466</v>
      </c>
      <c r="AJ714">
        <v>0.19754025668981678</v>
      </c>
      <c r="AK714">
        <v>9.98536106621154E-2</v>
      </c>
      <c r="AL714">
        <v>5.2617599824551942E-2</v>
      </c>
      <c r="AM714">
        <v>0.15852746508426008</v>
      </c>
      <c r="AN714">
        <v>0.10275482162708149</v>
      </c>
      <c r="AO714">
        <v>0.14028452508929357</v>
      </c>
      <c r="AR714">
        <v>1.0412201128373599E-3</v>
      </c>
      <c r="AS714">
        <v>4.6358165708254573E-3</v>
      </c>
      <c r="AT714">
        <v>0.10037816194474136</v>
      </c>
      <c r="AU714">
        <v>2.2154895633579308E-3</v>
      </c>
      <c r="AV714">
        <v>1.9791962005843802E-3</v>
      </c>
      <c r="AW714">
        <v>3.6700164766996224E-3</v>
      </c>
      <c r="AX714">
        <v>3.0377945992865669E-4</v>
      </c>
      <c r="AY714">
        <v>5.6020407720946963E-4</v>
      </c>
      <c r="BB714">
        <v>4.8060991402463962E-2</v>
      </c>
      <c r="BC714">
        <v>3.7215229732951584E-2</v>
      </c>
      <c r="BE714">
        <v>36821.847507197519</v>
      </c>
      <c r="BF714">
        <v>20.927260247912297</v>
      </c>
      <c r="BG714">
        <v>39369.381748531094</v>
      </c>
      <c r="BH714">
        <v>20.898181884313093</v>
      </c>
    </row>
    <row r="715" spans="3:60" x14ac:dyDescent="0.2">
      <c r="C715" s="138">
        <v>35318.356559822445</v>
      </c>
      <c r="D715" s="138">
        <v>21.499142370356701</v>
      </c>
      <c r="E715" s="138">
        <v>37442.472613382168</v>
      </c>
      <c r="F715" s="138">
        <v>21.507179105956258</v>
      </c>
      <c r="G715" s="138">
        <v>-2124.1160535597228</v>
      </c>
      <c r="H715" s="138">
        <v>-8.0367355995569767E-3</v>
      </c>
      <c r="N715" s="138"/>
      <c r="O715" s="138"/>
      <c r="P715" s="138"/>
      <c r="R715">
        <v>143.94777017721566</v>
      </c>
      <c r="S715">
        <v>68.425651092073579</v>
      </c>
      <c r="T715">
        <v>294.52190241618609</v>
      </c>
      <c r="U715">
        <v>99.269907147731104</v>
      </c>
      <c r="X715">
        <v>0.85805023535421066</v>
      </c>
      <c r="Y715">
        <v>0.30331738576378892</v>
      </c>
      <c r="Z715">
        <v>0.98422503533765249</v>
      </c>
      <c r="AA715">
        <v>0.84821054326421996</v>
      </c>
      <c r="AB715">
        <v>0.28771358062673619</v>
      </c>
      <c r="AC715">
        <v>0.80987938060057185</v>
      </c>
      <c r="AD715">
        <v>0.69168624730958439</v>
      </c>
      <c r="AE715">
        <v>0.88930814956112558</v>
      </c>
      <c r="AH715">
        <v>7.0169343803148987E-2</v>
      </c>
      <c r="AI715">
        <v>3.0482199840463964E-2</v>
      </c>
      <c r="AJ715">
        <v>0.15274887275896121</v>
      </c>
      <c r="AK715">
        <v>4.629344744998809E-2</v>
      </c>
      <c r="AL715">
        <v>1.4005946191787411E-2</v>
      </c>
      <c r="AM715">
        <v>0.22866638443572085</v>
      </c>
      <c r="AN715">
        <v>0.18282245502836048</v>
      </c>
      <c r="AO715">
        <v>0.15786074968241182</v>
      </c>
      <c r="AR715">
        <v>8.0320070116828013E-4</v>
      </c>
      <c r="AS715">
        <v>5.1066913428811089E-3</v>
      </c>
      <c r="AT715">
        <v>9.9618013800581925E-2</v>
      </c>
      <c r="AU715">
        <v>1.9896198263867613E-3</v>
      </c>
      <c r="AV715">
        <v>1.9005767369747245E-3</v>
      </c>
      <c r="AW715">
        <v>3.3492147545560918E-3</v>
      </c>
      <c r="AX715">
        <v>3.9738993094806663E-4</v>
      </c>
      <c r="AY715">
        <v>4.4845384112035536E-4</v>
      </c>
      <c r="BB715">
        <v>4.3008074755669895E-2</v>
      </c>
      <c r="BC715">
        <v>7.5822332532636594E-2</v>
      </c>
      <c r="BE715">
        <v>35318.356559822445</v>
      </c>
      <c r="BF715">
        <v>21.499142370356701</v>
      </c>
      <c r="BG715">
        <v>37442.472613382168</v>
      </c>
      <c r="BH715">
        <v>21.507179105956258</v>
      </c>
    </row>
    <row r="716" spans="3:60" x14ac:dyDescent="0.2">
      <c r="C716" s="138">
        <v>28286.02361238248</v>
      </c>
      <c r="D716" s="138">
        <v>21.323918083283143</v>
      </c>
      <c r="E716" s="138">
        <v>30065.691870040915</v>
      </c>
      <c r="F716" s="138">
        <v>21.336529401841194</v>
      </c>
      <c r="G716" s="138">
        <v>-1779.6682576584353</v>
      </c>
      <c r="H716" s="138">
        <v>-1.2611318558050755E-2</v>
      </c>
      <c r="N716" s="138"/>
      <c r="O716" s="138"/>
      <c r="P716" s="138"/>
      <c r="R716">
        <v>283.4139797345357</v>
      </c>
      <c r="S716">
        <v>67.362418151422048</v>
      </c>
      <c r="T716">
        <v>284.23042898442714</v>
      </c>
      <c r="U716">
        <v>83.369589752770111</v>
      </c>
      <c r="X716">
        <v>0.73480784033253377</v>
      </c>
      <c r="Y716">
        <v>0.52638357131552271</v>
      </c>
      <c r="Z716">
        <v>0.87941845480249947</v>
      </c>
      <c r="AA716">
        <v>0.91616059260618288</v>
      </c>
      <c r="AB716">
        <v>0.87174396167716239</v>
      </c>
      <c r="AC716">
        <v>0.70659079086746823</v>
      </c>
      <c r="AD716">
        <v>0.887791560936394</v>
      </c>
      <c r="AE716">
        <v>0.43931328305353212</v>
      </c>
      <c r="AH716">
        <v>5.3527813080046727E-2</v>
      </c>
      <c r="AI716">
        <v>0.26329384331130778</v>
      </c>
      <c r="AJ716">
        <v>0.22161775369701386</v>
      </c>
      <c r="AK716">
        <v>0.1062360688281041</v>
      </c>
      <c r="AL716">
        <v>0.25651795614886608</v>
      </c>
      <c r="AM716">
        <v>6.7011132093167669E-3</v>
      </c>
      <c r="AN716">
        <v>0.11462919525153403</v>
      </c>
      <c r="AO716">
        <v>5.2639949814964115E-2</v>
      </c>
      <c r="AR716">
        <v>8.4796348161289374E-4</v>
      </c>
      <c r="AS716">
        <v>4.8846146893590792E-3</v>
      </c>
      <c r="AT716">
        <v>9.9168235541957597E-2</v>
      </c>
      <c r="AU716">
        <v>2.0879690158062125E-3</v>
      </c>
      <c r="AV716">
        <v>1.842920251072708E-3</v>
      </c>
      <c r="AW716">
        <v>3.315318455789367E-3</v>
      </c>
      <c r="AX716">
        <v>4.750441980382325E-4</v>
      </c>
      <c r="AY716">
        <v>4.4040494122660884E-4</v>
      </c>
      <c r="BB716">
        <v>5.6757770899966808E-2</v>
      </c>
      <c r="BC716">
        <v>0.13990461317018688</v>
      </c>
      <c r="BE716">
        <v>28286.02361238248</v>
      </c>
      <c r="BF716">
        <v>21.323918083283143</v>
      </c>
      <c r="BG716">
        <v>30065.691870040915</v>
      </c>
      <c r="BH716">
        <v>21.336529401841194</v>
      </c>
    </row>
    <row r="717" spans="3:60" x14ac:dyDescent="0.2">
      <c r="C717" s="138">
        <v>29258.378705211424</v>
      </c>
      <c r="D717" s="138">
        <v>21.233810190740275</v>
      </c>
      <c r="E717" s="138">
        <v>31923.466151491175</v>
      </c>
      <c r="F717" s="138">
        <v>21.221815388635211</v>
      </c>
      <c r="G717" s="138">
        <v>-2665.087446279751</v>
      </c>
      <c r="H717" s="138">
        <v>1.199480210506465E-2</v>
      </c>
      <c r="N717" s="138"/>
      <c r="O717" s="138"/>
      <c r="P717" s="138"/>
      <c r="R717">
        <v>260.71914509982071</v>
      </c>
      <c r="S717">
        <v>61.693411408540101</v>
      </c>
      <c r="T717">
        <v>228.70420587734048</v>
      </c>
      <c r="U717">
        <v>110.913423593148</v>
      </c>
      <c r="X717">
        <v>0.73997989918936879</v>
      </c>
      <c r="Y717">
        <v>0.71288116863234507</v>
      </c>
      <c r="Z717">
        <v>0.92604442956119237</v>
      </c>
      <c r="AA717">
        <v>0.71346051249203324</v>
      </c>
      <c r="AB717">
        <v>0.58182340649471309</v>
      </c>
      <c r="AC717">
        <v>0.9141079453787746</v>
      </c>
      <c r="AD717">
        <v>0.79367074335505161</v>
      </c>
      <c r="AE717">
        <v>0.92317549441189151</v>
      </c>
      <c r="AH717">
        <v>0.39160952375390323</v>
      </c>
      <c r="AI717">
        <v>0.18514587401840232</v>
      </c>
      <c r="AJ717">
        <v>4.8095658705823108E-2</v>
      </c>
      <c r="AK717">
        <v>0.17682575264039402</v>
      </c>
      <c r="AL717">
        <v>4.1412076283811716E-2</v>
      </c>
      <c r="AM717">
        <v>0.15585898834761269</v>
      </c>
      <c r="AN717">
        <v>9.2547721655800164E-2</v>
      </c>
      <c r="AO717">
        <v>0.23936554457870185</v>
      </c>
      <c r="AR717">
        <v>8.8107586500876215E-4</v>
      </c>
      <c r="AS717">
        <v>3.9741732269208841E-3</v>
      </c>
      <c r="AT717">
        <v>9.980742478523108E-2</v>
      </c>
      <c r="AU717">
        <v>2.0030625519863454E-3</v>
      </c>
      <c r="AV717">
        <v>2.1894628762997304E-3</v>
      </c>
      <c r="AW717">
        <v>3.5636630955301341E-3</v>
      </c>
      <c r="AX717">
        <v>3.8417093361467713E-4</v>
      </c>
      <c r="AY717">
        <v>5.9254588072954473E-4</v>
      </c>
      <c r="BB717">
        <v>4.5008806400439388E-2</v>
      </c>
      <c r="BC717">
        <v>2.6326197824975896E-2</v>
      </c>
      <c r="BE717">
        <v>29258.378705211424</v>
      </c>
      <c r="BF717">
        <v>21.233810190740275</v>
      </c>
      <c r="BG717">
        <v>31923.466151491175</v>
      </c>
      <c r="BH717">
        <v>21.221815388635211</v>
      </c>
    </row>
    <row r="718" spans="3:60" x14ac:dyDescent="0.2">
      <c r="C718" s="138">
        <v>30376.573765926219</v>
      </c>
      <c r="D718" s="138">
        <v>20.944054405834819</v>
      </c>
      <c r="E718" s="138">
        <v>32347.192261791031</v>
      </c>
      <c r="F718" s="138">
        <v>20.920502923035439</v>
      </c>
      <c r="G718" s="138">
        <v>-1970.6184958648118</v>
      </c>
      <c r="H718" s="138">
        <v>2.3551482799380352E-2</v>
      </c>
      <c r="N718" s="138"/>
      <c r="O718" s="138"/>
      <c r="P718" s="138"/>
      <c r="R718">
        <v>70.178970422965847</v>
      </c>
      <c r="S718">
        <v>52.476937052123773</v>
      </c>
      <c r="T718">
        <v>248.19126433063332</v>
      </c>
      <c r="U718">
        <v>81.256936220779806</v>
      </c>
      <c r="X718">
        <v>0.74330543373218916</v>
      </c>
      <c r="Y718">
        <v>0.91068214065088215</v>
      </c>
      <c r="Z718">
        <v>0.73527557501042706</v>
      </c>
      <c r="AA718">
        <v>0.59486654037247</v>
      </c>
      <c r="AB718">
        <v>0.87514145917120723</v>
      </c>
      <c r="AC718">
        <v>0.79175663062666446</v>
      </c>
      <c r="AD718">
        <v>0.55285980347818586</v>
      </c>
      <c r="AE718">
        <v>0.79350989158671659</v>
      </c>
      <c r="AH718">
        <v>7.1343114778119388E-2</v>
      </c>
      <c r="AI718">
        <v>9.479126025268747E-2</v>
      </c>
      <c r="AJ718">
        <v>0.15172394063883177</v>
      </c>
      <c r="AK718">
        <v>0.15469109151145422</v>
      </c>
      <c r="AL718">
        <v>0.13148131714246991</v>
      </c>
      <c r="AM718">
        <v>0.20567499334253658</v>
      </c>
      <c r="AN718">
        <v>0.29937412473892566</v>
      </c>
      <c r="AO718">
        <v>0.34955316378447232</v>
      </c>
      <c r="AR718">
        <v>1.0158049814318337E-3</v>
      </c>
      <c r="AS718">
        <v>4.5391833470228571E-3</v>
      </c>
      <c r="AT718">
        <v>9.9007221453891722E-2</v>
      </c>
      <c r="AU718">
        <v>1.9157643034105267E-3</v>
      </c>
      <c r="AV718">
        <v>2.0633970438826976E-3</v>
      </c>
      <c r="AW718">
        <v>3.4952307393150139E-3</v>
      </c>
      <c r="AX718">
        <v>4.0079823365446465E-4</v>
      </c>
      <c r="AY718">
        <v>4.1578006990045558E-4</v>
      </c>
      <c r="BB718">
        <v>4.4498846070186136E-2</v>
      </c>
      <c r="BC718">
        <v>8.0649151427806043E-2</v>
      </c>
      <c r="BE718">
        <v>30376.573765926219</v>
      </c>
      <c r="BF718">
        <v>20.944054405834819</v>
      </c>
      <c r="BG718">
        <v>32347.192261791031</v>
      </c>
      <c r="BH718">
        <v>20.920502923035439</v>
      </c>
    </row>
    <row r="719" spans="3:60" x14ac:dyDescent="0.2">
      <c r="C719" s="138">
        <v>31831.802451750053</v>
      </c>
      <c r="D719" s="138">
        <v>21.499129382091873</v>
      </c>
      <c r="E719" s="138">
        <v>33931.815610698504</v>
      </c>
      <c r="F719" s="138">
        <v>21.486459791308569</v>
      </c>
      <c r="G719" s="138">
        <v>-2100.0131589484517</v>
      </c>
      <c r="H719" s="138">
        <v>1.2669590783303875E-2</v>
      </c>
      <c r="N719" s="138"/>
      <c r="O719" s="138"/>
      <c r="P719" s="138"/>
      <c r="R719">
        <v>266.30852063325597</v>
      </c>
      <c r="S719">
        <v>54.21696176210768</v>
      </c>
      <c r="T719">
        <v>272.37981037690179</v>
      </c>
      <c r="U719">
        <v>95.77396661655203</v>
      </c>
      <c r="X719">
        <v>0.58956148059773383</v>
      </c>
      <c r="Y719">
        <v>0.52910601922777356</v>
      </c>
      <c r="Z719">
        <v>0.92920851378862257</v>
      </c>
      <c r="AA719">
        <v>0.83849814250705745</v>
      </c>
      <c r="AB719">
        <v>0.88230124540169064</v>
      </c>
      <c r="AC719">
        <v>0.93079933225569444</v>
      </c>
      <c r="AD719">
        <v>0.85761179144078636</v>
      </c>
      <c r="AE719">
        <v>0.71180762053291613</v>
      </c>
      <c r="AH719">
        <v>7.4821387628717706E-2</v>
      </c>
      <c r="AI719">
        <v>8.9048775568702943E-2</v>
      </c>
      <c r="AJ719">
        <v>0.22154028673195847</v>
      </c>
      <c r="AK719">
        <v>0.18428731855056257</v>
      </c>
      <c r="AL719">
        <v>7.4874633012209868E-2</v>
      </c>
      <c r="AM719">
        <v>0.11280698640264253</v>
      </c>
      <c r="AN719">
        <v>0.37106353078617305</v>
      </c>
      <c r="AO719">
        <v>0.19508327933004799</v>
      </c>
      <c r="AR719">
        <v>9.7656138527069114E-4</v>
      </c>
      <c r="AS719">
        <v>4.7270773194059146E-3</v>
      </c>
      <c r="AT719">
        <v>9.8572835846363824E-2</v>
      </c>
      <c r="AU719">
        <v>2.0579542108618565E-3</v>
      </c>
      <c r="AV719">
        <v>2.0355578027823062E-3</v>
      </c>
      <c r="AW719">
        <v>3.335457389566596E-3</v>
      </c>
      <c r="AX719">
        <v>3.7353108714067366E-4</v>
      </c>
      <c r="AY719">
        <v>5.2069170608970428E-4</v>
      </c>
      <c r="BB719">
        <v>5.102775176637353E-2</v>
      </c>
      <c r="BC719">
        <v>2.4086800200245471E-2</v>
      </c>
      <c r="BE719">
        <v>31831.802451750053</v>
      </c>
      <c r="BF719">
        <v>21.499129382091873</v>
      </c>
      <c r="BG719">
        <v>33931.815610698504</v>
      </c>
      <c r="BH719">
        <v>21.486459791308569</v>
      </c>
    </row>
    <row r="720" spans="3:60" x14ac:dyDescent="0.2">
      <c r="C720" s="138">
        <v>32416.450421776117</v>
      </c>
      <c r="D720">
        <v>20.594633587758903</v>
      </c>
      <c r="E720" s="138">
        <v>34327.936572113111</v>
      </c>
      <c r="F720" s="138">
        <v>20.565571260505667</v>
      </c>
      <c r="G720" s="138">
        <v>-1911.4861503369939</v>
      </c>
      <c r="H720" s="138">
        <v>2.9062327253235765E-2</v>
      </c>
      <c r="N720" s="138"/>
      <c r="O720" s="138"/>
      <c r="P720" s="138"/>
      <c r="R720">
        <v>211.86895146923271</v>
      </c>
      <c r="S720">
        <v>64.336553984270466</v>
      </c>
      <c r="T720">
        <v>211.55988978517061</v>
      </c>
      <c r="U720">
        <v>94.959335549974938</v>
      </c>
      <c r="X720">
        <v>0.684870752168518</v>
      </c>
      <c r="Y720">
        <v>0.84596647015864668</v>
      </c>
      <c r="Z720">
        <v>0.94609437043753031</v>
      </c>
      <c r="AA720">
        <v>0.56734019813201519</v>
      </c>
      <c r="AB720">
        <v>0.70241875841889123</v>
      </c>
      <c r="AC720">
        <v>0.50785398265942105</v>
      </c>
      <c r="AD720">
        <v>0.94271287848723684</v>
      </c>
      <c r="AE720">
        <v>0.71964107109316255</v>
      </c>
      <c r="AH720">
        <v>5.0512346788380347E-2</v>
      </c>
      <c r="AI720">
        <v>0.11886876914566502</v>
      </c>
      <c r="AJ720">
        <v>0.13414674597303478</v>
      </c>
      <c r="AK720">
        <v>0.23440782775515756</v>
      </c>
      <c r="AL720">
        <v>0.24582744046723914</v>
      </c>
      <c r="AM720">
        <v>0.17537112427969781</v>
      </c>
      <c r="AN720">
        <v>0.12548108384368861</v>
      </c>
      <c r="AO720">
        <v>0.15373850660210542</v>
      </c>
      <c r="AR720">
        <v>8.7671483266012521E-4</v>
      </c>
      <c r="AS720">
        <v>4.5767289757945306E-3</v>
      </c>
      <c r="AT720">
        <v>9.8447211268853169E-2</v>
      </c>
      <c r="AU720">
        <v>2.0242091678892571E-3</v>
      </c>
      <c r="AV720">
        <v>2.0519545666506378E-3</v>
      </c>
      <c r="AW720">
        <v>3.2737845263408911E-3</v>
      </c>
      <c r="AX720">
        <v>5.8571810717300554E-4</v>
      </c>
      <c r="AY720">
        <v>4.7408712259744412E-4</v>
      </c>
      <c r="BB720">
        <v>5.4459555749361011E-2</v>
      </c>
      <c r="BC720">
        <v>4.5793103767081671E-2</v>
      </c>
      <c r="BE720">
        <v>32416.450421776117</v>
      </c>
      <c r="BF720">
        <v>20.594633587758903</v>
      </c>
      <c r="BG720">
        <v>34327.936572113111</v>
      </c>
      <c r="BH720">
        <v>20.565571260505667</v>
      </c>
    </row>
    <row r="721" spans="3:60" x14ac:dyDescent="0.2">
      <c r="C721" s="138">
        <v>26852.151733099403</v>
      </c>
      <c r="D721">
        <v>21.253867563475769</v>
      </c>
      <c r="E721" s="138">
        <v>29104.966466755293</v>
      </c>
      <c r="F721" s="138">
        <v>21.258667292781322</v>
      </c>
      <c r="G721" s="138">
        <v>-2252.8147336558904</v>
      </c>
      <c r="H721" s="138">
        <v>-4.7997293055530577E-3</v>
      </c>
      <c r="N721" s="138"/>
      <c r="O721" s="138"/>
      <c r="P721" s="138"/>
      <c r="R721">
        <v>163.47582501039378</v>
      </c>
      <c r="S721">
        <v>57.595387808344249</v>
      </c>
      <c r="T721">
        <v>244.36878832574459</v>
      </c>
      <c r="U721">
        <v>94.988655823068811</v>
      </c>
      <c r="X721">
        <v>0.67220491483643796</v>
      </c>
      <c r="Y721">
        <v>0.93933071472966123</v>
      </c>
      <c r="Z721">
        <v>0.82314196918952098</v>
      </c>
      <c r="AA721">
        <v>0.91071397517130737</v>
      </c>
      <c r="AB721">
        <v>0.7973707445124083</v>
      </c>
      <c r="AC721">
        <v>0.75894200125811528</v>
      </c>
      <c r="AD721">
        <v>0.8138631190781267</v>
      </c>
      <c r="AE721">
        <v>0.83633295750055436</v>
      </c>
      <c r="AH721">
        <v>8.592278515161289E-2</v>
      </c>
      <c r="AI721">
        <v>0.18550983937019183</v>
      </c>
      <c r="AJ721">
        <v>7.0535734171147446E-2</v>
      </c>
      <c r="AK721">
        <v>0.15971340657772359</v>
      </c>
      <c r="AL721">
        <v>0.37801770493004017</v>
      </c>
      <c r="AM721">
        <v>8.3158193812809089E-2</v>
      </c>
      <c r="AN721">
        <v>0.15857538795696136</v>
      </c>
      <c r="AO721">
        <v>0.30593653374870278</v>
      </c>
      <c r="AR721">
        <v>1.1187176135262211E-3</v>
      </c>
      <c r="AS721">
        <v>4.4021141362088675E-3</v>
      </c>
      <c r="AT721">
        <v>0.10001001030952283</v>
      </c>
      <c r="AU721">
        <v>2.0691455115353641E-3</v>
      </c>
      <c r="AV721">
        <v>1.9177627264585575E-3</v>
      </c>
      <c r="AW721">
        <v>3.5015722007168959E-3</v>
      </c>
      <c r="AX721">
        <v>3.6922100342355759E-4</v>
      </c>
      <c r="AY721">
        <v>4.1015813473668241E-4</v>
      </c>
      <c r="BB721">
        <v>6.2770994711098482E-2</v>
      </c>
      <c r="BC721">
        <v>7.629698445858546E-2</v>
      </c>
      <c r="BE721">
        <v>26852.151733099403</v>
      </c>
      <c r="BF721">
        <v>21.253867563475769</v>
      </c>
      <c r="BG721">
        <v>29104.966466755293</v>
      </c>
      <c r="BH721">
        <v>21.258667292781322</v>
      </c>
    </row>
    <row r="722" spans="3:60" x14ac:dyDescent="0.2">
      <c r="C722" s="138">
        <v>33662.9933928561</v>
      </c>
      <c r="D722">
        <v>21.153043592386151</v>
      </c>
      <c r="E722" s="138">
        <v>35266.026904553422</v>
      </c>
      <c r="F722" s="138">
        <v>21.158306283320123</v>
      </c>
      <c r="G722" s="138">
        <v>-1603.033511697322</v>
      </c>
      <c r="H722" s="138">
        <v>-5.26269093397147E-3</v>
      </c>
      <c r="N722" s="138"/>
      <c r="O722" s="138"/>
      <c r="P722" s="138"/>
      <c r="R722">
        <v>346.17947018558431</v>
      </c>
      <c r="S722">
        <v>60.240950521856128</v>
      </c>
      <c r="T722">
        <v>244.73638916826732</v>
      </c>
      <c r="U722">
        <v>101.20840778104808</v>
      </c>
      <c r="X722">
        <v>0.88097667310293271</v>
      </c>
      <c r="Y722">
        <v>0.87857859655381776</v>
      </c>
      <c r="Z722">
        <v>0.83445361231594983</v>
      </c>
      <c r="AA722">
        <v>0.56272088366765294</v>
      </c>
      <c r="AB722">
        <v>0.69489357531845686</v>
      </c>
      <c r="AC722">
        <v>0.7539651786493673</v>
      </c>
      <c r="AD722">
        <v>0.61951647522889663</v>
      </c>
      <c r="AE722">
        <v>0.75605298622926487</v>
      </c>
      <c r="AH722">
        <v>5.7013608746513622E-2</v>
      </c>
      <c r="AI722">
        <v>0.14195189303023836</v>
      </c>
      <c r="AJ722">
        <v>0.11226991198842207</v>
      </c>
      <c r="AK722">
        <v>9.9984790249306288E-2</v>
      </c>
      <c r="AL722">
        <v>0.16326945793978298</v>
      </c>
      <c r="AM722">
        <v>0.11900376978975979</v>
      </c>
      <c r="AN722">
        <v>8.4289265509918887E-2</v>
      </c>
      <c r="AO722">
        <v>0.1991301158909613</v>
      </c>
      <c r="AR722">
        <v>8.7597751825008847E-4</v>
      </c>
      <c r="AS722">
        <v>4.3080873410906518E-3</v>
      </c>
      <c r="AT722">
        <v>9.9141270554560942E-2</v>
      </c>
      <c r="AU722">
        <v>1.8812322364910169E-3</v>
      </c>
      <c r="AV722">
        <v>1.952245644789456E-3</v>
      </c>
      <c r="AW722">
        <v>3.4800988163977697E-3</v>
      </c>
      <c r="AX722">
        <v>4.0505479139318901E-4</v>
      </c>
      <c r="AY722">
        <v>4.4296922970536316E-4</v>
      </c>
      <c r="BB722">
        <v>5.402541215228962E-2</v>
      </c>
      <c r="BC722">
        <v>1.1034385620283643E-2</v>
      </c>
      <c r="BE722">
        <v>33662.9933928561</v>
      </c>
      <c r="BF722">
        <v>21.153043592386151</v>
      </c>
      <c r="BG722">
        <v>35266.026904553422</v>
      </c>
      <c r="BH722">
        <v>21.158306283320123</v>
      </c>
    </row>
    <row r="723" spans="3:60" x14ac:dyDescent="0.2">
      <c r="C723" s="138">
        <v>29381.097458933324</v>
      </c>
      <c r="D723">
        <v>21.355644049036837</v>
      </c>
      <c r="E723" s="138">
        <v>31349.234642949632</v>
      </c>
      <c r="F723" s="138">
        <v>21.35848578919553</v>
      </c>
      <c r="G723" s="138">
        <v>-1968.1371840163083</v>
      </c>
      <c r="H723" s="138">
        <v>-2.8417401586935398E-3</v>
      </c>
      <c r="N723" s="138"/>
      <c r="O723" s="138"/>
      <c r="P723" s="138"/>
      <c r="R723">
        <v>115.22089652634818</v>
      </c>
      <c r="S723">
        <v>64.697810789155639</v>
      </c>
      <c r="T723">
        <v>234.97898962656879</v>
      </c>
      <c r="U723">
        <v>97.48581656809921</v>
      </c>
      <c r="X723">
        <v>0.91264721891274503</v>
      </c>
      <c r="Y723">
        <v>0.70732192990277554</v>
      </c>
      <c r="Z723">
        <v>0.54778244730664272</v>
      </c>
      <c r="AA723">
        <v>0.38528689308614444</v>
      </c>
      <c r="AB723">
        <v>0.88569010082513278</v>
      </c>
      <c r="AC723">
        <v>0.74798002903756311</v>
      </c>
      <c r="AD723">
        <v>0.59821225135607525</v>
      </c>
      <c r="AE723">
        <v>0.79514049862535319</v>
      </c>
      <c r="AH723">
        <v>0.12875808920489151</v>
      </c>
      <c r="AI723">
        <v>0.35169849424620969</v>
      </c>
      <c r="AJ723">
        <v>0.14361898841440623</v>
      </c>
      <c r="AK723">
        <v>4.321045391779077E-2</v>
      </c>
      <c r="AL723">
        <v>0.29333056540418923</v>
      </c>
      <c r="AM723">
        <v>0.13088210869838268</v>
      </c>
      <c r="AN723">
        <v>6.2827458948399029E-2</v>
      </c>
      <c r="AO723">
        <v>2.2193591742672103E-2</v>
      </c>
      <c r="AR723">
        <v>8.0577537315566219E-4</v>
      </c>
      <c r="AS723">
        <v>4.6696531615390002E-3</v>
      </c>
      <c r="AT723">
        <v>9.8722072368793781E-2</v>
      </c>
      <c r="AU723">
        <v>1.9465160142831679E-3</v>
      </c>
      <c r="AV723">
        <v>2.0420478205838144E-3</v>
      </c>
      <c r="AW723">
        <v>3.0244688682355982E-3</v>
      </c>
      <c r="AX723">
        <v>3.9467368765487402E-4</v>
      </c>
      <c r="AY723">
        <v>4.460062613003372E-4</v>
      </c>
      <c r="BB723">
        <v>4.6044201970716001E-2</v>
      </c>
      <c r="BC723">
        <v>5.7822710035006275E-2</v>
      </c>
      <c r="BE723">
        <v>29381.097458933324</v>
      </c>
      <c r="BF723">
        <v>21.355644049036837</v>
      </c>
      <c r="BG723">
        <v>31349.234642949632</v>
      </c>
      <c r="BH723">
        <v>21.35848578919553</v>
      </c>
    </row>
    <row r="724" spans="3:60" x14ac:dyDescent="0.2">
      <c r="C724" s="138">
        <v>34486.065840385338</v>
      </c>
      <c r="D724">
        <v>20.55247522845535</v>
      </c>
      <c r="E724" s="138">
        <v>36960.493715436169</v>
      </c>
      <c r="F724" s="138">
        <v>20.530402714964843</v>
      </c>
      <c r="G724" s="138">
        <v>-2474.4278750508311</v>
      </c>
      <c r="H724" s="138">
        <v>2.2072513490506651E-2</v>
      </c>
      <c r="N724" s="138"/>
      <c r="O724" s="138"/>
      <c r="P724" s="138"/>
      <c r="R724">
        <v>59.018195873349271</v>
      </c>
      <c r="S724">
        <v>64.202278106718182</v>
      </c>
      <c r="T724">
        <v>287.23773125287795</v>
      </c>
      <c r="U724">
        <v>106.6637505599614</v>
      </c>
      <c r="X724">
        <v>0.73803727134927044</v>
      </c>
      <c r="Y724">
        <v>0.92708681277431304</v>
      </c>
      <c r="Z724">
        <v>0.83597724430946363</v>
      </c>
      <c r="AA724">
        <v>0.78585806021508253</v>
      </c>
      <c r="AB724">
        <v>0.74813210251239115</v>
      </c>
      <c r="AC724">
        <v>0.84658050963725229</v>
      </c>
      <c r="AD724">
        <v>0.6641358345902928</v>
      </c>
      <c r="AE724">
        <v>0.83031733222995618</v>
      </c>
      <c r="AH724">
        <v>0.21687124715704997</v>
      </c>
      <c r="AI724">
        <v>0.10751214774559403</v>
      </c>
      <c r="AJ724">
        <v>4.7209019399698904E-2</v>
      </c>
      <c r="AK724">
        <v>2.811092338823451E-2</v>
      </c>
      <c r="AL724">
        <v>0.11465350674523922</v>
      </c>
      <c r="AM724">
        <v>0.20042838070574376</v>
      </c>
      <c r="AN724">
        <v>6.0511768489579287E-2</v>
      </c>
      <c r="AO724">
        <v>4.7394267910259025E-2</v>
      </c>
      <c r="AR724">
        <v>8.80381188234898E-4</v>
      </c>
      <c r="AS724">
        <v>4.7371083907716827E-3</v>
      </c>
      <c r="AT724">
        <v>9.9211097855474106E-2</v>
      </c>
      <c r="AU724">
        <v>2.0618068781960153E-3</v>
      </c>
      <c r="AV724">
        <v>2.2366792830662563E-3</v>
      </c>
      <c r="AW724">
        <v>3.1541660105477479E-3</v>
      </c>
      <c r="AX724">
        <v>3.7716765260107011E-4</v>
      </c>
      <c r="AY724">
        <v>4.8161950643166307E-4</v>
      </c>
      <c r="BB724">
        <v>5.2885681188451716E-2</v>
      </c>
      <c r="BC724">
        <v>5.8835513414287832E-2</v>
      </c>
      <c r="BE724">
        <v>34486.065840385338</v>
      </c>
      <c r="BF724">
        <v>20.55247522845535</v>
      </c>
      <c r="BG724">
        <v>36960.493715436169</v>
      </c>
      <c r="BH724">
        <v>20.530402714964843</v>
      </c>
    </row>
    <row r="725" spans="3:60" x14ac:dyDescent="0.2">
      <c r="C725" s="138">
        <v>33628.80436992686</v>
      </c>
      <c r="D725">
        <v>20.663652363704252</v>
      </c>
      <c r="E725" s="138">
        <v>35710.119964149751</v>
      </c>
      <c r="F725" s="138">
        <v>20.623401304647768</v>
      </c>
      <c r="G725" s="138">
        <v>-2081.3155942228914</v>
      </c>
      <c r="H725" s="138">
        <v>4.025105905648374E-2</v>
      </c>
      <c r="N725" s="138"/>
      <c r="O725" s="138"/>
      <c r="P725" s="138"/>
      <c r="R725">
        <v>330.4162476621475</v>
      </c>
      <c r="S725">
        <v>63.647881144700072</v>
      </c>
      <c r="T725">
        <v>270.5606047374614</v>
      </c>
      <c r="U725">
        <v>94.4759886007364</v>
      </c>
      <c r="X725">
        <v>0.5617815918696023</v>
      </c>
      <c r="Y725">
        <v>0.71923404759789189</v>
      </c>
      <c r="Z725">
        <v>0.9363272548252628</v>
      </c>
      <c r="AA725">
        <v>0.84736078580159324</v>
      </c>
      <c r="AB725">
        <v>0.57258671024807917</v>
      </c>
      <c r="AC725">
        <v>0.79099968497946593</v>
      </c>
      <c r="AD725">
        <v>0.76052975670935619</v>
      </c>
      <c r="AE725">
        <v>0.70511998384315822</v>
      </c>
      <c r="AH725">
        <v>0.14191712117356969</v>
      </c>
      <c r="AI725">
        <v>3.1688174202260666E-2</v>
      </c>
      <c r="AJ725">
        <v>0.10640124457174194</v>
      </c>
      <c r="AK725">
        <v>5.1259897739871274E-2</v>
      </c>
      <c r="AL725">
        <v>0.13549323280598624</v>
      </c>
      <c r="AM725">
        <v>9.6162466790159051E-2</v>
      </c>
      <c r="AN725">
        <v>7.3108033965291863E-2</v>
      </c>
      <c r="AO725">
        <v>0.17161085065598058</v>
      </c>
      <c r="AR725">
        <v>9.2589155720124161E-4</v>
      </c>
      <c r="AS725">
        <v>4.0689889230782796E-3</v>
      </c>
      <c r="AT725">
        <v>0.10320721099914287</v>
      </c>
      <c r="AU725">
        <v>1.9911843808457963E-3</v>
      </c>
      <c r="AV725">
        <v>1.9638649543053032E-3</v>
      </c>
      <c r="AW725">
        <v>3.2308239253838137E-3</v>
      </c>
      <c r="AX725">
        <v>4.4972372869389599E-4</v>
      </c>
      <c r="AY725">
        <v>4.4689264334973888E-4</v>
      </c>
      <c r="BB725">
        <v>4.8118896168730975E-2</v>
      </c>
      <c r="BC725">
        <v>5.8101395280587886E-2</v>
      </c>
      <c r="BE725">
        <v>33628.80436992686</v>
      </c>
      <c r="BF725">
        <v>20.663652363704252</v>
      </c>
      <c r="BG725">
        <v>35710.119964149751</v>
      </c>
      <c r="BH725">
        <v>20.623401304647768</v>
      </c>
    </row>
    <row r="726" spans="3:60" x14ac:dyDescent="0.2">
      <c r="C726" s="138">
        <v>27508.835011713207</v>
      </c>
      <c r="D726">
        <v>21.357916048302314</v>
      </c>
      <c r="E726" s="138">
        <v>29628.810926037509</v>
      </c>
      <c r="F726" s="138">
        <v>21.328220232496552</v>
      </c>
      <c r="G726" s="138">
        <v>-2119.9759143243027</v>
      </c>
      <c r="H726" s="138">
        <v>2.9695815805762749E-2</v>
      </c>
      <c r="N726" s="138"/>
      <c r="O726" s="138"/>
      <c r="P726" s="138"/>
      <c r="R726">
        <v>307.88401208271904</v>
      </c>
      <c r="S726">
        <v>59.38744373852348</v>
      </c>
      <c r="T726">
        <v>262.58730261012028</v>
      </c>
      <c r="U726">
        <v>99.983537848016979</v>
      </c>
      <c r="X726">
        <v>0.71017611439412931</v>
      </c>
      <c r="Y726">
        <v>0.63590924766079782</v>
      </c>
      <c r="Z726">
        <v>0.71551598943348094</v>
      </c>
      <c r="AA726">
        <v>0.60039932931919116</v>
      </c>
      <c r="AB726">
        <v>0.70189290004587301</v>
      </c>
      <c r="AC726">
        <v>0.95882008003834396</v>
      </c>
      <c r="AD726">
        <v>0.8361725503725812</v>
      </c>
      <c r="AE726">
        <v>0.78606195247254762</v>
      </c>
      <c r="AH726">
        <v>2.10263287911574E-2</v>
      </c>
      <c r="AI726">
        <v>8.4999496039866118E-2</v>
      </c>
      <c r="AJ726">
        <v>5.7809583049601043E-2</v>
      </c>
      <c r="AK726">
        <v>0.17329266166703372</v>
      </c>
      <c r="AL726">
        <v>0.12740036027958246</v>
      </c>
      <c r="AM726">
        <v>0.11843262475735661</v>
      </c>
      <c r="AN726">
        <v>9.4387734936925871E-2</v>
      </c>
      <c r="AO726">
        <v>4.9070615630876113E-2</v>
      </c>
      <c r="AR726">
        <v>8.3149758778062468E-4</v>
      </c>
      <c r="AS726">
        <v>4.316338589949808E-3</v>
      </c>
      <c r="AT726">
        <v>0.10070677647809811</v>
      </c>
      <c r="AU726">
        <v>2.0040885639972528E-3</v>
      </c>
      <c r="AV726">
        <v>2.0612826249620797E-3</v>
      </c>
      <c r="AW726">
        <v>3.4292913509488265E-3</v>
      </c>
      <c r="AX726">
        <v>4.4105220269774481E-4</v>
      </c>
      <c r="AY726">
        <v>5.1813286690116644E-4</v>
      </c>
      <c r="BB726">
        <v>5.3988639624643953E-2</v>
      </c>
      <c r="BC726">
        <v>2.7830113268260459E-2</v>
      </c>
      <c r="BE726">
        <v>27508.835011713207</v>
      </c>
      <c r="BF726">
        <v>21.357916048302314</v>
      </c>
      <c r="BG726">
        <v>29628.810926037509</v>
      </c>
      <c r="BH726">
        <v>21.328220232496552</v>
      </c>
    </row>
    <row r="727" spans="3:60" x14ac:dyDescent="0.2">
      <c r="C727" s="138">
        <v>36561.822759951123</v>
      </c>
      <c r="D727">
        <v>20.592830570818585</v>
      </c>
      <c r="E727" s="138">
        <v>38142.58080287488</v>
      </c>
      <c r="F727" s="138">
        <v>20.552469027451028</v>
      </c>
      <c r="G727" s="138">
        <v>-1580.7580429237569</v>
      </c>
      <c r="H727" s="138">
        <v>4.0361543367556152E-2</v>
      </c>
      <c r="N727" s="138"/>
      <c r="O727" s="138"/>
      <c r="P727" s="138"/>
      <c r="R727">
        <v>456.82367135071712</v>
      </c>
      <c r="S727">
        <v>50.314706784486134</v>
      </c>
      <c r="T727">
        <v>263.87035560602556</v>
      </c>
      <c r="U727">
        <v>106.85842086008125</v>
      </c>
      <c r="X727">
        <v>0.95083392199196048</v>
      </c>
      <c r="Y727">
        <v>0.797527041800834</v>
      </c>
      <c r="Z727">
        <v>0.7374689482073209</v>
      </c>
      <c r="AA727">
        <v>0.80123306697933117</v>
      </c>
      <c r="AB727">
        <v>0.88372457904383839</v>
      </c>
      <c r="AC727">
        <v>0.79200864534702742</v>
      </c>
      <c r="AD727">
        <v>0.64464953577182627</v>
      </c>
      <c r="AE727">
        <v>0.85667356837498732</v>
      </c>
      <c r="AH727">
        <v>0.1238135157572765</v>
      </c>
      <c r="AI727">
        <v>0.10022544936295863</v>
      </c>
      <c r="AJ727">
        <v>0.15248997946642695</v>
      </c>
      <c r="AK727">
        <v>6.4611231761406263E-2</v>
      </c>
      <c r="AL727">
        <v>3.5480338072400808E-2</v>
      </c>
      <c r="AM727">
        <v>0.33429214585775668</v>
      </c>
      <c r="AN727">
        <v>5.0642691917094806E-2</v>
      </c>
      <c r="AO727">
        <v>6.7174279531487358E-2</v>
      </c>
      <c r="AR727">
        <v>8.8278642642624153E-4</v>
      </c>
      <c r="AS727">
        <v>4.6912601333025661E-3</v>
      </c>
      <c r="AT727">
        <v>9.8819063737167034E-2</v>
      </c>
      <c r="AU727">
        <v>1.9170767565586514E-3</v>
      </c>
      <c r="AV727">
        <v>2.1721672775386613E-3</v>
      </c>
      <c r="AW727">
        <v>3.1246499151825861E-3</v>
      </c>
      <c r="AX727">
        <v>3.3567084730492874E-4</v>
      </c>
      <c r="AY727">
        <v>5.4885213176936176E-4</v>
      </c>
      <c r="BB727">
        <v>4.7035538924914112E-2</v>
      </c>
      <c r="BC727">
        <v>2.0868565713714097E-2</v>
      </c>
      <c r="BE727">
        <v>36561.822759951123</v>
      </c>
      <c r="BF727">
        <v>20.592830570818585</v>
      </c>
      <c r="BG727">
        <v>38142.58080287488</v>
      </c>
      <c r="BH727">
        <v>20.552469027451028</v>
      </c>
    </row>
    <row r="728" spans="3:60" x14ac:dyDescent="0.2">
      <c r="C728" s="138">
        <v>33812.495764689302</v>
      </c>
      <c r="D728">
        <v>21.151984204227372</v>
      </c>
      <c r="E728" s="138">
        <v>36189.536785899021</v>
      </c>
      <c r="F728" s="138">
        <v>21.146908363482275</v>
      </c>
      <c r="G728" s="138">
        <v>-2377.0410212097195</v>
      </c>
      <c r="H728" s="138">
        <v>5.0758407450963716E-3</v>
      </c>
      <c r="N728" s="138"/>
      <c r="O728" s="138"/>
      <c r="P728" s="138"/>
      <c r="R728">
        <v>169.96442079744827</v>
      </c>
      <c r="S728">
        <v>63.189306477999068</v>
      </c>
      <c r="T728">
        <v>304.89065395751999</v>
      </c>
      <c r="U728">
        <v>101.75248976416472</v>
      </c>
      <c r="X728">
        <v>0.81246026123099335</v>
      </c>
      <c r="Y728">
        <v>0.82433373570900781</v>
      </c>
      <c r="Z728">
        <v>0.91543466968750575</v>
      </c>
      <c r="AA728">
        <v>0.71794274108334311</v>
      </c>
      <c r="AB728">
        <v>0.84815268253428766</v>
      </c>
      <c r="AC728">
        <v>0.75999592119819093</v>
      </c>
      <c r="AD728">
        <v>0.69820700519882029</v>
      </c>
      <c r="AE728">
        <v>0.78723665590662706</v>
      </c>
      <c r="AH728">
        <v>8.9129620105206531E-2</v>
      </c>
      <c r="AI728">
        <v>0.11278462685778157</v>
      </c>
      <c r="AJ728">
        <v>0.12626453190366071</v>
      </c>
      <c r="AK728">
        <v>0.27092696054850518</v>
      </c>
      <c r="AL728">
        <v>8.9169402019676602E-2</v>
      </c>
      <c r="AM728">
        <v>9.8167486213603272E-2</v>
      </c>
      <c r="AN728">
        <v>0.16254659303703534</v>
      </c>
      <c r="AO728">
        <v>7.6666430833951527E-3</v>
      </c>
      <c r="AR728">
        <v>7.4961469398100082E-4</v>
      </c>
      <c r="AS728">
        <v>4.5167844499400811E-3</v>
      </c>
      <c r="AT728">
        <v>9.9448523651918308E-2</v>
      </c>
      <c r="AU728">
        <v>1.8385298500081444E-3</v>
      </c>
      <c r="AV728">
        <v>2.0636229998955979E-3</v>
      </c>
      <c r="AW728">
        <v>3.6506075950469841E-3</v>
      </c>
      <c r="AX728">
        <v>3.8445066902784852E-4</v>
      </c>
      <c r="AY728">
        <v>4.9028418328944667E-4</v>
      </c>
      <c r="BB728">
        <v>4.4024412114903946E-2</v>
      </c>
      <c r="BC728">
        <v>8.7406300850148999E-2</v>
      </c>
      <c r="BE728">
        <v>33812.495764689302</v>
      </c>
      <c r="BF728">
        <v>21.151984204227372</v>
      </c>
      <c r="BG728">
        <v>36189.536785899021</v>
      </c>
      <c r="BH728">
        <v>21.146908363482275</v>
      </c>
    </row>
    <row r="729" spans="3:60" x14ac:dyDescent="0.2">
      <c r="C729" s="138">
        <v>27669.810264961536</v>
      </c>
      <c r="D729">
        <v>19.905624146562918</v>
      </c>
      <c r="E729" s="138">
        <v>29816.242532369943</v>
      </c>
      <c r="F729" s="138">
        <v>19.849250908577126</v>
      </c>
      <c r="G729" s="138">
        <v>-2146.4322674084069</v>
      </c>
      <c r="H729" s="138">
        <v>5.6373237985791746E-2</v>
      </c>
      <c r="N729" s="138"/>
      <c r="O729" s="138"/>
      <c r="P729" s="138"/>
      <c r="R729">
        <v>172.50905014064676</v>
      </c>
      <c r="S729">
        <v>65.390688038336677</v>
      </c>
      <c r="T729">
        <v>286.72843506649525</v>
      </c>
      <c r="U729">
        <v>90.611294736462384</v>
      </c>
      <c r="X729">
        <v>0.76792857137070514</v>
      </c>
      <c r="Y729">
        <v>0.62331366075630634</v>
      </c>
      <c r="Z729">
        <v>0.69437631398007038</v>
      </c>
      <c r="AA729">
        <v>0.98257929758783846</v>
      </c>
      <c r="AB729">
        <v>0.88890372189737743</v>
      </c>
      <c r="AC729">
        <v>0.50613140459585548</v>
      </c>
      <c r="AD729">
        <v>0.73137126054335955</v>
      </c>
      <c r="AE729">
        <v>0.78772577174282332</v>
      </c>
      <c r="AH729">
        <v>0.31387736916953113</v>
      </c>
      <c r="AI729">
        <v>7.7850239152176037E-2</v>
      </c>
      <c r="AJ729">
        <v>0.11514295509828487</v>
      </c>
      <c r="AK729">
        <v>0.16939557630341007</v>
      </c>
      <c r="AL729">
        <v>5.534013806964766E-2</v>
      </c>
      <c r="AM729">
        <v>0.17539223374965585</v>
      </c>
      <c r="AN729">
        <v>6.5901602825995886E-2</v>
      </c>
      <c r="AO729">
        <v>8.4446183357119509E-2</v>
      </c>
      <c r="AR729">
        <v>8.7936490466535141E-4</v>
      </c>
      <c r="AS729">
        <v>4.6414681082749265E-3</v>
      </c>
      <c r="AT729">
        <v>0.10059039472155529</v>
      </c>
      <c r="AU729">
        <v>2.0737502762464555E-3</v>
      </c>
      <c r="AV729">
        <v>1.8998864693807506E-3</v>
      </c>
      <c r="AW729">
        <v>3.383403627179636E-3</v>
      </c>
      <c r="AX729">
        <v>3.4282329758130836E-4</v>
      </c>
      <c r="AY729">
        <v>4.0911198030201733E-4</v>
      </c>
      <c r="BB729">
        <v>5.0184614904901115E-2</v>
      </c>
      <c r="BC729">
        <v>1.5116784670596855E-2</v>
      </c>
      <c r="BE729">
        <v>27669.810264961536</v>
      </c>
      <c r="BF729">
        <v>19.905624146562918</v>
      </c>
      <c r="BG729">
        <v>29816.242532369943</v>
      </c>
      <c r="BH729">
        <v>19.849250908577126</v>
      </c>
    </row>
    <row r="730" spans="3:60" x14ac:dyDescent="0.2">
      <c r="C730" s="138">
        <v>33392.22823880706</v>
      </c>
      <c r="D730">
        <v>20.814867947574374</v>
      </c>
      <c r="E730" s="138">
        <v>35308.708446343669</v>
      </c>
      <c r="F730" s="138">
        <v>20.815199305246765</v>
      </c>
      <c r="G730" s="138">
        <v>-1916.4802075366097</v>
      </c>
      <c r="H730" s="138">
        <v>-3.3135767239045322E-4</v>
      </c>
      <c r="N730" s="138"/>
      <c r="O730" s="138"/>
      <c r="P730" s="138"/>
      <c r="R730">
        <v>146.80827745196262</v>
      </c>
      <c r="S730">
        <v>64.535320932861367</v>
      </c>
      <c r="T730">
        <v>238.62747931552911</v>
      </c>
      <c r="U730">
        <v>93.926429445420965</v>
      </c>
      <c r="X730">
        <v>0.88827519119527243</v>
      </c>
      <c r="Y730">
        <v>0.81089274337978057</v>
      </c>
      <c r="Z730">
        <v>0.85224371969136614</v>
      </c>
      <c r="AA730">
        <v>0.67667420503018516</v>
      </c>
      <c r="AB730">
        <v>0.89176889626594957</v>
      </c>
      <c r="AC730">
        <v>0.74670860991920984</v>
      </c>
      <c r="AD730">
        <v>0.65887403063736083</v>
      </c>
      <c r="AE730">
        <v>0.78740805977404826</v>
      </c>
      <c r="AH730">
        <v>8.1781169968084599E-2</v>
      </c>
      <c r="AI730">
        <v>9.1670741599823247E-2</v>
      </c>
      <c r="AJ730">
        <v>0.10596407986071532</v>
      </c>
      <c r="AK730">
        <v>0.17509588273291754</v>
      </c>
      <c r="AL730">
        <v>0.14163620038120339</v>
      </c>
      <c r="AM730">
        <v>3.4360733889998052E-2</v>
      </c>
      <c r="AN730">
        <v>0.16843769169892009</v>
      </c>
      <c r="AO730">
        <v>2.8588806796504107E-2</v>
      </c>
      <c r="AR730">
        <v>7.9365606355696753E-4</v>
      </c>
      <c r="AS730">
        <v>4.4244724831894282E-3</v>
      </c>
      <c r="AT730">
        <v>0.10011321921406435</v>
      </c>
      <c r="AU730">
        <v>2.0572022045663996E-3</v>
      </c>
      <c r="AV730">
        <v>1.9455236290623014E-3</v>
      </c>
      <c r="AW730">
        <v>3.8173501170721824E-3</v>
      </c>
      <c r="AX730">
        <v>4.8244648725637163E-4</v>
      </c>
      <c r="AY730">
        <v>5.1302977063538702E-4</v>
      </c>
      <c r="BB730">
        <v>4.5474986955888724E-2</v>
      </c>
      <c r="BC730">
        <v>3.6564431592975462E-2</v>
      </c>
      <c r="BE730">
        <v>33392.22823880706</v>
      </c>
      <c r="BF730">
        <v>20.814867947574374</v>
      </c>
      <c r="BG730">
        <v>35308.708446343669</v>
      </c>
      <c r="BH730">
        <v>20.815199305246765</v>
      </c>
    </row>
    <row r="731" spans="3:60" x14ac:dyDescent="0.2">
      <c r="C731" s="138">
        <v>32162.221854947165</v>
      </c>
      <c r="D731">
        <v>20.591133101818269</v>
      </c>
      <c r="E731" s="138">
        <v>34407.122168979367</v>
      </c>
      <c r="F731" s="138">
        <v>20.582012204099218</v>
      </c>
      <c r="G731" s="138">
        <v>-2244.900314032202</v>
      </c>
      <c r="H731" s="138">
        <v>9.120897719050447E-3</v>
      </c>
      <c r="N731" s="138"/>
      <c r="O731" s="138"/>
      <c r="P731" s="138"/>
      <c r="R731">
        <v>324.40422348609849</v>
      </c>
      <c r="S731">
        <v>69.271579647166604</v>
      </c>
      <c r="T731">
        <v>269.74318095731786</v>
      </c>
      <c r="U731">
        <v>109.76255742027669</v>
      </c>
      <c r="X731">
        <v>0.9920965614888948</v>
      </c>
      <c r="Y731">
        <v>0.88651549664448659</v>
      </c>
      <c r="Z731">
        <v>0.71653612707562386</v>
      </c>
      <c r="AA731">
        <v>0.70635469468775336</v>
      </c>
      <c r="AB731">
        <v>0.75676113439809134</v>
      </c>
      <c r="AC731">
        <v>0.93104754030754699</v>
      </c>
      <c r="AD731">
        <v>0.79692861744937271</v>
      </c>
      <c r="AE731">
        <v>0.86645034432540491</v>
      </c>
      <c r="AH731">
        <v>6.5336446890268851E-2</v>
      </c>
      <c r="AI731">
        <v>0.22089822138210002</v>
      </c>
      <c r="AJ731">
        <v>0.18229744720136065</v>
      </c>
      <c r="AK731">
        <v>0.19459366306425885</v>
      </c>
      <c r="AL731">
        <v>0.10774122846514589</v>
      </c>
      <c r="AM731">
        <v>0.12967442535251095</v>
      </c>
      <c r="AN731">
        <v>0.1081125172132178</v>
      </c>
      <c r="AO731">
        <v>0.11460907860785419</v>
      </c>
      <c r="AR731">
        <v>9.2647022739722473E-4</v>
      </c>
      <c r="AS731">
        <v>4.5710550274786765E-3</v>
      </c>
      <c r="AT731">
        <v>0.10057217409231722</v>
      </c>
      <c r="AU731">
        <v>2.0067899975044767E-3</v>
      </c>
      <c r="AV731">
        <v>1.9231240493287186E-3</v>
      </c>
      <c r="AW731">
        <v>3.3464759458338585E-3</v>
      </c>
      <c r="AX731">
        <v>3.9313160702553516E-4</v>
      </c>
      <c r="AY731">
        <v>3.2337752432624037E-4</v>
      </c>
      <c r="BB731">
        <v>4.9606763413028901E-2</v>
      </c>
      <c r="BC731">
        <v>4.3140914112553441E-2</v>
      </c>
      <c r="BE731">
        <v>32162.221854947165</v>
      </c>
      <c r="BF731">
        <v>20.591133101818269</v>
      </c>
      <c r="BG731">
        <v>34407.122168979367</v>
      </c>
      <c r="BH731">
        <v>20.582012204099218</v>
      </c>
    </row>
    <row r="732" spans="3:60" x14ac:dyDescent="0.2">
      <c r="C732" s="138">
        <v>35364.447789440739</v>
      </c>
      <c r="D732">
        <v>21.596410767757451</v>
      </c>
      <c r="E732" s="138">
        <v>37713.642678081582</v>
      </c>
      <c r="F732" s="138">
        <v>21.590348413187858</v>
      </c>
      <c r="G732" s="138">
        <v>-2349.1948886408427</v>
      </c>
      <c r="H732" s="138">
        <v>6.0623545695932535E-3</v>
      </c>
      <c r="N732" s="138"/>
      <c r="O732" s="138"/>
      <c r="P732" s="138"/>
      <c r="R732">
        <v>27.000355670390803</v>
      </c>
      <c r="S732">
        <v>59.700064694573314</v>
      </c>
      <c r="T732">
        <v>262.81416067700872</v>
      </c>
      <c r="U732">
        <v>106.43407988847231</v>
      </c>
      <c r="X732">
        <v>0.61826099541913337</v>
      </c>
      <c r="Y732">
        <v>0.85869313984304685</v>
      </c>
      <c r="Z732">
        <v>0.65186481975546473</v>
      </c>
      <c r="AA732">
        <v>0.73331556973684198</v>
      </c>
      <c r="AB732">
        <v>0.73736493246279888</v>
      </c>
      <c r="AC732">
        <v>0.68089588148410374</v>
      </c>
      <c r="AD732">
        <v>0.85005564488169716</v>
      </c>
      <c r="AE732">
        <v>0.82658134683739026</v>
      </c>
      <c r="AH732">
        <v>0.18306155735829333</v>
      </c>
      <c r="AI732">
        <v>0.137999144071973</v>
      </c>
      <c r="AJ732">
        <v>2.7619390726254522E-3</v>
      </c>
      <c r="AK732">
        <v>6.9467346506988381E-2</v>
      </c>
      <c r="AL732">
        <v>1.9154625437276529E-2</v>
      </c>
      <c r="AM732">
        <v>0.17706898974942997</v>
      </c>
      <c r="AN732">
        <v>0.12172070127323642</v>
      </c>
      <c r="AO732">
        <v>0.16906674528076238</v>
      </c>
      <c r="AR732">
        <v>1.0395144706036863E-3</v>
      </c>
      <c r="AS732">
        <v>4.4536992780819578E-3</v>
      </c>
      <c r="AT732">
        <v>9.941355350389558E-2</v>
      </c>
      <c r="AU732">
        <v>1.82807831298577E-3</v>
      </c>
      <c r="AV732">
        <v>2.1921201191132944E-3</v>
      </c>
      <c r="AW732">
        <v>3.3719818906142985E-3</v>
      </c>
      <c r="AX732">
        <v>5.147344501289508E-4</v>
      </c>
      <c r="AY732">
        <v>5.5288852523172061E-4</v>
      </c>
      <c r="BB732">
        <v>5.3504453169687993E-2</v>
      </c>
      <c r="BC732">
        <v>2.7272407394896492E-2</v>
      </c>
      <c r="BE732">
        <v>35364.447789440739</v>
      </c>
      <c r="BF732">
        <v>21.596410767757451</v>
      </c>
      <c r="BG732">
        <v>37713.642678081582</v>
      </c>
      <c r="BH732">
        <v>21.590348413187858</v>
      </c>
    </row>
    <row r="733" spans="3:60" x14ac:dyDescent="0.2">
      <c r="C733" s="138">
        <v>37491.699939766695</v>
      </c>
      <c r="D733">
        <v>20.15472200453166</v>
      </c>
      <c r="E733" s="138">
        <v>39541.408061155329</v>
      </c>
      <c r="F733" s="138">
        <v>20.153806925667492</v>
      </c>
      <c r="G733" s="138">
        <v>-2049.708121388634</v>
      </c>
      <c r="H733" s="138">
        <v>9.1507886416763995E-4</v>
      </c>
      <c r="N733" s="138"/>
      <c r="O733" s="138"/>
      <c r="P733" s="138"/>
      <c r="R733">
        <v>176.15550806312211</v>
      </c>
      <c r="S733">
        <v>71.248007815933335</v>
      </c>
      <c r="T733">
        <v>233.57308550537968</v>
      </c>
      <c r="U733">
        <v>78.787542819839999</v>
      </c>
      <c r="X733">
        <v>0.66290136676011102</v>
      </c>
      <c r="Y733">
        <v>0.66514890330263299</v>
      </c>
      <c r="Z733">
        <v>0.38251484481135156</v>
      </c>
      <c r="AA733">
        <v>0.72220978130035163</v>
      </c>
      <c r="AB733">
        <v>0.95895433015103504</v>
      </c>
      <c r="AC733">
        <v>0.75622573252586911</v>
      </c>
      <c r="AD733">
        <v>0.8810351278774271</v>
      </c>
      <c r="AE733">
        <v>0.74440882651956641</v>
      </c>
      <c r="AH733">
        <v>0.15550103264534909</v>
      </c>
      <c r="AI733">
        <v>0.19881105265355326</v>
      </c>
      <c r="AJ733">
        <v>0.21553875042265536</v>
      </c>
      <c r="AK733">
        <v>0.34179804181946283</v>
      </c>
      <c r="AL733">
        <v>0.16399642138938508</v>
      </c>
      <c r="AM733">
        <v>0.31063665563248377</v>
      </c>
      <c r="AN733">
        <v>4.8988303144680279E-2</v>
      </c>
      <c r="AO733">
        <v>7.0566689040437613E-2</v>
      </c>
      <c r="AR733">
        <v>1.0200514784637349E-3</v>
      </c>
      <c r="AS733">
        <v>4.2597215170090044E-3</v>
      </c>
      <c r="AT733">
        <v>0.10028108643048583</v>
      </c>
      <c r="AU733">
        <v>2.4752015476199318E-3</v>
      </c>
      <c r="AV733">
        <v>2.2535785196541314E-3</v>
      </c>
      <c r="AW733">
        <v>3.2841577682381079E-3</v>
      </c>
      <c r="AX733">
        <v>3.6218585880598385E-4</v>
      </c>
      <c r="AY733">
        <v>4.2951329388145489E-4</v>
      </c>
      <c r="BB733">
        <v>4.5795288877923272E-2</v>
      </c>
      <c r="BC733">
        <v>5.3514312982494205E-2</v>
      </c>
      <c r="BE733">
        <v>37491.699939766695</v>
      </c>
      <c r="BF733">
        <v>20.15472200453166</v>
      </c>
      <c r="BG733">
        <v>39541.408061155329</v>
      </c>
      <c r="BH733">
        <v>20.153806925667492</v>
      </c>
    </row>
    <row r="734" spans="3:60" x14ac:dyDescent="0.2">
      <c r="C734" s="138">
        <v>31914.82449451751</v>
      </c>
      <c r="D734">
        <v>20.457681375069765</v>
      </c>
      <c r="E734" s="138">
        <v>34286.673053978404</v>
      </c>
      <c r="F734" s="138">
        <v>20.416010837572912</v>
      </c>
      <c r="G734" s="138">
        <v>-2371.8485594608937</v>
      </c>
      <c r="H734" s="138">
        <v>4.1670537496852234E-2</v>
      </c>
      <c r="N734" s="138"/>
      <c r="O734" s="138"/>
      <c r="P734" s="138"/>
      <c r="R734">
        <v>344.06959338354352</v>
      </c>
      <c r="S734">
        <v>50.595768381928877</v>
      </c>
      <c r="T734">
        <v>213.21025037765042</v>
      </c>
      <c r="U734">
        <v>96.773443589957168</v>
      </c>
      <c r="X734">
        <v>0.85740213893390893</v>
      </c>
      <c r="Y734">
        <v>0.62928852495950527</v>
      </c>
      <c r="Z734">
        <v>0.85642256749118761</v>
      </c>
      <c r="AA734">
        <v>0.82211209733856971</v>
      </c>
      <c r="AB734">
        <v>0.81725130579759353</v>
      </c>
      <c r="AC734">
        <v>0.75685785742888068</v>
      </c>
      <c r="AD734">
        <v>0.40264389665347405</v>
      </c>
      <c r="AE734">
        <v>0.83286312332778389</v>
      </c>
      <c r="AH734">
        <v>0.24653512639322106</v>
      </c>
      <c r="AI734">
        <v>0.18844045665681741</v>
      </c>
      <c r="AJ734">
        <v>0.13769251219736345</v>
      </c>
      <c r="AK734">
        <v>0.1577884421444683</v>
      </c>
      <c r="AL734">
        <v>0.23996846935003002</v>
      </c>
      <c r="AM734">
        <v>0.12495321538440674</v>
      </c>
      <c r="AN734">
        <v>0.19118563632804197</v>
      </c>
      <c r="AO734">
        <v>8.4021116303340748E-2</v>
      </c>
      <c r="AR734">
        <v>8.4365211194534489E-4</v>
      </c>
      <c r="AS734">
        <v>4.5627486405914741E-3</v>
      </c>
      <c r="AT734">
        <v>0.10061385454383109</v>
      </c>
      <c r="AU734">
        <v>2.0581186308218369E-3</v>
      </c>
      <c r="AV734">
        <v>2.1752670282138009E-3</v>
      </c>
      <c r="AW734">
        <v>3.3465573255429069E-3</v>
      </c>
      <c r="AX734">
        <v>4.8811808728665973E-4</v>
      </c>
      <c r="AY734">
        <v>4.6780528771894758E-4</v>
      </c>
      <c r="BB734">
        <v>5.1377062860261113E-2</v>
      </c>
      <c r="BC734">
        <v>4.1662847516876621E-2</v>
      </c>
      <c r="BE734">
        <v>31914.82449451751</v>
      </c>
      <c r="BF734">
        <v>20.457681375069765</v>
      </c>
      <c r="BG734">
        <v>34286.673053978404</v>
      </c>
      <c r="BH734">
        <v>20.416010837572912</v>
      </c>
    </row>
    <row r="735" spans="3:60" x14ac:dyDescent="0.2">
      <c r="C735" s="138">
        <v>36121.584859409799</v>
      </c>
      <c r="D735">
        <v>21.663680367365789</v>
      </c>
      <c r="E735" s="138">
        <v>38180.290537245986</v>
      </c>
      <c r="F735" s="138">
        <v>21.658033325312381</v>
      </c>
      <c r="G735" s="138">
        <v>-2058.7056778361875</v>
      </c>
      <c r="H735" s="138">
        <v>5.6470420534076027E-3</v>
      </c>
      <c r="N735" s="138"/>
      <c r="O735" s="138"/>
      <c r="P735" s="138"/>
      <c r="R735">
        <v>408.09902458876093</v>
      </c>
      <c r="S735">
        <v>64.95621171172337</v>
      </c>
      <c r="T735">
        <v>288.67071581505365</v>
      </c>
      <c r="U735">
        <v>101.61559034112875</v>
      </c>
      <c r="X735">
        <v>0.75831310941117225</v>
      </c>
      <c r="Y735">
        <v>0.64926838822783028</v>
      </c>
      <c r="Z735">
        <v>0.57630712234548864</v>
      </c>
      <c r="AA735">
        <v>0.55893977541676643</v>
      </c>
      <c r="AB735">
        <v>0.75022381148275763</v>
      </c>
      <c r="AC735">
        <v>0.89402239770401093</v>
      </c>
      <c r="AD735">
        <v>0.83914125693417052</v>
      </c>
      <c r="AE735">
        <v>0.95318080862597532</v>
      </c>
      <c r="AH735">
        <v>7.9404826254398264E-2</v>
      </c>
      <c r="AI735">
        <v>9.7444100785011534E-2</v>
      </c>
      <c r="AJ735">
        <v>7.3258661089159349E-2</v>
      </c>
      <c r="AK735">
        <v>7.5904953017990606E-2</v>
      </c>
      <c r="AL735">
        <v>0.15434958185989445</v>
      </c>
      <c r="AM735">
        <v>0.14426200301823899</v>
      </c>
      <c r="AN735">
        <v>4.7096206867716761E-2</v>
      </c>
      <c r="AO735">
        <v>0.37560485894302431</v>
      </c>
      <c r="AR735">
        <v>9.0485479227209176E-4</v>
      </c>
      <c r="AS735">
        <v>4.4475142654301124E-3</v>
      </c>
      <c r="AT735">
        <v>9.934601130519051E-2</v>
      </c>
      <c r="AU735">
        <v>1.9962437060851933E-3</v>
      </c>
      <c r="AV735">
        <v>2.1673479642654314E-3</v>
      </c>
      <c r="AW735">
        <v>3.4273692333108841E-3</v>
      </c>
      <c r="AX735">
        <v>3.4446294681283622E-4</v>
      </c>
      <c r="AY735">
        <v>4.1079986804264736E-4</v>
      </c>
      <c r="BB735">
        <v>5.465951134647995E-2</v>
      </c>
      <c r="BC735">
        <v>2.9952678179450781E-2</v>
      </c>
      <c r="BE735">
        <v>36121.584859409799</v>
      </c>
      <c r="BF735">
        <v>21.663680367365789</v>
      </c>
      <c r="BG735">
        <v>38180.290537245986</v>
      </c>
      <c r="BH735">
        <v>21.658033325312381</v>
      </c>
    </row>
    <row r="736" spans="3:60" x14ac:dyDescent="0.2">
      <c r="C736" s="138">
        <v>32236.139824525479</v>
      </c>
      <c r="D736">
        <v>21.30001087234151</v>
      </c>
      <c r="E736" s="138">
        <v>34225.894146066858</v>
      </c>
      <c r="F736" s="138">
        <v>21.302028878618383</v>
      </c>
      <c r="G736" s="138">
        <v>-1989.7543215413789</v>
      </c>
      <c r="H736" s="138">
        <v>-2.0180062768737628E-3</v>
      </c>
      <c r="N736" s="138"/>
      <c r="O736" s="138"/>
      <c r="P736" s="138"/>
      <c r="R736">
        <v>249.61900047841246</v>
      </c>
      <c r="S736">
        <v>63.247643394379402</v>
      </c>
      <c r="T736">
        <v>226.36791223445221</v>
      </c>
      <c r="U736">
        <v>105.27136627993249</v>
      </c>
      <c r="X736">
        <v>0.6309957904738821</v>
      </c>
      <c r="Y736">
        <v>0.6106254488716234</v>
      </c>
      <c r="Z736">
        <v>0.87000735404336527</v>
      </c>
      <c r="AA736">
        <v>0.86416935714700993</v>
      </c>
      <c r="AB736">
        <v>0.73162647294753613</v>
      </c>
      <c r="AC736">
        <v>0.70834289644419679</v>
      </c>
      <c r="AD736">
        <v>0.91788485974790657</v>
      </c>
      <c r="AE736">
        <v>0.68462747071624408</v>
      </c>
      <c r="AH736">
        <v>0.32943488958201927</v>
      </c>
      <c r="AI736">
        <v>0.11007835329158611</v>
      </c>
      <c r="AJ736">
        <v>0.10412551638073986</v>
      </c>
      <c r="AK736">
        <v>3.7895796746660104E-2</v>
      </c>
      <c r="AL736">
        <v>8.6629096488250457E-2</v>
      </c>
      <c r="AM736">
        <v>0.13267957237639449</v>
      </c>
      <c r="AN736">
        <v>8.0377822101755925E-2</v>
      </c>
      <c r="AO736">
        <v>7.0748944956022575E-2</v>
      </c>
      <c r="AR736">
        <v>7.7877418286203604E-4</v>
      </c>
      <c r="AS736">
        <v>4.3554195388439756E-3</v>
      </c>
      <c r="AT736">
        <v>0.10006340854152995</v>
      </c>
      <c r="AU736">
        <v>1.9733379916938936E-3</v>
      </c>
      <c r="AV736">
        <v>2.2648615413155548E-3</v>
      </c>
      <c r="AW736">
        <v>3.2311639053364022E-3</v>
      </c>
      <c r="AX736">
        <v>4.6153458539310854E-4</v>
      </c>
      <c r="AY736">
        <v>5.1834144238682711E-4</v>
      </c>
      <c r="BB736">
        <v>4.6245262238423679E-2</v>
      </c>
      <c r="BC736">
        <v>1.8799213667059108E-2</v>
      </c>
      <c r="BE736">
        <v>32236.139824525479</v>
      </c>
      <c r="BF736">
        <v>21.30001087234151</v>
      </c>
      <c r="BG736">
        <v>34225.894146066858</v>
      </c>
      <c r="BH736">
        <v>21.302028878618383</v>
      </c>
    </row>
    <row r="737" spans="3:60" x14ac:dyDescent="0.2">
      <c r="C737" s="138">
        <v>33807.209170013448</v>
      </c>
      <c r="D737">
        <v>20.375408281205264</v>
      </c>
      <c r="E737" s="138">
        <v>36259.974388450544</v>
      </c>
      <c r="F737" s="138">
        <v>20.334451165339381</v>
      </c>
      <c r="G737" s="138">
        <v>-2452.7652184370963</v>
      </c>
      <c r="H737" s="138">
        <v>4.0957115865882798E-2</v>
      </c>
      <c r="N737" s="138"/>
      <c r="O737" s="138"/>
      <c r="P737" s="138"/>
      <c r="R737">
        <v>258.36405905092471</v>
      </c>
      <c r="S737">
        <v>75.673039266502172</v>
      </c>
      <c r="T737">
        <v>269.0977019965265</v>
      </c>
      <c r="U737">
        <v>77.23636688717778</v>
      </c>
      <c r="X737">
        <v>0.83671478883722861</v>
      </c>
      <c r="Y737">
        <v>0.61997741196025757</v>
      </c>
      <c r="Z737">
        <v>0.81049758919811132</v>
      </c>
      <c r="AA737">
        <v>0.61675395757698448</v>
      </c>
      <c r="AB737">
        <v>0.83755275019649933</v>
      </c>
      <c r="AC737">
        <v>0.81152600425257004</v>
      </c>
      <c r="AD737">
        <v>0.8469222882241414</v>
      </c>
      <c r="AE737">
        <v>0.60272211374798579</v>
      </c>
      <c r="AH737">
        <v>4.2377708322662522E-2</v>
      </c>
      <c r="AI737">
        <v>0.12359708350381959</v>
      </c>
      <c r="AJ737">
        <v>0.14258695807963928</v>
      </c>
      <c r="AK737">
        <v>0.12562524642109907</v>
      </c>
      <c r="AL737">
        <v>0.11663284291428244</v>
      </c>
      <c r="AM737">
        <v>4.0634704570885027E-2</v>
      </c>
      <c r="AN737">
        <v>0.10902983884465545</v>
      </c>
      <c r="AO737">
        <v>2.5989701932631837E-2</v>
      </c>
      <c r="AR737">
        <v>7.3147232945703841E-4</v>
      </c>
      <c r="AS737">
        <v>4.2569243612405726E-3</v>
      </c>
      <c r="AT737">
        <v>0.10055945385719556</v>
      </c>
      <c r="AU737">
        <v>1.8240375094584927E-3</v>
      </c>
      <c r="AV737">
        <v>1.7842588055661122E-3</v>
      </c>
      <c r="AW737">
        <v>3.3958453538058347E-3</v>
      </c>
      <c r="AX737">
        <v>4.7425140129753185E-4</v>
      </c>
      <c r="AY737">
        <v>4.9495165706336941E-4</v>
      </c>
      <c r="BB737">
        <v>4.5777340512419759E-2</v>
      </c>
      <c r="BC737">
        <v>3.818629487822809E-2</v>
      </c>
      <c r="BE737">
        <v>33807.209170013448</v>
      </c>
      <c r="BF737">
        <v>20.375408281205264</v>
      </c>
      <c r="BG737">
        <v>36259.974388450544</v>
      </c>
      <c r="BH737">
        <v>20.334451165339381</v>
      </c>
    </row>
    <row r="738" spans="3:60" x14ac:dyDescent="0.2">
      <c r="C738" s="138">
        <v>24344.704254419943</v>
      </c>
      <c r="D738">
        <v>21.364905897154866</v>
      </c>
      <c r="E738" s="138">
        <v>25956.688124338289</v>
      </c>
      <c r="F738" s="138">
        <v>21.358676729740598</v>
      </c>
      <c r="G738" s="138">
        <v>-1611.9838699183456</v>
      </c>
      <c r="H738" s="138">
        <v>6.2291674142684883E-3</v>
      </c>
      <c r="N738" s="138"/>
      <c r="O738" s="138"/>
      <c r="P738" s="138"/>
      <c r="R738">
        <v>111.77703545875409</v>
      </c>
      <c r="S738">
        <v>61.490792989095667</v>
      </c>
      <c r="T738">
        <v>292.2864121821766</v>
      </c>
      <c r="U738">
        <v>96.590223139131851</v>
      </c>
      <c r="X738">
        <v>0.7389204248998883</v>
      </c>
      <c r="Y738">
        <v>0.75304091715325416</v>
      </c>
      <c r="Z738">
        <v>0.84199778721408092</v>
      </c>
      <c r="AA738">
        <v>0.87638645281470606</v>
      </c>
      <c r="AB738">
        <v>0.76219809829297791</v>
      </c>
      <c r="AC738">
        <v>0.8844950518419421</v>
      </c>
      <c r="AD738">
        <v>0.97578667445248168</v>
      </c>
      <c r="AE738">
        <v>0.73272918234359841</v>
      </c>
      <c r="AH738">
        <v>3.7774985278705264E-2</v>
      </c>
      <c r="AI738">
        <v>2.3376494197152153E-2</v>
      </c>
      <c r="AJ738">
        <v>0.22042789205381319</v>
      </c>
      <c r="AK738">
        <v>0.14505979372353017</v>
      </c>
      <c r="AL738">
        <v>0.20464846790604574</v>
      </c>
      <c r="AM738">
        <v>6.0961355843554554E-2</v>
      </c>
      <c r="AN738">
        <v>0.11799475497816059</v>
      </c>
      <c r="AO738">
        <v>8.6970309241004351E-2</v>
      </c>
      <c r="AR738">
        <v>7.7764321023433868E-4</v>
      </c>
      <c r="AS738">
        <v>4.4686832605693467E-3</v>
      </c>
      <c r="AT738">
        <v>0.10014501440595291</v>
      </c>
      <c r="AU738">
        <v>1.9259443076556559E-3</v>
      </c>
      <c r="AV738">
        <v>1.9273947438705993E-3</v>
      </c>
      <c r="AW738">
        <v>3.9087235105016438E-3</v>
      </c>
      <c r="AX738">
        <v>3.9472828014335795E-4</v>
      </c>
      <c r="AY738">
        <v>4.3596110429984199E-4</v>
      </c>
      <c r="BB738">
        <v>5.4976881057975047E-2</v>
      </c>
      <c r="BC738">
        <v>4.2482793175909729E-2</v>
      </c>
      <c r="BE738">
        <v>24344.704254419943</v>
      </c>
      <c r="BF738">
        <v>21.364905897154866</v>
      </c>
      <c r="BG738">
        <v>25956.688124338289</v>
      </c>
      <c r="BH738">
        <v>21.358676729740598</v>
      </c>
    </row>
    <row r="739" spans="3:60" x14ac:dyDescent="0.2">
      <c r="C739" s="138">
        <v>27992.411824755236</v>
      </c>
      <c r="D739">
        <v>20.487573606809899</v>
      </c>
      <c r="E739" s="138">
        <v>30169.215175871625</v>
      </c>
      <c r="F739" s="138">
        <v>20.448695288785316</v>
      </c>
      <c r="G739" s="138">
        <v>-2176.8033511163885</v>
      </c>
      <c r="H739" s="138">
        <v>3.8878318024583081E-2</v>
      </c>
      <c r="N739" s="138"/>
      <c r="O739" s="138"/>
      <c r="P739" s="138"/>
      <c r="R739">
        <v>73.296625442628482</v>
      </c>
      <c r="S739">
        <v>68.287230051419272</v>
      </c>
      <c r="T739">
        <v>230.54488338869243</v>
      </c>
      <c r="U739">
        <v>95.368110352647307</v>
      </c>
      <c r="X739">
        <v>0.77836710419752497</v>
      </c>
      <c r="Y739">
        <v>0.64642482969128334</v>
      </c>
      <c r="Z739">
        <v>0.9745337156630679</v>
      </c>
      <c r="AA739">
        <v>0.9101778746283582</v>
      </c>
      <c r="AB739">
        <v>0.87385325334050357</v>
      </c>
      <c r="AC739">
        <v>0.66700363753833658</v>
      </c>
      <c r="AD739">
        <v>0.74929302966557654</v>
      </c>
      <c r="AE739">
        <v>0.88886188342939498</v>
      </c>
      <c r="AH739">
        <v>7.9998550297130766E-2</v>
      </c>
      <c r="AI739">
        <v>0.1120713472195769</v>
      </c>
      <c r="AJ739">
        <v>0.13892760608072696</v>
      </c>
      <c r="AK739">
        <v>0.16770458341416972</v>
      </c>
      <c r="AL739">
        <v>0.23484978473921847</v>
      </c>
      <c r="AM739">
        <v>2.6635745940523314E-2</v>
      </c>
      <c r="AN739">
        <v>0.13926734596207802</v>
      </c>
      <c r="AO739">
        <v>9.4410130482824428E-2</v>
      </c>
      <c r="AR739">
        <v>1.0125931376456787E-3</v>
      </c>
      <c r="AS739">
        <v>4.4874652999507677E-3</v>
      </c>
      <c r="AT739">
        <v>0.10034380513446239</v>
      </c>
      <c r="AU739">
        <v>1.9656401603650613E-3</v>
      </c>
      <c r="AV739">
        <v>1.7768775017023588E-3</v>
      </c>
      <c r="AW739">
        <v>3.7247281934906784E-3</v>
      </c>
      <c r="AX739">
        <v>4.5637937573661524E-4</v>
      </c>
      <c r="AY739">
        <v>4.6048060978420846E-4</v>
      </c>
      <c r="BB739">
        <v>5.2239807250797576E-2</v>
      </c>
      <c r="BC739">
        <v>0.11909286477154313</v>
      </c>
      <c r="BE739">
        <v>27992.411824755236</v>
      </c>
      <c r="BF739">
        <v>20.487573606809899</v>
      </c>
      <c r="BG739">
        <v>30169.215175871625</v>
      </c>
      <c r="BH739">
        <v>20.448695288785316</v>
      </c>
    </row>
    <row r="740" spans="3:60" x14ac:dyDescent="0.2">
      <c r="C740" s="138">
        <v>29857.876320946118</v>
      </c>
      <c r="D740">
        <v>21.4327704860737</v>
      </c>
      <c r="E740" s="138">
        <v>32175.741731668179</v>
      </c>
      <c r="F740" s="138">
        <v>21.43774252146666</v>
      </c>
      <c r="G740" s="138">
        <v>-2317.8654107220609</v>
      </c>
      <c r="H740" s="138">
        <v>-4.9720353929600947E-3</v>
      </c>
      <c r="N740" s="138"/>
      <c r="O740" s="138"/>
      <c r="P740" s="138"/>
      <c r="R740">
        <v>260.67641957884575</v>
      </c>
      <c r="S740">
        <v>56.921727950490741</v>
      </c>
      <c r="T740">
        <v>204.84694032790316</v>
      </c>
      <c r="U740">
        <v>105.34267882585608</v>
      </c>
      <c r="X740">
        <v>0.76287164819866693</v>
      </c>
      <c r="Y740">
        <v>0.66880488770553648</v>
      </c>
      <c r="Z740">
        <v>0.89468686537439146</v>
      </c>
      <c r="AA740">
        <v>0.79985576524039781</v>
      </c>
      <c r="AB740">
        <v>0.68081709440568217</v>
      </c>
      <c r="AC740">
        <v>0.77111692784499142</v>
      </c>
      <c r="AD740">
        <v>0.87171914753668123</v>
      </c>
      <c r="AE740">
        <v>0.91456039713722559</v>
      </c>
      <c r="AH740">
        <v>0.15141618179746097</v>
      </c>
      <c r="AI740">
        <v>0.23179840395588613</v>
      </c>
      <c r="AJ740">
        <v>0.10340157549390017</v>
      </c>
      <c r="AK740">
        <v>0.1520194450233554</v>
      </c>
      <c r="AL740">
        <v>1.1182725413670269E-2</v>
      </c>
      <c r="AM740">
        <v>5.5296212062880379E-2</v>
      </c>
      <c r="AN740">
        <v>9.269235347368554E-2</v>
      </c>
      <c r="AO740">
        <v>4.4948880470739194E-2</v>
      </c>
      <c r="AR740">
        <v>7.9188264733371153E-4</v>
      </c>
      <c r="AS740">
        <v>4.2454188154662032E-3</v>
      </c>
      <c r="AT740">
        <v>0.10034123881260648</v>
      </c>
      <c r="AU740">
        <v>1.8071447469494724E-3</v>
      </c>
      <c r="AV740">
        <v>2.0482947690171338E-3</v>
      </c>
      <c r="AW740">
        <v>3.3686418385698255E-3</v>
      </c>
      <c r="AX740">
        <v>3.8377021031963911E-4</v>
      </c>
      <c r="AY740">
        <v>4.9138417117489119E-4</v>
      </c>
      <c r="BB740">
        <v>5.1464823229611101E-2</v>
      </c>
      <c r="BC740">
        <v>5.9674533734959123E-2</v>
      </c>
      <c r="BE740">
        <v>29857.876320946118</v>
      </c>
      <c r="BF740">
        <v>21.4327704860737</v>
      </c>
      <c r="BG740">
        <v>32175.741731668179</v>
      </c>
      <c r="BH740">
        <v>21.43774252146666</v>
      </c>
    </row>
    <row r="741" spans="3:60" x14ac:dyDescent="0.2">
      <c r="C741" s="138">
        <v>34675.627064802553</v>
      </c>
      <c r="D741">
        <v>21.31302087580567</v>
      </c>
      <c r="E741" s="138">
        <v>36369.616086014539</v>
      </c>
      <c r="F741" s="138">
        <v>21.28135080408725</v>
      </c>
      <c r="G741" s="138">
        <v>-1693.9890212119863</v>
      </c>
      <c r="H741" s="138">
        <v>3.1670071718419734E-2</v>
      </c>
      <c r="N741" s="138"/>
      <c r="O741" s="138"/>
      <c r="P741" s="138"/>
      <c r="R741">
        <v>267.98560253632542</v>
      </c>
      <c r="S741">
        <v>64.837004698149954</v>
      </c>
      <c r="T741">
        <v>260.16115792810007</v>
      </c>
      <c r="U741">
        <v>109.16029284699222</v>
      </c>
      <c r="X741">
        <v>0.963132279619765</v>
      </c>
      <c r="Y741">
        <v>0.69588269083149734</v>
      </c>
      <c r="Z741">
        <v>0.70561959239937067</v>
      </c>
      <c r="AA741">
        <v>0.78171289569616809</v>
      </c>
      <c r="AB741">
        <v>0.47442734577820878</v>
      </c>
      <c r="AC741">
        <v>0.84774277669474607</v>
      </c>
      <c r="AD741">
        <v>0.55897080674688393</v>
      </c>
      <c r="AE741">
        <v>0.72085999249815225</v>
      </c>
      <c r="AH741">
        <v>0.26125504332229821</v>
      </c>
      <c r="AI741">
        <v>0.24152168157551857</v>
      </c>
      <c r="AJ741">
        <v>0.16187038138081022</v>
      </c>
      <c r="AK741">
        <v>8.4995609670929673E-2</v>
      </c>
      <c r="AL741">
        <v>0.1927287284142799</v>
      </c>
      <c r="AM741">
        <v>0.12421300673369129</v>
      </c>
      <c r="AN741">
        <v>4.810445779681638E-2</v>
      </c>
      <c r="AO741">
        <v>0.34240572520646695</v>
      </c>
      <c r="AR741">
        <v>8.8618513182897618E-4</v>
      </c>
      <c r="AS741">
        <v>4.5729768135025495E-3</v>
      </c>
      <c r="AT741">
        <v>0.10107682647781768</v>
      </c>
      <c r="AU741">
        <v>1.9607100852330134E-3</v>
      </c>
      <c r="AV741">
        <v>1.8526651200576308E-3</v>
      </c>
      <c r="AW741">
        <v>3.4029797903024042E-3</v>
      </c>
      <c r="AX741">
        <v>3.4030722341233641E-4</v>
      </c>
      <c r="AY741">
        <v>4.3273802971739104E-4</v>
      </c>
      <c r="BB741">
        <v>4.2658198482583884E-2</v>
      </c>
      <c r="BC741">
        <v>4.0337101464302194E-2</v>
      </c>
      <c r="BE741">
        <v>34675.627064802553</v>
      </c>
      <c r="BF741">
        <v>21.31302087580567</v>
      </c>
      <c r="BG741">
        <v>36369.616086014539</v>
      </c>
      <c r="BH741">
        <v>21.28135080408725</v>
      </c>
    </row>
    <row r="742" spans="3:60" x14ac:dyDescent="0.2">
      <c r="C742" s="138">
        <v>28819.468406057436</v>
      </c>
      <c r="D742">
        <v>20.9875572571943</v>
      </c>
      <c r="E742" s="138">
        <v>30637.977838259685</v>
      </c>
      <c r="F742" s="138">
        <v>20.955693453102135</v>
      </c>
      <c r="G742" s="138">
        <v>-1818.5094322022487</v>
      </c>
      <c r="H742" s="138">
        <v>3.1863804092164827E-2</v>
      </c>
      <c r="N742" s="138"/>
      <c r="O742" s="138"/>
      <c r="P742" s="138"/>
      <c r="R742">
        <v>67.649593785291358</v>
      </c>
      <c r="S742">
        <v>72.96474785667715</v>
      </c>
      <c r="T742">
        <v>271.44352922674972</v>
      </c>
      <c r="U742">
        <v>82.816666934243656</v>
      </c>
      <c r="X742">
        <v>0.79021192230072235</v>
      </c>
      <c r="Y742">
        <v>0.87066565965676035</v>
      </c>
      <c r="Z742">
        <v>0.74897758413951554</v>
      </c>
      <c r="AA742">
        <v>0.69571587179693306</v>
      </c>
      <c r="AB742">
        <v>0.83702711727660628</v>
      </c>
      <c r="AC742">
        <v>0.96225973392538078</v>
      </c>
      <c r="AD742">
        <v>0.71296330765722526</v>
      </c>
      <c r="AE742">
        <v>0.87074539925709782</v>
      </c>
      <c r="AH742">
        <v>8.9994289106862801E-2</v>
      </c>
      <c r="AI742">
        <v>2.6768274885223819E-2</v>
      </c>
      <c r="AJ742">
        <v>0.10378330984964967</v>
      </c>
      <c r="AK742">
        <v>0.40713254706942681</v>
      </c>
      <c r="AL742">
        <v>8.5045198285207624E-2</v>
      </c>
      <c r="AM742">
        <v>5.2154930845162539E-2</v>
      </c>
      <c r="AN742">
        <v>2.9106457090259275E-2</v>
      </c>
      <c r="AO742">
        <v>4.7008741605155002E-2</v>
      </c>
      <c r="AR742">
        <v>9.6585830018180996E-4</v>
      </c>
      <c r="AS742">
        <v>4.805283210983835E-3</v>
      </c>
      <c r="AT742">
        <v>9.841857919793387E-2</v>
      </c>
      <c r="AU742">
        <v>1.9476400705676436E-3</v>
      </c>
      <c r="AV742">
        <v>1.9397588837777348E-3</v>
      </c>
      <c r="AW742">
        <v>3.3506447666662624E-3</v>
      </c>
      <c r="AX742">
        <v>3.6129306260647458E-4</v>
      </c>
      <c r="AY742">
        <v>3.8039144250959916E-4</v>
      </c>
      <c r="BB742">
        <v>4.6238765354621195E-2</v>
      </c>
      <c r="BC742">
        <v>4.8903244742500185E-2</v>
      </c>
      <c r="BE742">
        <v>28819.468406057436</v>
      </c>
      <c r="BF742">
        <v>20.9875572571943</v>
      </c>
      <c r="BG742">
        <v>30637.977838259685</v>
      </c>
      <c r="BH742">
        <v>20.955693453102135</v>
      </c>
    </row>
    <row r="743" spans="3:60" x14ac:dyDescent="0.2">
      <c r="C743" s="138">
        <v>27701.602173917949</v>
      </c>
      <c r="D743">
        <v>21.313168645004826</v>
      </c>
      <c r="E743" s="138">
        <v>29617.64396043427</v>
      </c>
      <c r="F743" s="138">
        <v>21.326181461317979</v>
      </c>
      <c r="G743" s="138">
        <v>-1916.0417865163217</v>
      </c>
      <c r="H743" s="138">
        <v>-1.3012816313153763E-2</v>
      </c>
      <c r="N743" s="138"/>
      <c r="O743" s="138"/>
      <c r="P743" s="138"/>
      <c r="R743">
        <v>228.60564907789595</v>
      </c>
      <c r="S743">
        <v>66.618704091262316</v>
      </c>
      <c r="T743">
        <v>256.61026055082135</v>
      </c>
      <c r="U743">
        <v>83.751435958908885</v>
      </c>
      <c r="X743">
        <v>0.90117883273613497</v>
      </c>
      <c r="Y743">
        <v>0.41039447031220105</v>
      </c>
      <c r="Z743">
        <v>0.76786065468814191</v>
      </c>
      <c r="AA743">
        <v>0.57372204739195998</v>
      </c>
      <c r="AB743">
        <v>0.6191251316154871</v>
      </c>
      <c r="AC743">
        <v>0.73880020182450756</v>
      </c>
      <c r="AD743">
        <v>0.84501261400352878</v>
      </c>
      <c r="AE743">
        <v>0.63802165154502921</v>
      </c>
      <c r="AH743">
        <v>7.9815438413115003E-2</v>
      </c>
      <c r="AI743">
        <v>0.16176294200714914</v>
      </c>
      <c r="AJ743">
        <v>1.8293779083252026E-2</v>
      </c>
      <c r="AK743">
        <v>5.5634018500701599E-2</v>
      </c>
      <c r="AL743">
        <v>0.29557131985561191</v>
      </c>
      <c r="AM743">
        <v>3.6595159660460341E-2</v>
      </c>
      <c r="AN743">
        <v>7.7462204617367969E-2</v>
      </c>
      <c r="AO743">
        <v>0.20424814667769275</v>
      </c>
      <c r="AR743">
        <v>9.8124949992250965E-4</v>
      </c>
      <c r="AS743">
        <v>4.524091338265257E-3</v>
      </c>
      <c r="AT743">
        <v>9.9175608360059092E-2</v>
      </c>
      <c r="AU743">
        <v>2.1712078701099369E-3</v>
      </c>
      <c r="AV743">
        <v>1.99524331262309E-3</v>
      </c>
      <c r="AW743">
        <v>3.6388957790559617E-3</v>
      </c>
      <c r="AX743">
        <v>5.3102874164456804E-4</v>
      </c>
      <c r="AY743">
        <v>4.4467459409890803E-4</v>
      </c>
      <c r="BB743">
        <v>4.4431567980860828E-2</v>
      </c>
      <c r="BC743">
        <v>5.0473204085553558E-2</v>
      </c>
      <c r="BE743">
        <v>27701.602173917949</v>
      </c>
      <c r="BF743">
        <v>21.313168645004826</v>
      </c>
      <c r="BG743">
        <v>29617.64396043427</v>
      </c>
      <c r="BH743">
        <v>21.326181461317979</v>
      </c>
    </row>
    <row r="744" spans="3:60" x14ac:dyDescent="0.2">
      <c r="C744" s="138">
        <v>29687.344726695472</v>
      </c>
      <c r="D744">
        <v>21.221953276797851</v>
      </c>
      <c r="E744" s="138">
        <v>31561.754115305965</v>
      </c>
      <c r="F744" s="138">
        <v>21.20703557074064</v>
      </c>
      <c r="G744" s="138">
        <v>-1874.4093886104929</v>
      </c>
      <c r="H744" s="138">
        <v>1.4917706057211433E-2</v>
      </c>
      <c r="N744" s="138"/>
      <c r="O744" s="138"/>
      <c r="P744" s="138"/>
      <c r="R744">
        <v>419.02709537304162</v>
      </c>
      <c r="S744">
        <v>60.544683288740963</v>
      </c>
      <c r="T744">
        <v>260.93688702093135</v>
      </c>
      <c r="U744">
        <v>82.81167619357177</v>
      </c>
      <c r="X744">
        <v>0.94792503479364332</v>
      </c>
      <c r="Y744">
        <v>0.77700708450611533</v>
      </c>
      <c r="Z744">
        <v>0.85451159246541886</v>
      </c>
      <c r="AA744">
        <v>0.51787283810082863</v>
      </c>
      <c r="AB744">
        <v>0.7190209135666713</v>
      </c>
      <c r="AC744">
        <v>0.80789904858749906</v>
      </c>
      <c r="AD744">
        <v>0.78759444167873593</v>
      </c>
      <c r="AE744">
        <v>0.65543826724370668</v>
      </c>
      <c r="AH744">
        <v>8.6928919689511663E-2</v>
      </c>
      <c r="AI744">
        <v>0.16177679006073187</v>
      </c>
      <c r="AJ744">
        <v>0.14155210655224171</v>
      </c>
      <c r="AK744">
        <v>3.0252905598708302E-2</v>
      </c>
      <c r="AL744">
        <v>4.1540384090541504E-2</v>
      </c>
      <c r="AM744">
        <v>0.2345025096948935</v>
      </c>
      <c r="AN744">
        <v>6.3648325609743761E-2</v>
      </c>
      <c r="AO744">
        <v>1.3533450209346043E-2</v>
      </c>
      <c r="AR744">
        <v>9.4721063397806837E-4</v>
      </c>
      <c r="AS744">
        <v>4.4767086930442819E-3</v>
      </c>
      <c r="AT744">
        <v>0.10032963472626244</v>
      </c>
      <c r="AU744">
        <v>1.7262036482240633E-3</v>
      </c>
      <c r="AV744">
        <v>1.977657860320726E-3</v>
      </c>
      <c r="AW744">
        <v>3.4279923671434176E-3</v>
      </c>
      <c r="AX744">
        <v>4.302845603677552E-4</v>
      </c>
      <c r="AY744">
        <v>4.0692056465798217E-4</v>
      </c>
      <c r="BB744">
        <v>4.9561175373704233E-2</v>
      </c>
      <c r="BC744">
        <v>7.3662009516969551E-2</v>
      </c>
      <c r="BE744">
        <v>29687.344726695472</v>
      </c>
      <c r="BF744">
        <v>21.221953276797851</v>
      </c>
      <c r="BG744">
        <v>31561.754115305965</v>
      </c>
      <c r="BH744">
        <v>21.20703557074064</v>
      </c>
    </row>
    <row r="745" spans="3:60" x14ac:dyDescent="0.2">
      <c r="C745" s="138">
        <v>34962.338984777729</v>
      </c>
      <c r="D745">
        <v>20.571968182666325</v>
      </c>
      <c r="E745" s="138">
        <v>37163.08301285858</v>
      </c>
      <c r="F745" s="138">
        <v>20.579615942931138</v>
      </c>
      <c r="G745" s="138">
        <v>-2200.7440280808514</v>
      </c>
      <c r="H745" s="138">
        <v>-7.6477602648132859E-3</v>
      </c>
      <c r="N745" s="138"/>
      <c r="O745" s="138"/>
      <c r="P745" s="138"/>
      <c r="R745">
        <v>369.5190362939378</v>
      </c>
      <c r="S745">
        <v>61.729413520840311</v>
      </c>
      <c r="T745">
        <v>217.48594004028865</v>
      </c>
      <c r="U745">
        <v>98.959014758141038</v>
      </c>
      <c r="X745">
        <v>0.72792338022561975</v>
      </c>
      <c r="Y745">
        <v>0.58602625664598307</v>
      </c>
      <c r="Z745">
        <v>0.90781763017279604</v>
      </c>
      <c r="AA745">
        <v>0.89349945957033472</v>
      </c>
      <c r="AB745">
        <v>0.74856930131186172</v>
      </c>
      <c r="AC745">
        <v>0.83114605406933162</v>
      </c>
      <c r="AD745">
        <v>0.90619458278924847</v>
      </c>
      <c r="AE745">
        <v>0.65028289999985855</v>
      </c>
      <c r="AH745">
        <v>4.2551077740768495E-2</v>
      </c>
      <c r="AI745">
        <v>0.26367061103394984</v>
      </c>
      <c r="AJ745">
        <v>0.1534191493134851</v>
      </c>
      <c r="AK745">
        <v>9.7732603247579153E-2</v>
      </c>
      <c r="AL745">
        <v>0.39956669655540211</v>
      </c>
      <c r="AM745">
        <v>0.1790508329463173</v>
      </c>
      <c r="AN745">
        <v>0.15555758126612484</v>
      </c>
      <c r="AO745">
        <v>0.23294634538815651</v>
      </c>
      <c r="AR745">
        <v>8.4370586908513235E-4</v>
      </c>
      <c r="AS745">
        <v>4.2747234830337001E-3</v>
      </c>
      <c r="AT745">
        <v>0.10089782663726643</v>
      </c>
      <c r="AU745">
        <v>1.8410979012851432E-3</v>
      </c>
      <c r="AV745">
        <v>2.0943382900110441E-3</v>
      </c>
      <c r="AW745">
        <v>3.2490762943219011E-3</v>
      </c>
      <c r="AX745">
        <v>4.3745093141500657E-4</v>
      </c>
      <c r="AY745">
        <v>4.1229752893019077E-4</v>
      </c>
      <c r="BB745">
        <v>5.0025412359594568E-2</v>
      </c>
      <c r="BC745">
        <v>2.4145204188510242E-2</v>
      </c>
      <c r="BE745">
        <v>34962.338984777729</v>
      </c>
      <c r="BF745">
        <v>20.571968182666325</v>
      </c>
      <c r="BG745">
        <v>37163.08301285858</v>
      </c>
      <c r="BH745">
        <v>20.579615942931138</v>
      </c>
    </row>
    <row r="746" spans="3:60" x14ac:dyDescent="0.2">
      <c r="C746" s="138">
        <v>27085.884846104917</v>
      </c>
      <c r="D746">
        <v>20.978299476425384</v>
      </c>
      <c r="E746" s="138">
        <v>29004.296363089103</v>
      </c>
      <c r="F746" s="138">
        <v>20.943557978754942</v>
      </c>
      <c r="G746" s="138">
        <v>-1918.4115169841862</v>
      </c>
      <c r="H746" s="138">
        <v>3.4741497670442101E-2</v>
      </c>
      <c r="N746" s="138"/>
      <c r="O746" s="138"/>
      <c r="P746" s="138"/>
      <c r="R746">
        <v>272.80813342215725</v>
      </c>
      <c r="S746">
        <v>63.764664700635421</v>
      </c>
      <c r="T746">
        <v>171.65593377527787</v>
      </c>
      <c r="U746">
        <v>89.876559072956965</v>
      </c>
      <c r="X746">
        <v>0.72323829517017357</v>
      </c>
      <c r="Y746">
        <v>0.76032167437474318</v>
      </c>
      <c r="Z746">
        <v>0.75431673030003388</v>
      </c>
      <c r="AA746">
        <v>0.86715588002998911</v>
      </c>
      <c r="AB746">
        <v>0.85267315621069739</v>
      </c>
      <c r="AC746">
        <v>0.84679542731759505</v>
      </c>
      <c r="AD746">
        <v>0.63685427709695464</v>
      </c>
      <c r="AE746">
        <v>0.35697080001867909</v>
      </c>
      <c r="AH746">
        <v>6.5811716235768536E-3</v>
      </c>
      <c r="AI746">
        <v>6.3433655130282762E-2</v>
      </c>
      <c r="AJ746">
        <v>0.14278512099355856</v>
      </c>
      <c r="AK746">
        <v>0.19302113571653368</v>
      </c>
      <c r="AL746">
        <v>9.1988243429209082E-2</v>
      </c>
      <c r="AM746">
        <v>0.11970847227537107</v>
      </c>
      <c r="AN746">
        <v>0.12905594061807224</v>
      </c>
      <c r="AO746">
        <v>6.7331675257574997E-2</v>
      </c>
      <c r="AR746">
        <v>8.6909326217430053E-4</v>
      </c>
      <c r="AS746">
        <v>4.5380795315783651E-3</v>
      </c>
      <c r="AT746">
        <v>9.9878835740839514E-2</v>
      </c>
      <c r="AU746">
        <v>2.0228817261825904E-3</v>
      </c>
      <c r="AV746">
        <v>1.9302887934155E-3</v>
      </c>
      <c r="AW746">
        <v>3.5192783668566152E-3</v>
      </c>
      <c r="AX746">
        <v>3.07537240111549E-4</v>
      </c>
      <c r="AY746">
        <v>2.8913054356251056E-4</v>
      </c>
      <c r="BB746">
        <v>5.2151463151021038E-2</v>
      </c>
      <c r="BC746">
        <v>5.9930427042700241E-2</v>
      </c>
      <c r="BE746">
        <v>27085.884846104917</v>
      </c>
      <c r="BF746">
        <v>20.978299476425384</v>
      </c>
      <c r="BG746">
        <v>29004.296363089103</v>
      </c>
      <c r="BH746">
        <v>20.943557978754942</v>
      </c>
    </row>
    <row r="747" spans="3:60" x14ac:dyDescent="0.2">
      <c r="C747" s="138">
        <v>32246.990233177115</v>
      </c>
      <c r="D747">
        <v>20.777735495210674</v>
      </c>
      <c r="E747" s="138">
        <v>34277.451329207033</v>
      </c>
      <c r="F747" s="138">
        <v>20.801230251579021</v>
      </c>
      <c r="G747" s="138">
        <v>-2030.4610960299178</v>
      </c>
      <c r="H747" s="138">
        <v>-2.349475636834697E-2</v>
      </c>
      <c r="N747" s="138"/>
      <c r="O747" s="138"/>
      <c r="P747" s="138"/>
      <c r="R747">
        <v>175.89409869392182</v>
      </c>
      <c r="S747">
        <v>61.242600254506627</v>
      </c>
      <c r="T747">
        <v>238.35445140894697</v>
      </c>
      <c r="U747">
        <v>103.82937376400514</v>
      </c>
      <c r="X747">
        <v>0.65377347917040329</v>
      </c>
      <c r="Y747">
        <v>0.84992214118040366</v>
      </c>
      <c r="Z747">
        <v>0.792101511741237</v>
      </c>
      <c r="AA747">
        <v>0.81702365118959297</v>
      </c>
      <c r="AB747">
        <v>0.75182259140294627</v>
      </c>
      <c r="AC747">
        <v>0.89657911047169425</v>
      </c>
      <c r="AD747">
        <v>0.72595538146670913</v>
      </c>
      <c r="AE747">
        <v>0.93530526344264575</v>
      </c>
      <c r="AH747">
        <v>0.1294431165341382</v>
      </c>
      <c r="AI747">
        <v>0.16342273416748232</v>
      </c>
      <c r="AJ747">
        <v>0.10595501781618211</v>
      </c>
      <c r="AK747">
        <v>0.19402680458162125</v>
      </c>
      <c r="AL747">
        <v>0.1146547301071118</v>
      </c>
      <c r="AM747">
        <v>0.11279520198260773</v>
      </c>
      <c r="AN747">
        <v>0.12513120517596543</v>
      </c>
      <c r="AO747">
        <v>4.3347212105286914E-3</v>
      </c>
      <c r="AR747">
        <v>9.4149455605929688E-4</v>
      </c>
      <c r="AS747">
        <v>4.1916118410671478E-3</v>
      </c>
      <c r="AT747">
        <v>0.1006051841945631</v>
      </c>
      <c r="AU747">
        <v>1.8309526979517748E-3</v>
      </c>
      <c r="AV747">
        <v>1.8514716656343549E-3</v>
      </c>
      <c r="AW747">
        <v>3.6552025541327637E-3</v>
      </c>
      <c r="AX747">
        <v>3.8429616983146265E-4</v>
      </c>
      <c r="AY747">
        <v>3.8859887863524863E-4</v>
      </c>
      <c r="BB747">
        <v>5.6330717007967324E-2</v>
      </c>
      <c r="BC747">
        <v>7.5383322338763881E-2</v>
      </c>
      <c r="BE747">
        <v>32246.990233177115</v>
      </c>
      <c r="BF747">
        <v>20.777735495210674</v>
      </c>
      <c r="BG747">
        <v>34277.451329207033</v>
      </c>
      <c r="BH747">
        <v>20.801230251579021</v>
      </c>
    </row>
    <row r="748" spans="3:60" x14ac:dyDescent="0.2">
      <c r="C748" s="138">
        <v>31477.46763092565</v>
      </c>
      <c r="D748">
        <v>20.678852265180247</v>
      </c>
      <c r="E748" s="138">
        <v>33581.780881474602</v>
      </c>
      <c r="F748" s="138">
        <v>20.668116475116012</v>
      </c>
      <c r="G748" s="138">
        <v>-2104.3132505489521</v>
      </c>
      <c r="H748" s="138">
        <v>1.0735790064234862E-2</v>
      </c>
      <c r="N748" s="138"/>
      <c r="O748" s="138"/>
      <c r="P748" s="138"/>
      <c r="R748">
        <v>187.34127904256678</v>
      </c>
      <c r="S748">
        <v>61.718354803874412</v>
      </c>
      <c r="T748">
        <v>238.63585269988948</v>
      </c>
      <c r="U748">
        <v>90.627797011010657</v>
      </c>
      <c r="X748">
        <v>0.74862343766558126</v>
      </c>
      <c r="Y748">
        <v>0.54441646524913023</v>
      </c>
      <c r="Z748">
        <v>0.84783832297062578</v>
      </c>
      <c r="AA748">
        <v>0.80791198609843995</v>
      </c>
      <c r="AB748">
        <v>0.93781761231634542</v>
      </c>
      <c r="AC748">
        <v>0.76057095606615055</v>
      </c>
      <c r="AD748">
        <v>0.60334316817872546</v>
      </c>
      <c r="AE748">
        <v>0.86147731152035401</v>
      </c>
      <c r="AH748">
        <v>5.978884516950278E-2</v>
      </c>
      <c r="AI748">
        <v>1.8083253935397336E-2</v>
      </c>
      <c r="AJ748">
        <v>6.3340922795908416E-2</v>
      </c>
      <c r="AK748">
        <v>0.37902915732387843</v>
      </c>
      <c r="AL748">
        <v>0.23926263059887054</v>
      </c>
      <c r="AM748">
        <v>0.12126441662471876</v>
      </c>
      <c r="AN748">
        <v>0.17411162532491298</v>
      </c>
      <c r="AO748">
        <v>7.7543834976024351E-2</v>
      </c>
      <c r="AR748">
        <v>1.0926755744439243E-3</v>
      </c>
      <c r="AS748">
        <v>4.6977932144671719E-3</v>
      </c>
      <c r="AT748">
        <v>0.10129302128620132</v>
      </c>
      <c r="AU748">
        <v>2.1200287675463558E-3</v>
      </c>
      <c r="AV748">
        <v>1.7781673199981634E-3</v>
      </c>
      <c r="AW748">
        <v>3.5216292287402196E-3</v>
      </c>
      <c r="AX748">
        <v>3.6806246793232543E-4</v>
      </c>
      <c r="AY748">
        <v>4.1038353421539892E-4</v>
      </c>
      <c r="BB748">
        <v>4.993247881339713E-2</v>
      </c>
      <c r="BC748">
        <v>4.063484126853982E-2</v>
      </c>
      <c r="BE748">
        <v>31477.46763092565</v>
      </c>
      <c r="BF748">
        <v>20.678852265180247</v>
      </c>
      <c r="BG748">
        <v>33581.780881474602</v>
      </c>
      <c r="BH748">
        <v>20.668116475116012</v>
      </c>
    </row>
    <row r="749" spans="3:60" x14ac:dyDescent="0.2">
      <c r="C749" s="138">
        <v>29116.115192659418</v>
      </c>
      <c r="D749">
        <v>20.319908450043638</v>
      </c>
      <c r="E749" s="138">
        <v>30974.546782270008</v>
      </c>
      <c r="F749" s="138">
        <v>20.276857905010399</v>
      </c>
      <c r="G749" s="138">
        <v>-1858.4315896105909</v>
      </c>
      <c r="H749" s="138">
        <v>4.3050545033239018E-2</v>
      </c>
      <c r="N749" s="138"/>
      <c r="O749" s="138"/>
      <c r="P749" s="138"/>
      <c r="R749">
        <v>219.81493215481152</v>
      </c>
      <c r="S749">
        <v>65.385709018463302</v>
      </c>
      <c r="T749">
        <v>240.693323279319</v>
      </c>
      <c r="U749">
        <v>91.297599435880727</v>
      </c>
      <c r="X749">
        <v>0.84262809726296406</v>
      </c>
      <c r="Y749">
        <v>0.85968622015759655</v>
      </c>
      <c r="Z749">
        <v>0.7457839319296431</v>
      </c>
      <c r="AA749">
        <v>0.79957879650228314</v>
      </c>
      <c r="AB749">
        <v>0.92277355866883459</v>
      </c>
      <c r="AC749">
        <v>0.40601877043235707</v>
      </c>
      <c r="AD749">
        <v>0.9196827432428305</v>
      </c>
      <c r="AE749">
        <v>0.86291182165838198</v>
      </c>
      <c r="AH749">
        <v>0.11418179933245265</v>
      </c>
      <c r="AI749">
        <v>0.10937436692141433</v>
      </c>
      <c r="AJ749">
        <v>0.16932028501958785</v>
      </c>
      <c r="AK749">
        <v>4.613140582094688E-2</v>
      </c>
      <c r="AL749">
        <v>0.17872762585296664</v>
      </c>
      <c r="AM749">
        <v>8.0281576200649241E-2</v>
      </c>
      <c r="AN749">
        <v>5.6092648897035247E-2</v>
      </c>
      <c r="AO749">
        <v>0.22426165871995074</v>
      </c>
      <c r="AR749">
        <v>9.8676430601785103E-4</v>
      </c>
      <c r="AS749">
        <v>4.3856820236111626E-3</v>
      </c>
      <c r="AT749">
        <v>0.10208923557612615</v>
      </c>
      <c r="AU749">
        <v>2.1919324209768165E-3</v>
      </c>
      <c r="AV749">
        <v>1.8237940936646495E-3</v>
      </c>
      <c r="AW749">
        <v>3.2073739564213999E-3</v>
      </c>
      <c r="AX749">
        <v>3.9245610392030504E-4</v>
      </c>
      <c r="AY749">
        <v>4.5110787864910407E-4</v>
      </c>
      <c r="BB749">
        <v>5.8069178672286115E-2</v>
      </c>
      <c r="BC749">
        <v>2.3092985373649559E-2</v>
      </c>
      <c r="BE749">
        <v>29116.115192659418</v>
      </c>
      <c r="BF749">
        <v>20.319908450043638</v>
      </c>
      <c r="BG749">
        <v>30974.546782270008</v>
      </c>
      <c r="BH749">
        <v>20.276857905010399</v>
      </c>
    </row>
    <row r="750" spans="3:60" x14ac:dyDescent="0.2">
      <c r="C750" s="138">
        <v>28806.180824945634</v>
      </c>
      <c r="D750">
        <v>20.53222024268824</v>
      </c>
      <c r="E750" s="138">
        <v>30980.73124664295</v>
      </c>
      <c r="F750" s="138">
        <v>20.48641451497345</v>
      </c>
      <c r="G750" s="138">
        <v>-2174.5504216973168</v>
      </c>
      <c r="H750" s="138">
        <v>4.5805727714789413E-2</v>
      </c>
      <c r="N750" s="138"/>
      <c r="O750" s="138"/>
      <c r="P750" s="138"/>
      <c r="R750">
        <v>366.97053922617471</v>
      </c>
      <c r="S750">
        <v>53.290464793305986</v>
      </c>
      <c r="T750">
        <v>217.85435209371721</v>
      </c>
      <c r="U750">
        <v>88.484372783297744</v>
      </c>
      <c r="X750">
        <v>0.62720442201024473</v>
      </c>
      <c r="Y750">
        <v>0.78592539596384237</v>
      </c>
      <c r="Z750">
        <v>0.71066721454236381</v>
      </c>
      <c r="AA750">
        <v>0.65327490289281842</v>
      </c>
      <c r="AB750">
        <v>0.74725293581063035</v>
      </c>
      <c r="AC750">
        <v>0.7983644305865335</v>
      </c>
      <c r="AD750">
        <v>0.52787312948723153</v>
      </c>
      <c r="AE750">
        <v>0.71925894799311652</v>
      </c>
      <c r="AH750">
        <v>7.7990978673789679E-2</v>
      </c>
      <c r="AI750">
        <v>0.23401135292359665</v>
      </c>
      <c r="AJ750">
        <v>0.20992335226975833</v>
      </c>
      <c r="AK750">
        <v>6.5311826724306243E-2</v>
      </c>
      <c r="AL750">
        <v>0.17214807302755286</v>
      </c>
      <c r="AM750">
        <v>4.7434923742707413E-2</v>
      </c>
      <c r="AN750">
        <v>0.22940091754046854</v>
      </c>
      <c r="AO750">
        <v>9.7331478160927798E-2</v>
      </c>
      <c r="AR750">
        <v>8.2201154587548347E-4</v>
      </c>
      <c r="AS750">
        <v>4.6529892778186532E-3</v>
      </c>
      <c r="AT750">
        <v>0.10131537831488224</v>
      </c>
      <c r="AU750">
        <v>2.0579322318106108E-3</v>
      </c>
      <c r="AV750">
        <v>1.8971908193601069E-3</v>
      </c>
      <c r="AW750">
        <v>3.571176163452483E-3</v>
      </c>
      <c r="AX750">
        <v>3.5545086923062725E-4</v>
      </c>
      <c r="AY750">
        <v>4.9354059478856627E-4</v>
      </c>
      <c r="BB750">
        <v>4.8225322002858624E-2</v>
      </c>
      <c r="BC750">
        <v>0.12854527875331934</v>
      </c>
      <c r="BE750">
        <v>28806.180824945634</v>
      </c>
      <c r="BF750">
        <v>20.53222024268824</v>
      </c>
      <c r="BG750">
        <v>30980.73124664295</v>
      </c>
      <c r="BH750">
        <v>20.48641451497345</v>
      </c>
    </row>
    <row r="751" spans="3:60" x14ac:dyDescent="0.2">
      <c r="C751" s="138">
        <v>30166.978128006387</v>
      </c>
      <c r="D751">
        <v>20.552687725017364</v>
      </c>
      <c r="E751" s="138">
        <v>32343.748050309081</v>
      </c>
      <c r="F751" s="138">
        <v>20.510847349165921</v>
      </c>
      <c r="G751" s="138">
        <v>-2176.7699223026939</v>
      </c>
      <c r="H751" s="138">
        <v>4.1840375851442957E-2</v>
      </c>
      <c r="N751" s="138"/>
      <c r="O751" s="138"/>
      <c r="P751" s="138"/>
      <c r="R751">
        <v>339.96571966521429</v>
      </c>
      <c r="S751">
        <v>68.945653778849902</v>
      </c>
      <c r="T751">
        <v>267.11586676817092</v>
      </c>
      <c r="U751">
        <v>105.79037922691735</v>
      </c>
      <c r="X751">
        <v>0.91129448253793077</v>
      </c>
      <c r="Y751">
        <v>0.78824903805881052</v>
      </c>
      <c r="Z751">
        <v>0.71603886034758013</v>
      </c>
      <c r="AA751">
        <v>0.92980101987672303</v>
      </c>
      <c r="AB751">
        <v>0.77101920580978645</v>
      </c>
      <c r="AC751">
        <v>0.77075186914483096</v>
      </c>
      <c r="AD751">
        <v>0.67295603961175265</v>
      </c>
      <c r="AE751">
        <v>0.63326830974179993</v>
      </c>
      <c r="AH751">
        <v>0.12729049451187446</v>
      </c>
      <c r="AI751">
        <v>5.032821664411391E-2</v>
      </c>
      <c r="AJ751">
        <v>0.21445262425716571</v>
      </c>
      <c r="AK751">
        <v>2.2675383920937819E-2</v>
      </c>
      <c r="AL751">
        <v>0.1103929037213357</v>
      </c>
      <c r="AM751">
        <v>0.16676254821436465</v>
      </c>
      <c r="AN751">
        <v>5.192031738531222E-2</v>
      </c>
      <c r="AO751">
        <v>5.2473970102647316E-2</v>
      </c>
      <c r="AR751">
        <v>9.034474227592737E-4</v>
      </c>
      <c r="AS751">
        <v>4.324192149250416E-3</v>
      </c>
      <c r="AT751">
        <v>9.916262350767388E-2</v>
      </c>
      <c r="AU751">
        <v>2.3116892978849446E-3</v>
      </c>
      <c r="AV751">
        <v>1.973220840297398E-3</v>
      </c>
      <c r="AW751">
        <v>3.2918708758604459E-3</v>
      </c>
      <c r="AX751">
        <v>3.9445887524360636E-4</v>
      </c>
      <c r="AY751">
        <v>4.2979092255090035E-4</v>
      </c>
      <c r="BB751">
        <v>4.0927677098566359E-2</v>
      </c>
      <c r="BC751">
        <v>7.9219489014125344E-2</v>
      </c>
      <c r="BE751">
        <v>30166.978128006387</v>
      </c>
      <c r="BF751">
        <v>20.552687725017364</v>
      </c>
      <c r="BG751">
        <v>32343.748050309081</v>
      </c>
      <c r="BH751">
        <v>20.510847349165921</v>
      </c>
    </row>
    <row r="752" spans="3:60" x14ac:dyDescent="0.2">
      <c r="C752" s="138">
        <v>26690.950435033697</v>
      </c>
      <c r="D752">
        <v>20.617278487510355</v>
      </c>
      <c r="E752" s="138">
        <v>28802.481640706585</v>
      </c>
      <c r="F752" s="138">
        <v>20.593194205521272</v>
      </c>
      <c r="G752" s="138">
        <v>-2111.5312056728872</v>
      </c>
      <c r="H752" s="138">
        <v>2.4084281989082967E-2</v>
      </c>
      <c r="N752" s="138"/>
      <c r="O752" s="138"/>
      <c r="P752" s="138"/>
      <c r="R752">
        <v>173.48712882434774</v>
      </c>
      <c r="S752">
        <v>67.347734229296847</v>
      </c>
      <c r="T752">
        <v>257.25408330146456</v>
      </c>
      <c r="U752">
        <v>108.0937136310324</v>
      </c>
      <c r="X752">
        <v>0.72175069881449294</v>
      </c>
      <c r="Y752">
        <v>0.43477873542795042</v>
      </c>
      <c r="Z752">
        <v>0.64877991858370943</v>
      </c>
      <c r="AA752">
        <v>0.92578259869808022</v>
      </c>
      <c r="AB752">
        <v>0.91364217358920341</v>
      </c>
      <c r="AC752">
        <v>0.64695440510550217</v>
      </c>
      <c r="AD752">
        <v>0.97949892701097652</v>
      </c>
      <c r="AE752">
        <v>0.72962095393964621</v>
      </c>
      <c r="AH752">
        <v>0.10861951643411893</v>
      </c>
      <c r="AI752">
        <v>0.14283507405497942</v>
      </c>
      <c r="AJ752">
        <v>0.27717046545389279</v>
      </c>
      <c r="AK752">
        <v>2.7217324922246822E-2</v>
      </c>
      <c r="AL752">
        <v>0.11655836465579672</v>
      </c>
      <c r="AM752">
        <v>0.28428898794786639</v>
      </c>
      <c r="AN752">
        <v>3.4403519369608837E-2</v>
      </c>
      <c r="AO752">
        <v>0.15318285763805684</v>
      </c>
      <c r="AR752">
        <v>1.0186028164633765E-3</v>
      </c>
      <c r="AS752">
        <v>4.6730154330419937E-3</v>
      </c>
      <c r="AT752">
        <v>0.10159576174267249</v>
      </c>
      <c r="AU752">
        <v>1.939916572271721E-3</v>
      </c>
      <c r="AV752">
        <v>1.9869475728597932E-3</v>
      </c>
      <c r="AW752">
        <v>3.1100206389220709E-3</v>
      </c>
      <c r="AX752">
        <v>3.6355430672621846E-4</v>
      </c>
      <c r="AY752">
        <v>4.154400578301203E-4</v>
      </c>
      <c r="BB752">
        <v>5.2281642442722598E-2</v>
      </c>
      <c r="BC752">
        <v>0.10843283461263342</v>
      </c>
      <c r="BE752">
        <v>26690.950435033697</v>
      </c>
      <c r="BF752">
        <v>20.617278487510355</v>
      </c>
      <c r="BG752">
        <v>28802.481640706585</v>
      </c>
      <c r="BH752">
        <v>20.593194205521272</v>
      </c>
    </row>
    <row r="753" spans="3:60" x14ac:dyDescent="0.2">
      <c r="C753" s="138">
        <v>32811.791559151126</v>
      </c>
      <c r="D753">
        <v>21.240428405240891</v>
      </c>
      <c r="E753" s="138">
        <v>35555.143824834988</v>
      </c>
      <c r="F753" s="138">
        <v>21.22404090564552</v>
      </c>
      <c r="G753" s="138">
        <v>-2743.3522656838613</v>
      </c>
      <c r="H753" s="138">
        <v>1.6387499595371224E-2</v>
      </c>
      <c r="N753" s="138"/>
      <c r="O753" s="138"/>
      <c r="P753" s="138"/>
      <c r="R753">
        <v>125.07452611841281</v>
      </c>
      <c r="S753">
        <v>67.362765251654082</v>
      </c>
      <c r="T753">
        <v>261.97968357543948</v>
      </c>
      <c r="U753">
        <v>111.51717758312047</v>
      </c>
      <c r="X753">
        <v>0.8253163984154096</v>
      </c>
      <c r="Y753">
        <v>0.89421444313005938</v>
      </c>
      <c r="Z753">
        <v>0.88434994313115922</v>
      </c>
      <c r="AA753">
        <v>0.83063236478032709</v>
      </c>
      <c r="AB753">
        <v>0.77623923961879815</v>
      </c>
      <c r="AC753">
        <v>0.73407912453622215</v>
      </c>
      <c r="AD753">
        <v>0.7327631183958413</v>
      </c>
      <c r="AE753">
        <v>0.6908990720701973</v>
      </c>
      <c r="AH753">
        <v>1.5666181373152344E-2</v>
      </c>
      <c r="AI753">
        <v>4.2349051409761529E-2</v>
      </c>
      <c r="AJ753">
        <v>0.20334217517954245</v>
      </c>
      <c r="AK753">
        <v>0.17163990378287131</v>
      </c>
      <c r="AL753">
        <v>0.10527869616862451</v>
      </c>
      <c r="AM753">
        <v>8.7394128152800898E-2</v>
      </c>
      <c r="AN753">
        <v>5.3710739434159271E-2</v>
      </c>
      <c r="AO753">
        <v>0.31224319211254969</v>
      </c>
      <c r="AR753">
        <v>1.0603872131388359E-3</v>
      </c>
      <c r="AS753">
        <v>4.2872818903907832E-3</v>
      </c>
      <c r="AT753">
        <v>9.9185013735712119E-2</v>
      </c>
      <c r="AU753">
        <v>2.0831506712970516E-3</v>
      </c>
      <c r="AV753">
        <v>1.9216198992765986E-3</v>
      </c>
      <c r="AW753">
        <v>3.0126850604109382E-3</v>
      </c>
      <c r="AX753">
        <v>4.8051359770351354E-4</v>
      </c>
      <c r="AY753">
        <v>5.0247213216081388E-4</v>
      </c>
      <c r="BB753">
        <v>5.2548969371841281E-2</v>
      </c>
      <c r="BC753">
        <v>4.6534980593125962E-2</v>
      </c>
      <c r="BE753">
        <v>32811.791559151126</v>
      </c>
      <c r="BF753">
        <v>21.240428405240891</v>
      </c>
      <c r="BG753">
        <v>35555.143824834988</v>
      </c>
      <c r="BH753">
        <v>21.22404090564552</v>
      </c>
    </row>
    <row r="754" spans="3:60" x14ac:dyDescent="0.2">
      <c r="C754" s="138">
        <v>28634.141287106391</v>
      </c>
      <c r="D754">
        <v>20.518287830774938</v>
      </c>
      <c r="E754" s="138">
        <v>30672.644246731354</v>
      </c>
      <c r="F754" s="138">
        <v>20.523067555824515</v>
      </c>
      <c r="G754" s="138">
        <v>-2038.5029596249624</v>
      </c>
      <c r="H754" s="138">
        <v>-4.7797250495769106E-3</v>
      </c>
      <c r="N754" s="138"/>
      <c r="O754" s="138"/>
      <c r="P754" s="138"/>
      <c r="R754">
        <v>285.22751952981002</v>
      </c>
      <c r="S754">
        <v>65.676157440410108</v>
      </c>
      <c r="T754">
        <v>231.74489739128688</v>
      </c>
      <c r="U754">
        <v>109.84738592191292</v>
      </c>
      <c r="X754">
        <v>0.85132996346888024</v>
      </c>
      <c r="Y754">
        <v>0.74921697204266779</v>
      </c>
      <c r="Z754">
        <v>0.6940989608760737</v>
      </c>
      <c r="AA754">
        <v>0.8304334709767236</v>
      </c>
      <c r="AB754">
        <v>0.7665473095914459</v>
      </c>
      <c r="AC754">
        <v>0.96712783709228467</v>
      </c>
      <c r="AD754">
        <v>0.87873991246885896</v>
      </c>
      <c r="AE754">
        <v>0.50579891471169613</v>
      </c>
      <c r="AH754">
        <v>0.10634146009047907</v>
      </c>
      <c r="AI754">
        <v>8.2414192012072451E-2</v>
      </c>
      <c r="AJ754">
        <v>6.1624173766264945E-2</v>
      </c>
      <c r="AK754">
        <v>2.3486300941030214E-2</v>
      </c>
      <c r="AL754">
        <v>0.12978872077507941</v>
      </c>
      <c r="AM754">
        <v>0.13983787121478142</v>
      </c>
      <c r="AN754">
        <v>0.1368186018537404</v>
      </c>
      <c r="AO754">
        <v>5.272121893344206E-2</v>
      </c>
      <c r="AR754">
        <v>9.4100023421062051E-4</v>
      </c>
      <c r="AS754">
        <v>4.6586728411934786E-3</v>
      </c>
      <c r="AT754">
        <v>9.9590066096443886E-2</v>
      </c>
      <c r="AU754">
        <v>2.2540325027783359E-3</v>
      </c>
      <c r="AV754">
        <v>1.8282372934910693E-3</v>
      </c>
      <c r="AW754">
        <v>3.19906168157037E-3</v>
      </c>
      <c r="AX754">
        <v>2.583566895698647E-4</v>
      </c>
      <c r="AY754">
        <v>5.1758053818118377E-4</v>
      </c>
      <c r="BB754">
        <v>5.7258787289332647E-2</v>
      </c>
      <c r="BC754">
        <v>5.1408164254202138E-2</v>
      </c>
      <c r="BE754">
        <v>28634.141287106391</v>
      </c>
      <c r="BF754">
        <v>20.518287830774938</v>
      </c>
      <c r="BG754">
        <v>30672.644246731354</v>
      </c>
      <c r="BH754">
        <v>20.523067555824515</v>
      </c>
    </row>
    <row r="755" spans="3:60" x14ac:dyDescent="0.2">
      <c r="C755" s="138">
        <v>31872.11539965932</v>
      </c>
      <c r="D755">
        <v>20.932226353555155</v>
      </c>
      <c r="E755" s="138">
        <v>34013.461595730187</v>
      </c>
      <c r="F755" s="138">
        <v>20.899531207600514</v>
      </c>
      <c r="G755" s="138">
        <v>-2141.3461960708664</v>
      </c>
      <c r="H755" s="138">
        <v>3.2695145954640736E-2</v>
      </c>
      <c r="N755" s="138"/>
      <c r="O755" s="138"/>
      <c r="P755" s="138"/>
      <c r="R755">
        <v>400.29375275869342</v>
      </c>
      <c r="S755">
        <v>72.432161894091536</v>
      </c>
      <c r="T755">
        <v>247.15977440740031</v>
      </c>
      <c r="U755">
        <v>101.3756072237843</v>
      </c>
      <c r="X755">
        <v>0.71321878042158626</v>
      </c>
      <c r="Y755">
        <v>0.61443953174602495</v>
      </c>
      <c r="Z755">
        <v>0.97881524192661906</v>
      </c>
      <c r="AA755">
        <v>0.79143910051318422</v>
      </c>
      <c r="AB755">
        <v>0.87511605149660943</v>
      </c>
      <c r="AC755">
        <v>0.49288692180226151</v>
      </c>
      <c r="AD755">
        <v>0.59748794799265603</v>
      </c>
      <c r="AE755">
        <v>0.86726401952159282</v>
      </c>
      <c r="AH755">
        <v>0.20803773263119896</v>
      </c>
      <c r="AI755">
        <v>0.19052292303148421</v>
      </c>
      <c r="AJ755">
        <v>0.20892733780417627</v>
      </c>
      <c r="AK755">
        <v>3.5374503392642476E-2</v>
      </c>
      <c r="AL755">
        <v>3.4591630015155195E-2</v>
      </c>
      <c r="AM755">
        <v>0.23452869435570345</v>
      </c>
      <c r="AN755">
        <v>4.9553237794464078E-3</v>
      </c>
      <c r="AO755">
        <v>0.22279463455513471</v>
      </c>
      <c r="AR755">
        <v>9.2997450465415188E-4</v>
      </c>
      <c r="AS755">
        <v>4.6038256247871168E-3</v>
      </c>
      <c r="AT755">
        <v>0.10154281499900086</v>
      </c>
      <c r="AU755">
        <v>2.4376244331972829E-3</v>
      </c>
      <c r="AV755">
        <v>2.1264358555675988E-3</v>
      </c>
      <c r="AW755">
        <v>3.3888435894510391E-3</v>
      </c>
      <c r="AX755">
        <v>4.1130230358077391E-4</v>
      </c>
      <c r="AY755">
        <v>4.5598481027631088E-4</v>
      </c>
      <c r="BB755">
        <v>5.8688692818004817E-2</v>
      </c>
      <c r="BC755">
        <v>3.7408528833470393E-2</v>
      </c>
      <c r="BE755">
        <v>31872.11539965932</v>
      </c>
      <c r="BF755">
        <v>20.932226353555155</v>
      </c>
      <c r="BG755">
        <v>34013.461595730187</v>
      </c>
      <c r="BH755">
        <v>20.899531207600514</v>
      </c>
    </row>
    <row r="756" spans="3:60" x14ac:dyDescent="0.2">
      <c r="C756" s="138">
        <v>31947.528725794753</v>
      </c>
      <c r="D756">
        <v>21.299105778108633</v>
      </c>
      <c r="E756" s="138">
        <v>33736.786287045783</v>
      </c>
      <c r="F756" s="138">
        <v>21.287255561619226</v>
      </c>
      <c r="G756" s="138">
        <v>-1789.25756125103</v>
      </c>
      <c r="H756" s="138">
        <v>1.1850216489406762E-2</v>
      </c>
      <c r="N756" s="138"/>
      <c r="O756" s="138"/>
      <c r="P756" s="138"/>
      <c r="R756">
        <v>157.53870543840878</v>
      </c>
      <c r="S756">
        <v>67.309072069222509</v>
      </c>
      <c r="T756">
        <v>227.8348351815211</v>
      </c>
      <c r="U756">
        <v>86.732543047720071</v>
      </c>
      <c r="X756">
        <v>0.70586896524696885</v>
      </c>
      <c r="Y756">
        <v>0.75184203450124631</v>
      </c>
      <c r="Z756">
        <v>0.700162698159428</v>
      </c>
      <c r="AA756">
        <v>0.90508619901585474</v>
      </c>
      <c r="AB756">
        <v>0.69367008533441454</v>
      </c>
      <c r="AC756">
        <v>0.75945448407259919</v>
      </c>
      <c r="AD756">
        <v>0.95311955144269234</v>
      </c>
      <c r="AE756">
        <v>0.66006112825783381</v>
      </c>
      <c r="AH756">
        <v>1.728139890010616E-2</v>
      </c>
      <c r="AI756">
        <v>4.4256459546434868E-2</v>
      </c>
      <c r="AJ756">
        <v>4.9355244088473915E-2</v>
      </c>
      <c r="AK756">
        <v>1.6482142076335249E-2</v>
      </c>
      <c r="AL756">
        <v>0.12997569968759359</v>
      </c>
      <c r="AM756">
        <v>0.29317594814444181</v>
      </c>
      <c r="AN756">
        <v>2.1457369454651043E-2</v>
      </c>
      <c r="AO756">
        <v>8.1479195969027751E-2</v>
      </c>
      <c r="AR756">
        <v>9.1231611358277842E-4</v>
      </c>
      <c r="AS756">
        <v>4.1685649716967782E-3</v>
      </c>
      <c r="AT756">
        <v>9.8511694446488871E-2</v>
      </c>
      <c r="AU756">
        <v>1.9053993042451936E-3</v>
      </c>
      <c r="AV756">
        <v>2.163401538288201E-3</v>
      </c>
      <c r="AW756">
        <v>3.6074684311169225E-3</v>
      </c>
      <c r="AX756">
        <v>4.6309885574835619E-4</v>
      </c>
      <c r="AY756">
        <v>4.3970171755655792E-4</v>
      </c>
      <c r="BB756">
        <v>5.1702073324217723E-2</v>
      </c>
      <c r="BC756">
        <v>7.7892703723184686E-2</v>
      </c>
      <c r="BE756">
        <v>31947.528725794753</v>
      </c>
      <c r="BF756">
        <v>21.299105778108633</v>
      </c>
      <c r="BG756">
        <v>33736.786287045783</v>
      </c>
      <c r="BH756">
        <v>21.287255561619226</v>
      </c>
    </row>
    <row r="757" spans="3:60" x14ac:dyDescent="0.2">
      <c r="C757" s="138">
        <v>33086.478541419048</v>
      </c>
      <c r="D757">
        <v>20.749312773147842</v>
      </c>
      <c r="E757" s="138">
        <v>35846.381690922703</v>
      </c>
      <c r="F757" s="138">
        <v>20.737816216325303</v>
      </c>
      <c r="G757" s="138">
        <v>-2759.9031495036543</v>
      </c>
      <c r="H757" s="138">
        <v>1.1496556822539361E-2</v>
      </c>
      <c r="N757" s="138"/>
      <c r="O757" s="138"/>
      <c r="P757" s="138"/>
      <c r="R757">
        <v>172.34917787615683</v>
      </c>
      <c r="S757">
        <v>54.236231440300308</v>
      </c>
      <c r="T757">
        <v>236.74783221308641</v>
      </c>
      <c r="U757">
        <v>100.46060353523313</v>
      </c>
      <c r="X757">
        <v>0.76119316663418712</v>
      </c>
      <c r="Y757">
        <v>0.68025100277675921</v>
      </c>
      <c r="Z757">
        <v>0.70402332511581467</v>
      </c>
      <c r="AA757">
        <v>0.82698833236086144</v>
      </c>
      <c r="AB757">
        <v>0.7759198847507558</v>
      </c>
      <c r="AC757">
        <v>0.8106020353857244</v>
      </c>
      <c r="AD757">
        <v>0.89780392907680728</v>
      </c>
      <c r="AE757">
        <v>0.80448557907850804</v>
      </c>
      <c r="AH757">
        <v>0.11477214844313854</v>
      </c>
      <c r="AI757">
        <v>3.0204658979204435E-2</v>
      </c>
      <c r="AJ757">
        <v>7.0209125771088954E-2</v>
      </c>
      <c r="AK757">
        <v>0.2939509130176271</v>
      </c>
      <c r="AL757">
        <v>7.1100676377291672E-2</v>
      </c>
      <c r="AM757">
        <v>7.4805513115525413E-2</v>
      </c>
      <c r="AN757">
        <v>7.8498850155994893E-2</v>
      </c>
      <c r="AO757">
        <v>0.2451422482263016</v>
      </c>
      <c r="AR757">
        <v>7.5023150851590698E-4</v>
      </c>
      <c r="AS757">
        <v>4.4315587755052784E-3</v>
      </c>
      <c r="AT757">
        <v>0.10122225810573715</v>
      </c>
      <c r="AU757">
        <v>1.8009193418642242E-3</v>
      </c>
      <c r="AV757">
        <v>2.211156685828608E-3</v>
      </c>
      <c r="AW757">
        <v>3.4459168901026516E-3</v>
      </c>
      <c r="AX757">
        <v>5.1111777483703325E-4</v>
      </c>
      <c r="AY757">
        <v>3.5458219932844642E-4</v>
      </c>
      <c r="BB757">
        <v>4.2841062269492844E-2</v>
      </c>
      <c r="BC757">
        <v>7.783579901890858E-2</v>
      </c>
      <c r="BE757">
        <v>33086.478541419048</v>
      </c>
      <c r="BF757">
        <v>20.749312773147842</v>
      </c>
      <c r="BG757">
        <v>35846.381690922703</v>
      </c>
      <c r="BH757">
        <v>20.737816216325303</v>
      </c>
    </row>
    <row r="758" spans="3:60" x14ac:dyDescent="0.2">
      <c r="C758" s="138">
        <v>34705.111236460114</v>
      </c>
      <c r="D758">
        <v>20.989559171438977</v>
      </c>
      <c r="E758" s="138">
        <v>36393.757755155624</v>
      </c>
      <c r="F758" s="138">
        <v>20.974740729806438</v>
      </c>
      <c r="G758" s="138">
        <v>-1688.6465186955102</v>
      </c>
      <c r="H758" s="138">
        <v>1.4818441632538537E-2</v>
      </c>
      <c r="N758" s="138"/>
      <c r="O758" s="138"/>
      <c r="P758" s="138"/>
      <c r="R758">
        <v>403.63448465609025</v>
      </c>
      <c r="S758">
        <v>61.975456648200527</v>
      </c>
      <c r="T758">
        <v>233.79245104972404</v>
      </c>
      <c r="U758">
        <v>106.58280472455287</v>
      </c>
      <c r="X758">
        <v>0.87119392739706158</v>
      </c>
      <c r="Y758">
        <v>0.92219725735124181</v>
      </c>
      <c r="Z758">
        <v>0.74933552452493735</v>
      </c>
      <c r="AA758">
        <v>0.94413241814254301</v>
      </c>
      <c r="AB758">
        <v>0.79477081217695611</v>
      </c>
      <c r="AC758">
        <v>0.62786284368056255</v>
      </c>
      <c r="AD758">
        <v>0.74944625497340034</v>
      </c>
      <c r="AE758">
        <v>0.56953307946313358</v>
      </c>
      <c r="AH758">
        <v>0.11191786820402383</v>
      </c>
      <c r="AI758">
        <v>4.3916220012076956E-2</v>
      </c>
      <c r="AJ758">
        <v>0.10613357080387775</v>
      </c>
      <c r="AK758">
        <v>5.6442536918478892E-2</v>
      </c>
      <c r="AL758">
        <v>6.8112588114094486E-2</v>
      </c>
      <c r="AM758">
        <v>0.18926950877593396</v>
      </c>
      <c r="AN758">
        <v>2.8587603461450728E-2</v>
      </c>
      <c r="AO758">
        <v>0.16433179545981969</v>
      </c>
      <c r="AR758">
        <v>8.4090003342439899E-4</v>
      </c>
      <c r="AS758">
        <v>4.6124654884753813E-3</v>
      </c>
      <c r="AT758">
        <v>0.10059173304989399</v>
      </c>
      <c r="AU758">
        <v>2.2509167778119732E-3</v>
      </c>
      <c r="AV758">
        <v>1.7472779006605841E-3</v>
      </c>
      <c r="AW758">
        <v>3.1102120360023008E-3</v>
      </c>
      <c r="AX758">
        <v>3.8747978323885364E-4</v>
      </c>
      <c r="AY758">
        <v>4.6379015521602618E-4</v>
      </c>
      <c r="BB758">
        <v>4.9332835745471718E-2</v>
      </c>
      <c r="BC758">
        <v>4.3410256763773206E-2</v>
      </c>
      <c r="BE758">
        <v>34705.111236460114</v>
      </c>
      <c r="BF758">
        <v>20.989559171438977</v>
      </c>
      <c r="BG758">
        <v>36393.757755155624</v>
      </c>
      <c r="BH758">
        <v>20.974740729806438</v>
      </c>
    </row>
    <row r="759" spans="3:60" x14ac:dyDescent="0.2">
      <c r="C759" s="138">
        <v>31663.104444805071</v>
      </c>
      <c r="D759">
        <v>20.107999653900887</v>
      </c>
      <c r="E759" s="138">
        <v>34532.092796599361</v>
      </c>
      <c r="F759" s="138">
        <v>20.033349080436569</v>
      </c>
      <c r="G759" s="138">
        <v>-2868.9883517942908</v>
      </c>
      <c r="H759" s="138">
        <v>7.4650573464317915E-2</v>
      </c>
      <c r="N759" s="138"/>
      <c r="O759" s="138"/>
      <c r="P759" s="138"/>
      <c r="R759">
        <v>215.54629935875337</v>
      </c>
      <c r="S759">
        <v>54.507713589778795</v>
      </c>
      <c r="T759">
        <v>247.40116692860408</v>
      </c>
      <c r="U759">
        <v>87.424203804502966</v>
      </c>
      <c r="X759">
        <v>0.88738966288239518</v>
      </c>
      <c r="Y759">
        <v>0.89162450699423401</v>
      </c>
      <c r="Z759">
        <v>0.84641477825902756</v>
      </c>
      <c r="AA759">
        <v>0.94724812232031397</v>
      </c>
      <c r="AB759">
        <v>0.83410888920863246</v>
      </c>
      <c r="AC759">
        <v>0.6012165211214795</v>
      </c>
      <c r="AD759">
        <v>0.7579720675024948</v>
      </c>
      <c r="AE759">
        <v>0.88421345868089274</v>
      </c>
      <c r="AH759">
        <v>0.10208640953024539</v>
      </c>
      <c r="AI759">
        <v>4.452117904682984E-2</v>
      </c>
      <c r="AJ759">
        <v>0.13765978924348898</v>
      </c>
      <c r="AK759">
        <v>0.13301928664687368</v>
      </c>
      <c r="AL759">
        <v>9.0711035461055411E-2</v>
      </c>
      <c r="AM759">
        <v>4.9184275828920265E-2</v>
      </c>
      <c r="AN759">
        <v>0.38003127572755457</v>
      </c>
      <c r="AO759">
        <v>4.8734239095850951E-2</v>
      </c>
      <c r="AR759">
        <v>8.7790925093292696E-4</v>
      </c>
      <c r="AS759">
        <v>4.4418598995036081E-3</v>
      </c>
      <c r="AT759">
        <v>0.10061197176365644</v>
      </c>
      <c r="AU759">
        <v>1.9248737973205144E-3</v>
      </c>
      <c r="AV759">
        <v>1.7092045475661265E-3</v>
      </c>
      <c r="AW759">
        <v>3.0069424162573852E-3</v>
      </c>
      <c r="AX759">
        <v>4.3975868693191256E-4</v>
      </c>
      <c r="AY759">
        <v>4.9751191561464569E-4</v>
      </c>
      <c r="BB759">
        <v>4.7290872948572961E-2</v>
      </c>
      <c r="BC759">
        <v>2.1358607800363291E-2</v>
      </c>
      <c r="BE759">
        <v>31663.104444805071</v>
      </c>
      <c r="BF759">
        <v>20.107999653900887</v>
      </c>
      <c r="BG759">
        <v>34532.092796599361</v>
      </c>
      <c r="BH759">
        <v>20.033349080436569</v>
      </c>
    </row>
    <row r="760" spans="3:60" x14ac:dyDescent="0.2">
      <c r="C760" s="138">
        <v>34077.718477319439</v>
      </c>
      <c r="D760">
        <v>20.81313887590046</v>
      </c>
      <c r="E760" s="138">
        <v>36186.197511735649</v>
      </c>
      <c r="F760" s="138">
        <v>20.789708873388829</v>
      </c>
      <c r="G760" s="138">
        <v>-2108.4790344162102</v>
      </c>
      <c r="H760" s="138">
        <v>2.3430002511631187E-2</v>
      </c>
      <c r="N760" s="138"/>
      <c r="O760" s="138"/>
      <c r="P760" s="138"/>
      <c r="R760">
        <v>298.8606928000109</v>
      </c>
      <c r="S760">
        <v>65.750493030723362</v>
      </c>
      <c r="T760">
        <v>244.84261199214677</v>
      </c>
      <c r="U760">
        <v>95.688741477996174</v>
      </c>
      <c r="X760">
        <v>0.65590638149764025</v>
      </c>
      <c r="Y760">
        <v>0.7383147079703356</v>
      </c>
      <c r="Z760">
        <v>0.76712760542773495</v>
      </c>
      <c r="AA760">
        <v>0.93216668783635692</v>
      </c>
      <c r="AB760">
        <v>0.68017562895508787</v>
      </c>
      <c r="AC760">
        <v>0.60095104633799157</v>
      </c>
      <c r="AD760">
        <v>0.89149018898723664</v>
      </c>
      <c r="AE760">
        <v>0.83744400471452041</v>
      </c>
      <c r="AH760">
        <v>2.5004469714802746E-2</v>
      </c>
      <c r="AI760">
        <v>4.787369373789585E-2</v>
      </c>
      <c r="AJ760">
        <v>0.29551850844738059</v>
      </c>
      <c r="AK760">
        <v>7.5285185125943843E-2</v>
      </c>
      <c r="AL760">
        <v>0.12720325893569573</v>
      </c>
      <c r="AM760">
        <v>0.14539112206014682</v>
      </c>
      <c r="AN760">
        <v>0.106401220173722</v>
      </c>
      <c r="AO760">
        <v>0.12984975618068029</v>
      </c>
      <c r="AR760">
        <v>9.0717056659761486E-4</v>
      </c>
      <c r="AS760">
        <v>4.7735872912434418E-3</v>
      </c>
      <c r="AT760">
        <v>0.1003452394573916</v>
      </c>
      <c r="AU760">
        <v>1.9930227661789945E-3</v>
      </c>
      <c r="AV760">
        <v>1.7558572946571446E-3</v>
      </c>
      <c r="AW760">
        <v>3.1239296513384967E-3</v>
      </c>
      <c r="AX760">
        <v>5.4048403535966738E-4</v>
      </c>
      <c r="AY760">
        <v>3.8864598590462044E-4</v>
      </c>
      <c r="BB760">
        <v>6.3235924478711292E-2</v>
      </c>
      <c r="BC760">
        <v>5.8920054715270731E-2</v>
      </c>
      <c r="BE760">
        <v>34077.718477319439</v>
      </c>
      <c r="BF760">
        <v>20.81313887590046</v>
      </c>
      <c r="BG760">
        <v>36186.197511735649</v>
      </c>
      <c r="BH760">
        <v>20.789708873388829</v>
      </c>
    </row>
    <row r="761" spans="3:60" x14ac:dyDescent="0.2">
      <c r="C761" s="138">
        <v>32799.884370564912</v>
      </c>
      <c r="D761">
        <v>20.468966177145877</v>
      </c>
      <c r="E761" s="138">
        <v>34927.222787459941</v>
      </c>
      <c r="F761" s="138">
        <v>20.420936018972164</v>
      </c>
      <c r="G761" s="138">
        <v>-2127.3384168950288</v>
      </c>
      <c r="H761" s="138">
        <v>4.8030158173713033E-2</v>
      </c>
      <c r="N761" s="138"/>
      <c r="O761" s="138"/>
      <c r="P761" s="138"/>
      <c r="R761">
        <v>155.68331002534768</v>
      </c>
      <c r="S761">
        <v>69.470772204663831</v>
      </c>
      <c r="T761">
        <v>263.38230147924622</v>
      </c>
      <c r="U761">
        <v>101.76408040571033</v>
      </c>
      <c r="X761">
        <v>0.65812894670079525</v>
      </c>
      <c r="Y761">
        <v>0.82773900308427706</v>
      </c>
      <c r="Z761">
        <v>0.64415553639372414</v>
      </c>
      <c r="AA761">
        <v>0.46564273761634051</v>
      </c>
      <c r="AB761">
        <v>0.76752195824644898</v>
      </c>
      <c r="AC761">
        <v>0.80038834574892392</v>
      </c>
      <c r="AD761">
        <v>0.70655978778229944</v>
      </c>
      <c r="AE761">
        <v>0.70626745412313241</v>
      </c>
      <c r="AH761">
        <v>0.22332122603315063</v>
      </c>
      <c r="AI761">
        <v>0.10226257158072372</v>
      </c>
      <c r="AJ761">
        <v>8.6835997413531762E-2</v>
      </c>
      <c r="AK761">
        <v>0.26528718874568624</v>
      </c>
      <c r="AL761">
        <v>0.36581981202884517</v>
      </c>
      <c r="AM761">
        <v>0.13958580162611267</v>
      </c>
      <c r="AN761">
        <v>5.9272817323464011E-2</v>
      </c>
      <c r="AO761">
        <v>2.261730225884051E-2</v>
      </c>
      <c r="AR761">
        <v>8.2019043955938471E-4</v>
      </c>
      <c r="AS761">
        <v>4.6738465913975791E-3</v>
      </c>
      <c r="AT761">
        <v>9.8652860008668727E-2</v>
      </c>
      <c r="AU761">
        <v>1.7797860970585728E-3</v>
      </c>
      <c r="AV761">
        <v>1.9168467252817741E-3</v>
      </c>
      <c r="AW761">
        <v>3.3196807371736574E-3</v>
      </c>
      <c r="AX761">
        <v>5.5000395521354051E-4</v>
      </c>
      <c r="AY761">
        <v>3.9940554518250193E-4</v>
      </c>
      <c r="BB761">
        <v>4.8520360887771188E-2</v>
      </c>
      <c r="BC761">
        <v>3.8161937743258191E-2</v>
      </c>
      <c r="BE761">
        <v>32799.884370564912</v>
      </c>
      <c r="BF761">
        <v>20.468966177145877</v>
      </c>
      <c r="BG761">
        <v>34927.222787459941</v>
      </c>
      <c r="BH761">
        <v>20.420936018972164</v>
      </c>
    </row>
    <row r="762" spans="3:60" x14ac:dyDescent="0.2">
      <c r="C762" s="138">
        <v>34229.206809241499</v>
      </c>
      <c r="D762">
        <v>21.119042989623988</v>
      </c>
      <c r="E762" s="138">
        <v>36242.671161531944</v>
      </c>
      <c r="F762" s="138">
        <v>21.10542889409216</v>
      </c>
      <c r="G762" s="138">
        <v>-2013.4643522904444</v>
      </c>
      <c r="H762" s="138">
        <v>1.3614095531828241E-2</v>
      </c>
      <c r="N762" s="138"/>
      <c r="O762" s="138"/>
      <c r="P762" s="138"/>
      <c r="R762">
        <v>412.38359904482695</v>
      </c>
      <c r="S762">
        <v>65.676351667009385</v>
      </c>
      <c r="T762">
        <v>249.98014205461774</v>
      </c>
      <c r="U762">
        <v>98.802952937372893</v>
      </c>
      <c r="X762">
        <v>0.84807622644325176</v>
      </c>
      <c r="Y762">
        <v>0.80719477868132261</v>
      </c>
      <c r="Z762">
        <v>0.75422293861086176</v>
      </c>
      <c r="AA762">
        <v>0.6180570732983961</v>
      </c>
      <c r="AB762">
        <v>0.75961128249004373</v>
      </c>
      <c r="AC762">
        <v>0.60677374962018904</v>
      </c>
      <c r="AD762">
        <v>0.63277775162123306</v>
      </c>
      <c r="AE762">
        <v>0.81384639263577008</v>
      </c>
      <c r="AH762">
        <v>8.1644114329156081E-2</v>
      </c>
      <c r="AI762">
        <v>0.13980680667147793</v>
      </c>
      <c r="AJ762">
        <v>5.2878170031877336E-2</v>
      </c>
      <c r="AK762">
        <v>0.17479256454516656</v>
      </c>
      <c r="AL762">
        <v>0.11333493577230813</v>
      </c>
      <c r="AM762">
        <v>0.11315106605416736</v>
      </c>
      <c r="AN762">
        <v>0.19533264699081121</v>
      </c>
      <c r="AO762">
        <v>0.13703344118969396</v>
      </c>
      <c r="AR762">
        <v>1.0268253206519029E-3</v>
      </c>
      <c r="AS762">
        <v>4.8194878761033122E-3</v>
      </c>
      <c r="AT762">
        <v>0.10059926638749606</v>
      </c>
      <c r="AU762">
        <v>2.0401445758116976E-3</v>
      </c>
      <c r="AV762">
        <v>1.8475390996579909E-3</v>
      </c>
      <c r="AW762">
        <v>3.3761932548963189E-3</v>
      </c>
      <c r="AX762">
        <v>3.843660094607864E-4</v>
      </c>
      <c r="AY762">
        <v>5.0099351846732976E-4</v>
      </c>
      <c r="BB762">
        <v>4.5997818800799464E-2</v>
      </c>
      <c r="BC762">
        <v>0.10985358887162811</v>
      </c>
      <c r="BE762">
        <v>34229.206809241499</v>
      </c>
      <c r="BF762">
        <v>21.119042989623988</v>
      </c>
      <c r="BG762">
        <v>36242.671161531944</v>
      </c>
      <c r="BH762">
        <v>21.10542889409216</v>
      </c>
    </row>
    <row r="763" spans="3:60" x14ac:dyDescent="0.2">
      <c r="C763" s="138">
        <v>25791.648927406211</v>
      </c>
      <c r="D763">
        <v>21.537881900600127</v>
      </c>
      <c r="E763" s="138">
        <v>28007.769830397388</v>
      </c>
      <c r="F763" s="138">
        <v>21.528840111244023</v>
      </c>
      <c r="G763" s="138">
        <v>-2216.120902991177</v>
      </c>
      <c r="H763" s="138">
        <v>9.0417893561038909E-3</v>
      </c>
      <c r="N763" s="138"/>
      <c r="O763" s="138"/>
      <c r="P763" s="138"/>
      <c r="R763">
        <v>196.78601197267352</v>
      </c>
      <c r="S763">
        <v>64.505551860689053</v>
      </c>
      <c r="T763">
        <v>225.20883419448566</v>
      </c>
      <c r="U763">
        <v>104.29110079933548</v>
      </c>
      <c r="X763">
        <v>0.59155246457013189</v>
      </c>
      <c r="Y763">
        <v>0.90315200198434009</v>
      </c>
      <c r="Z763">
        <v>0.89737641487385722</v>
      </c>
      <c r="AA763">
        <v>0.89968238403411971</v>
      </c>
      <c r="AB763">
        <v>0.85225735234734112</v>
      </c>
      <c r="AC763">
        <v>0.67900505862595839</v>
      </c>
      <c r="AD763">
        <v>0.70113440439754204</v>
      </c>
      <c r="AE763">
        <v>0.9163372113377275</v>
      </c>
      <c r="AH763">
        <v>5.9971515551027865E-2</v>
      </c>
      <c r="AI763">
        <v>0.18771558031202018</v>
      </c>
      <c r="AJ763">
        <v>0.10106405494331416</v>
      </c>
      <c r="AK763">
        <v>0.1088459165704625</v>
      </c>
      <c r="AL763">
        <v>0.12304074017717637</v>
      </c>
      <c r="AM763">
        <v>8.871010730366824E-2</v>
      </c>
      <c r="AN763">
        <v>0.37483243476367312</v>
      </c>
      <c r="AO763">
        <v>0.24327373487681603</v>
      </c>
      <c r="AR763">
        <v>8.9678910334989315E-4</v>
      </c>
      <c r="AS763">
        <v>4.7183663392991182E-3</v>
      </c>
      <c r="AT763">
        <v>0.1001939635977358</v>
      </c>
      <c r="AU763">
        <v>2.0897324503187376E-3</v>
      </c>
      <c r="AV763">
        <v>1.9779660912155107E-3</v>
      </c>
      <c r="AW763">
        <v>3.3684013704285047E-3</v>
      </c>
      <c r="AX763">
        <v>3.6088267103018083E-4</v>
      </c>
      <c r="AY763">
        <v>4.2949654837596413E-4</v>
      </c>
      <c r="BB763">
        <v>5.3159595668774151E-2</v>
      </c>
      <c r="BC763">
        <v>3.2749189622974455E-2</v>
      </c>
      <c r="BE763">
        <v>25791.648927406211</v>
      </c>
      <c r="BF763">
        <v>21.537881900600127</v>
      </c>
      <c r="BG763">
        <v>28007.769830397388</v>
      </c>
      <c r="BH763">
        <v>21.528840111244023</v>
      </c>
    </row>
    <row r="764" spans="3:60" x14ac:dyDescent="0.2">
      <c r="C764" s="138">
        <v>29628.903470298952</v>
      </c>
      <c r="D764">
        <v>21.297494193000873</v>
      </c>
      <c r="E764" s="138">
        <v>31327.660652003316</v>
      </c>
      <c r="F764" s="138">
        <v>21.293106279783871</v>
      </c>
      <c r="G764" s="138">
        <v>-1698.7571817043645</v>
      </c>
      <c r="H764" s="138">
        <v>4.3879132170019375E-3</v>
      </c>
      <c r="N764" s="138"/>
      <c r="O764" s="138"/>
      <c r="P764" s="138"/>
      <c r="R764">
        <v>405.97285917715635</v>
      </c>
      <c r="S764">
        <v>74.594143654908621</v>
      </c>
      <c r="T764">
        <v>275.70245689755183</v>
      </c>
      <c r="U764">
        <v>83.118700218459963</v>
      </c>
      <c r="X764">
        <v>0.73614995494896895</v>
      </c>
      <c r="Y764">
        <v>0.63571906432665526</v>
      </c>
      <c r="Z764">
        <v>0.73614972710080107</v>
      </c>
      <c r="AA764">
        <v>0.94683307964141239</v>
      </c>
      <c r="AB764">
        <v>0.61866588312596571</v>
      </c>
      <c r="AC764">
        <v>0.82018103012171317</v>
      </c>
      <c r="AD764">
        <v>0.92798397291530299</v>
      </c>
      <c r="AE764">
        <v>0.65871942644710268</v>
      </c>
      <c r="AH764">
        <v>0.16313333330848678</v>
      </c>
      <c r="AI764">
        <v>0.18675197675822786</v>
      </c>
      <c r="AJ764">
        <v>6.1759594202120072E-2</v>
      </c>
      <c r="AK764">
        <v>0.27684267153529929</v>
      </c>
      <c r="AL764">
        <v>5.6783385386852459E-2</v>
      </c>
      <c r="AM764">
        <v>0.25149017782812344</v>
      </c>
      <c r="AN764">
        <v>0.23265071173594987</v>
      </c>
      <c r="AO764">
        <v>0.13099871972481059</v>
      </c>
      <c r="AR764">
        <v>9.8859353005098516E-4</v>
      </c>
      <c r="AS764">
        <v>4.2068439659628479E-3</v>
      </c>
      <c r="AT764">
        <v>0.10100658717556643</v>
      </c>
      <c r="AU764">
        <v>2.1696297493370986E-3</v>
      </c>
      <c r="AV764">
        <v>2.2781390615514985E-3</v>
      </c>
      <c r="AW764">
        <v>3.1362595220005025E-3</v>
      </c>
      <c r="AX764">
        <v>4.2651874258259337E-4</v>
      </c>
      <c r="AY764">
        <v>3.6569714941454042E-4</v>
      </c>
      <c r="BB764">
        <v>5.523160048047826E-2</v>
      </c>
      <c r="BC764">
        <v>1.2780984069758796E-2</v>
      </c>
      <c r="BE764">
        <v>29628.903470298952</v>
      </c>
      <c r="BF764">
        <v>21.297494193000873</v>
      </c>
      <c r="BG764">
        <v>31327.660652003316</v>
      </c>
      <c r="BH764">
        <v>21.293106279783871</v>
      </c>
    </row>
    <row r="765" spans="3:60" x14ac:dyDescent="0.2">
      <c r="C765" s="138">
        <v>30706.252911935055</v>
      </c>
      <c r="D765">
        <v>21.797257206487274</v>
      </c>
      <c r="E765" s="138">
        <v>32801.753275752599</v>
      </c>
      <c r="F765" s="138">
        <v>21.820837789956109</v>
      </c>
      <c r="G765" s="138">
        <v>-2095.500363817544</v>
      </c>
      <c r="H765" s="138">
        <v>-2.3580583468834959E-2</v>
      </c>
      <c r="N765" s="138"/>
      <c r="O765" s="138"/>
      <c r="P765" s="138"/>
      <c r="R765">
        <v>332.16858980080838</v>
      </c>
      <c r="S765">
        <v>70.629612440014341</v>
      </c>
      <c r="T765">
        <v>254.88610991166635</v>
      </c>
      <c r="U765">
        <v>100.4206215987255</v>
      </c>
      <c r="X765">
        <v>0.64388309801899779</v>
      </c>
      <c r="Y765">
        <v>0.86373973227222367</v>
      </c>
      <c r="Z765">
        <v>0.79600616928404788</v>
      </c>
      <c r="AA765">
        <v>0.71513888081700949</v>
      </c>
      <c r="AB765">
        <v>0.61062405648285312</v>
      </c>
      <c r="AC765">
        <v>0.88995982622956515</v>
      </c>
      <c r="AD765">
        <v>0.72633134890227347</v>
      </c>
      <c r="AE765">
        <v>0.70100460710350743</v>
      </c>
      <c r="AH765">
        <v>8.476410882614771E-2</v>
      </c>
      <c r="AI765">
        <v>3.8440208299130862E-2</v>
      </c>
      <c r="AJ765">
        <v>0.16866548174327534</v>
      </c>
      <c r="AK765">
        <v>0.1615503343934318</v>
      </c>
      <c r="AL765">
        <v>0.1843277917205689</v>
      </c>
      <c r="AM765">
        <v>3.4527080270407962E-2</v>
      </c>
      <c r="AN765">
        <v>1.1131725039134954E-2</v>
      </c>
      <c r="AO765">
        <v>1.618485338745046E-2</v>
      </c>
      <c r="AR765">
        <v>8.7577201487219563E-4</v>
      </c>
      <c r="AS765">
        <v>4.4037571137047916E-3</v>
      </c>
      <c r="AT765">
        <v>9.8588713823604388E-2</v>
      </c>
      <c r="AU765">
        <v>1.891262616330075E-3</v>
      </c>
      <c r="AV765">
        <v>1.810839739556844E-3</v>
      </c>
      <c r="AW765">
        <v>3.8054710133486047E-3</v>
      </c>
      <c r="AX765">
        <v>5.1877217568108147E-4</v>
      </c>
      <c r="AY765">
        <v>5.0618818642755858E-4</v>
      </c>
      <c r="BB765">
        <v>4.64905016936955E-2</v>
      </c>
      <c r="BC765">
        <v>4.5715081373862668E-2</v>
      </c>
      <c r="BE765">
        <v>30706.252911935055</v>
      </c>
      <c r="BF765">
        <v>21.797257206487274</v>
      </c>
      <c r="BG765">
        <v>32801.753275752599</v>
      </c>
      <c r="BH765">
        <v>21.820837789956109</v>
      </c>
    </row>
    <row r="766" spans="3:60" x14ac:dyDescent="0.2">
      <c r="C766" s="138">
        <v>25016.009253230059</v>
      </c>
      <c r="D766">
        <v>21.300461277225079</v>
      </c>
      <c r="E766" s="138">
        <v>26899.238045973212</v>
      </c>
      <c r="F766" s="138">
        <v>21.299899730991449</v>
      </c>
      <c r="G766" s="138">
        <v>-1883.2287927431535</v>
      </c>
      <c r="H766" s="138">
        <v>5.6154623363013911E-4</v>
      </c>
      <c r="N766" s="138"/>
      <c r="O766" s="138"/>
      <c r="P766" s="138"/>
      <c r="R766">
        <v>122.99017892348463</v>
      </c>
      <c r="S766">
        <v>69.426032385671334</v>
      </c>
      <c r="T766">
        <v>281.42115758151289</v>
      </c>
      <c r="U766">
        <v>86.06795210398397</v>
      </c>
      <c r="X766">
        <v>0.59544303099683737</v>
      </c>
      <c r="Y766">
        <v>0.72765717629237547</v>
      </c>
      <c r="Z766">
        <v>0.7869517781176989</v>
      </c>
      <c r="AA766">
        <v>0.79452548542124724</v>
      </c>
      <c r="AB766">
        <v>0.67836317356548781</v>
      </c>
      <c r="AC766">
        <v>0.5960088282719086</v>
      </c>
      <c r="AD766">
        <v>0.88263793281723346</v>
      </c>
      <c r="AE766">
        <v>0.97260820323794284</v>
      </c>
      <c r="AH766">
        <v>0.10130942641853391</v>
      </c>
      <c r="AI766">
        <v>0.14014270680310847</v>
      </c>
      <c r="AJ766">
        <v>6.1701149691373525E-2</v>
      </c>
      <c r="AK766">
        <v>0.23258151569584795</v>
      </c>
      <c r="AL766">
        <v>0.13354882329709383</v>
      </c>
      <c r="AM766">
        <v>3.7517312976265593E-2</v>
      </c>
      <c r="AN766">
        <v>0.25137234685706389</v>
      </c>
      <c r="AO766">
        <v>0.13809324849535942</v>
      </c>
      <c r="AR766">
        <v>8.9053097506630596E-4</v>
      </c>
      <c r="AS766">
        <v>4.2360967753499639E-3</v>
      </c>
      <c r="AT766">
        <v>9.9531219467870483E-2</v>
      </c>
      <c r="AU766">
        <v>1.9949239686598299E-3</v>
      </c>
      <c r="AV766">
        <v>2.0823475887897791E-3</v>
      </c>
      <c r="AW766">
        <v>3.4767081095196106E-3</v>
      </c>
      <c r="AX766">
        <v>3.3063630142885056E-4</v>
      </c>
      <c r="AY766">
        <v>4.7854009205694492E-4</v>
      </c>
      <c r="BB766">
        <v>5.1499368966241299E-2</v>
      </c>
      <c r="BC766">
        <v>3.8089062786025259E-2</v>
      </c>
      <c r="BE766">
        <v>25016.009253230059</v>
      </c>
      <c r="BF766">
        <v>21.300461277225079</v>
      </c>
      <c r="BG766">
        <v>26899.238045973212</v>
      </c>
      <c r="BH766">
        <v>21.299899730991449</v>
      </c>
    </row>
    <row r="767" spans="3:60" x14ac:dyDescent="0.2">
      <c r="C767" s="138">
        <v>29201.746813583592</v>
      </c>
      <c r="D767">
        <v>20.833781392632563</v>
      </c>
      <c r="E767" s="138">
        <v>31139.686621793186</v>
      </c>
      <c r="F767" s="138">
        <v>20.806744007994347</v>
      </c>
      <c r="G767" s="138">
        <v>-1937.939808209594</v>
      </c>
      <c r="H767" s="138">
        <v>2.7037384638216366E-2</v>
      </c>
      <c r="N767" s="138"/>
      <c r="O767" s="138"/>
      <c r="P767" s="138"/>
      <c r="R767">
        <v>189.89472030019709</v>
      </c>
      <c r="S767">
        <v>67.147834783108479</v>
      </c>
      <c r="T767">
        <v>203.31399385622396</v>
      </c>
      <c r="U767">
        <v>95.803728995980563</v>
      </c>
      <c r="X767">
        <v>0.6468389273951598</v>
      </c>
      <c r="Y767">
        <v>0.91597234027945484</v>
      </c>
      <c r="Z767">
        <v>0.87652784895651437</v>
      </c>
      <c r="AA767">
        <v>0.69614867445564677</v>
      </c>
      <c r="AB767">
        <v>0.91238782642758987</v>
      </c>
      <c r="AC767">
        <v>0.648986152487384</v>
      </c>
      <c r="AD767">
        <v>0.78160262749991971</v>
      </c>
      <c r="AE767">
        <v>0.72584032275042243</v>
      </c>
      <c r="AH767">
        <v>3.9654030222518455E-2</v>
      </c>
      <c r="AI767">
        <v>7.339303036408773E-2</v>
      </c>
      <c r="AJ767">
        <v>4.7065283747415809E-2</v>
      </c>
      <c r="AK767">
        <v>0.3834350650690852</v>
      </c>
      <c r="AL767">
        <v>6.3822715484506465E-2</v>
      </c>
      <c r="AM767">
        <v>9.1099512342103117E-2</v>
      </c>
      <c r="AN767">
        <v>3.1699028256078177E-2</v>
      </c>
      <c r="AO767">
        <v>7.3348074799547192E-2</v>
      </c>
      <c r="AR767">
        <v>7.2528834475091113E-4</v>
      </c>
      <c r="AS767">
        <v>5.0929930454292061E-3</v>
      </c>
      <c r="AT767">
        <v>9.9752694210498566E-2</v>
      </c>
      <c r="AU767">
        <v>2.0621220172842847E-3</v>
      </c>
      <c r="AV767">
        <v>2.0723724053843817E-3</v>
      </c>
      <c r="AW767">
        <v>3.2750973743386519E-3</v>
      </c>
      <c r="AX767">
        <v>4.9850108097271306E-4</v>
      </c>
      <c r="AY767">
        <v>4.5984934300047353E-4</v>
      </c>
      <c r="BB767">
        <v>4.9481184729432214E-2</v>
      </c>
      <c r="BC767">
        <v>4.4246494274310266E-2</v>
      </c>
      <c r="BE767">
        <v>29201.746813583592</v>
      </c>
      <c r="BF767">
        <v>20.833781392632563</v>
      </c>
      <c r="BG767">
        <v>31139.686621793186</v>
      </c>
      <c r="BH767">
        <v>20.806744007994347</v>
      </c>
    </row>
    <row r="768" spans="3:60" x14ac:dyDescent="0.2">
      <c r="C768" s="138">
        <v>35562.286365678287</v>
      </c>
      <c r="D768">
        <v>21.263404320178626</v>
      </c>
      <c r="E768" s="138">
        <v>37864.21356985435</v>
      </c>
      <c r="F768" s="138">
        <v>21.266769235972177</v>
      </c>
      <c r="G768" s="138">
        <v>-2301.9272041760632</v>
      </c>
      <c r="H768" s="138">
        <v>-3.3649157935506935E-3</v>
      </c>
      <c r="N768" s="138"/>
      <c r="O768" s="138"/>
      <c r="P768" s="138"/>
      <c r="R768">
        <v>277.96943908642618</v>
      </c>
      <c r="S768">
        <v>60.002484380479672</v>
      </c>
      <c r="T768">
        <v>247.58208736689909</v>
      </c>
      <c r="U768">
        <v>82.715053085908011</v>
      </c>
      <c r="X768">
        <v>0.7888297432466358</v>
      </c>
      <c r="Y768">
        <v>0.89825701254571688</v>
      </c>
      <c r="Z768">
        <v>0.80375728579794103</v>
      </c>
      <c r="AA768">
        <v>0.67778668867373959</v>
      </c>
      <c r="AB768">
        <v>0.78526688915525189</v>
      </c>
      <c r="AC768">
        <v>0.43449960461515863</v>
      </c>
      <c r="AD768">
        <v>0.59379518191911973</v>
      </c>
      <c r="AE768">
        <v>0.71222804653218552</v>
      </c>
      <c r="AH768">
        <v>0.18847783106595772</v>
      </c>
      <c r="AI768">
        <v>5.1649755230509076E-2</v>
      </c>
      <c r="AJ768">
        <v>7.9303703119648405E-2</v>
      </c>
      <c r="AK768">
        <v>7.6973691615329187E-2</v>
      </c>
      <c r="AL768">
        <v>0.19904918822700168</v>
      </c>
      <c r="AM768">
        <v>0.14100207476021953</v>
      </c>
      <c r="AN768">
        <v>1.8229352396167076E-2</v>
      </c>
      <c r="AO768">
        <v>9.8112620280673024E-2</v>
      </c>
      <c r="AR768">
        <v>9.1558293853200023E-4</v>
      </c>
      <c r="AS768">
        <v>4.5183356363804883E-3</v>
      </c>
      <c r="AT768">
        <v>9.8743640947437539E-2</v>
      </c>
      <c r="AU768">
        <v>2.0045062390756652E-3</v>
      </c>
      <c r="AV768">
        <v>2.2371022411650232E-3</v>
      </c>
      <c r="AW768">
        <v>3.2846416649953587E-3</v>
      </c>
      <c r="AX768">
        <v>3.7269356053212902E-4</v>
      </c>
      <c r="AY768">
        <v>4.0203764447671521E-4</v>
      </c>
      <c r="BB768">
        <v>6.2095792293235252E-2</v>
      </c>
      <c r="BC768">
        <v>3.7353363168189192E-2</v>
      </c>
      <c r="BE768">
        <v>35562.286365678287</v>
      </c>
      <c r="BF768">
        <v>21.263404320178626</v>
      </c>
      <c r="BG768">
        <v>37864.21356985435</v>
      </c>
      <c r="BH768">
        <v>21.266769235972177</v>
      </c>
    </row>
    <row r="769" spans="3:60" x14ac:dyDescent="0.2">
      <c r="C769" s="138">
        <v>30367.253230416529</v>
      </c>
      <c r="D769">
        <v>21.528814963951692</v>
      </c>
      <c r="E769" s="138">
        <v>32617.634785196944</v>
      </c>
      <c r="F769" s="138">
        <v>21.52697278400942</v>
      </c>
      <c r="G769" s="138">
        <v>-2250.3815547804152</v>
      </c>
      <c r="H769" s="138">
        <v>1.8421799422725371E-3</v>
      </c>
      <c r="N769" s="138"/>
      <c r="O769" s="138"/>
      <c r="P769" s="138"/>
      <c r="R769">
        <v>146.59745109410161</v>
      </c>
      <c r="S769">
        <v>70.228998529318744</v>
      </c>
      <c r="T769">
        <v>261.38162583229524</v>
      </c>
      <c r="U769">
        <v>101.0111615967779</v>
      </c>
      <c r="X769">
        <v>0.65784082590009685</v>
      </c>
      <c r="Y769">
        <v>0.82166931877967198</v>
      </c>
      <c r="Z769">
        <v>0.35945361880174898</v>
      </c>
      <c r="AA769">
        <v>0.71906684118206032</v>
      </c>
      <c r="AB769">
        <v>0.7337254992961656</v>
      </c>
      <c r="AC769">
        <v>0.6410618936147201</v>
      </c>
      <c r="AD769">
        <v>0.69360317542002803</v>
      </c>
      <c r="AE769">
        <v>0.84286389159901653</v>
      </c>
      <c r="AH769">
        <v>6.2740514812497317E-2</v>
      </c>
      <c r="AI769">
        <v>0.12739340991432646</v>
      </c>
      <c r="AJ769">
        <v>4.662124379030963E-2</v>
      </c>
      <c r="AK769">
        <v>0.100486173496102</v>
      </c>
      <c r="AL769">
        <v>5.7717337831081905E-2</v>
      </c>
      <c r="AM769">
        <v>1.6871210833199202E-2</v>
      </c>
      <c r="AN769">
        <v>2.8204265910525161E-2</v>
      </c>
      <c r="AO769">
        <v>0.18842396930155136</v>
      </c>
      <c r="AR769">
        <v>1.0373828378953398E-3</v>
      </c>
      <c r="AS769">
        <v>4.3632087829511704E-3</v>
      </c>
      <c r="AT769">
        <v>9.8609446420214325E-2</v>
      </c>
      <c r="AU769">
        <v>1.9241786802537749E-3</v>
      </c>
      <c r="AV769">
        <v>2.0447155056140254E-3</v>
      </c>
      <c r="AW769">
        <v>3.5667492514845911E-3</v>
      </c>
      <c r="AX769">
        <v>3.5782692319534965E-4</v>
      </c>
      <c r="AY769">
        <v>4.0586014724336092E-4</v>
      </c>
      <c r="BB769">
        <v>5.0317816423123274E-2</v>
      </c>
      <c r="BC769">
        <v>8.4035839294305581E-2</v>
      </c>
      <c r="BE769">
        <v>30367.253230416529</v>
      </c>
      <c r="BF769">
        <v>21.528814963951692</v>
      </c>
      <c r="BG769">
        <v>32617.634785196944</v>
      </c>
      <c r="BH769">
        <v>21.52697278400942</v>
      </c>
    </row>
    <row r="770" spans="3:60" x14ac:dyDescent="0.2">
      <c r="C770" s="138">
        <v>29884.729768963061</v>
      </c>
      <c r="D770">
        <v>19.905363404279669</v>
      </c>
      <c r="E770" s="138">
        <v>32252.870216940533</v>
      </c>
      <c r="F770" s="138">
        <v>19.860254138942345</v>
      </c>
      <c r="G770" s="138">
        <v>-2368.1404479774719</v>
      </c>
      <c r="H770" s="138">
        <v>4.5109265337323734E-2</v>
      </c>
      <c r="N770" s="138"/>
      <c r="O770" s="138"/>
      <c r="P770" s="138"/>
      <c r="R770">
        <v>42.282746233873354</v>
      </c>
      <c r="S770">
        <v>62.922006219034806</v>
      </c>
      <c r="T770">
        <v>258.07954563132904</v>
      </c>
      <c r="U770">
        <v>107.58745834913637</v>
      </c>
      <c r="X770">
        <v>0.79762611366923852</v>
      </c>
      <c r="Y770">
        <v>0.90231436885517247</v>
      </c>
      <c r="Z770">
        <v>0.79561065599155156</v>
      </c>
      <c r="AA770">
        <v>0.58780194040603229</v>
      </c>
      <c r="AB770">
        <v>0.66389299314304584</v>
      </c>
      <c r="AC770">
        <v>0.74977556885885444</v>
      </c>
      <c r="AD770">
        <v>0.806250663398828</v>
      </c>
      <c r="AE770">
        <v>0.62834589515613881</v>
      </c>
      <c r="AH770">
        <v>3.3072077583083281E-2</v>
      </c>
      <c r="AI770">
        <v>0.12817339592977872</v>
      </c>
      <c r="AJ770">
        <v>6.3160286886926875E-2</v>
      </c>
      <c r="AK770">
        <v>0.12167062032237652</v>
      </c>
      <c r="AL770">
        <v>0.29222299899569049</v>
      </c>
      <c r="AM770">
        <v>0.10127895963434508</v>
      </c>
      <c r="AN770">
        <v>2.6012919159388304E-3</v>
      </c>
      <c r="AO770">
        <v>0.18908410225547256</v>
      </c>
      <c r="AR770">
        <v>8.9070343186359313E-4</v>
      </c>
      <c r="AS770">
        <v>4.3619342059666643E-3</v>
      </c>
      <c r="AT770">
        <v>0.10004633382171502</v>
      </c>
      <c r="AU770">
        <v>1.9967346310452161E-3</v>
      </c>
      <c r="AV770">
        <v>2.1990337381503355E-3</v>
      </c>
      <c r="AW770">
        <v>2.9879735074980515E-3</v>
      </c>
      <c r="AX770">
        <v>3.736483932358359E-4</v>
      </c>
      <c r="AY770">
        <v>4.8148801177816392E-4</v>
      </c>
      <c r="BB770">
        <v>4.9649855702317724E-2</v>
      </c>
      <c r="BC770">
        <v>2.7207136021527904E-2</v>
      </c>
      <c r="BE770">
        <v>29884.729768963061</v>
      </c>
      <c r="BF770">
        <v>19.905363404279669</v>
      </c>
      <c r="BG770">
        <v>32252.870216940533</v>
      </c>
      <c r="BH770">
        <v>19.860254138942345</v>
      </c>
    </row>
    <row r="771" spans="3:60" x14ac:dyDescent="0.2">
      <c r="C771" s="138">
        <v>25673.07760519291</v>
      </c>
      <c r="D771">
        <v>21.70912240555813</v>
      </c>
      <c r="E771" s="138">
        <v>27627.365193382881</v>
      </c>
      <c r="F771" s="138">
        <v>21.696860564984469</v>
      </c>
      <c r="G771" s="138">
        <v>-1954.2875881899708</v>
      </c>
      <c r="H771" s="138">
        <v>1.2261840573660976E-2</v>
      </c>
      <c r="N771" s="138"/>
      <c r="O771" s="138"/>
      <c r="P771" s="138"/>
      <c r="R771">
        <v>235.17376007968539</v>
      </c>
      <c r="S771">
        <v>55.802791253726319</v>
      </c>
      <c r="T771">
        <v>247.88296559951652</v>
      </c>
      <c r="U771">
        <v>101.78028316349047</v>
      </c>
      <c r="X771">
        <v>0.67261623136102366</v>
      </c>
      <c r="Y771">
        <v>0.89167026706095687</v>
      </c>
      <c r="Z771">
        <v>0.88728530498651215</v>
      </c>
      <c r="AA771">
        <v>0.67840207263827423</v>
      </c>
      <c r="AB771">
        <v>0.92572546513002019</v>
      </c>
      <c r="AC771">
        <v>0.80070442233465544</v>
      </c>
      <c r="AD771">
        <v>0.70975641225966057</v>
      </c>
      <c r="AE771">
        <v>0.84600952999079759</v>
      </c>
      <c r="AH771">
        <v>0.25673715935218111</v>
      </c>
      <c r="AI771">
        <v>0.12137464125393671</v>
      </c>
      <c r="AJ771">
        <v>3.5148829359743727E-2</v>
      </c>
      <c r="AK771">
        <v>0.27709975859014435</v>
      </c>
      <c r="AL771">
        <v>0.20946915929677112</v>
      </c>
      <c r="AM771">
        <v>8.2398182144135745E-2</v>
      </c>
      <c r="AN771">
        <v>0.14809455382992209</v>
      </c>
      <c r="AO771">
        <v>0.18765384774628902</v>
      </c>
      <c r="AR771">
        <v>8.7613456069558966E-4</v>
      </c>
      <c r="AS771">
        <v>4.5233631828514032E-3</v>
      </c>
      <c r="AT771">
        <v>0.10070754939163729</v>
      </c>
      <c r="AU771">
        <v>2.0756292534198639E-3</v>
      </c>
      <c r="AV771">
        <v>2.2290228685357683E-3</v>
      </c>
      <c r="AW771">
        <v>3.2909214631854427E-3</v>
      </c>
      <c r="AX771">
        <v>4.2243141545172946E-4</v>
      </c>
      <c r="AY771">
        <v>4.4586035286678588E-4</v>
      </c>
      <c r="BB771">
        <v>5.3315703542967885E-2</v>
      </c>
      <c r="BC771">
        <v>3.1266977555606305E-2</v>
      </c>
      <c r="BE771">
        <v>25673.07760519291</v>
      </c>
      <c r="BF771">
        <v>21.70912240555813</v>
      </c>
      <c r="BG771">
        <v>27627.365193382881</v>
      </c>
      <c r="BH771">
        <v>21.696860564984469</v>
      </c>
    </row>
    <row r="772" spans="3:60" x14ac:dyDescent="0.2">
      <c r="C772" s="138">
        <v>33661.938306189317</v>
      </c>
      <c r="D772">
        <v>21.403802044736604</v>
      </c>
      <c r="E772" s="138">
        <v>35490.542737102143</v>
      </c>
      <c r="F772" s="138">
        <v>21.374657480469796</v>
      </c>
      <c r="G772" s="138">
        <v>-1828.6044309128265</v>
      </c>
      <c r="H772" s="138">
        <v>2.9144564266808004E-2</v>
      </c>
      <c r="N772" s="138"/>
      <c r="O772" s="138"/>
      <c r="P772" s="138"/>
      <c r="R772">
        <v>104.77293384281131</v>
      </c>
      <c r="S772">
        <v>72.621778036037952</v>
      </c>
      <c r="T772">
        <v>282.78017961440764</v>
      </c>
      <c r="U772">
        <v>110.42305191667411</v>
      </c>
      <c r="X772">
        <v>0.75868935835307461</v>
      </c>
      <c r="Y772">
        <v>0.92388711175608706</v>
      </c>
      <c r="Z772">
        <v>0.60393460422396739</v>
      </c>
      <c r="AA772">
        <v>0.70320682582124594</v>
      </c>
      <c r="AB772">
        <v>0.89929370578445644</v>
      </c>
      <c r="AC772">
        <v>0.60093636916511772</v>
      </c>
      <c r="AD772">
        <v>0.73946332008726179</v>
      </c>
      <c r="AE772">
        <v>0.49674226175224107</v>
      </c>
      <c r="AH772">
        <v>8.9448177105512228E-2</v>
      </c>
      <c r="AI772">
        <v>0.1941520258822832</v>
      </c>
      <c r="AJ772">
        <v>0.14517854462802582</v>
      </c>
      <c r="AK772">
        <v>7.8330941417994571E-2</v>
      </c>
      <c r="AL772">
        <v>8.9243195900650329E-2</v>
      </c>
      <c r="AM772">
        <v>0.23778975478883679</v>
      </c>
      <c r="AN772">
        <v>4.555086281724785E-2</v>
      </c>
      <c r="AO772">
        <v>0.1115802519546002</v>
      </c>
      <c r="AR772">
        <v>8.5870135640057498E-4</v>
      </c>
      <c r="AS772">
        <v>4.8320620212912724E-3</v>
      </c>
      <c r="AT772">
        <v>9.9824848577181297E-2</v>
      </c>
      <c r="AU772">
        <v>2.1352874479069195E-3</v>
      </c>
      <c r="AV772">
        <v>2.0301641628355238E-3</v>
      </c>
      <c r="AW772">
        <v>3.7272086658224346E-3</v>
      </c>
      <c r="AX772">
        <v>5.2542254637899521E-4</v>
      </c>
      <c r="AY772">
        <v>4.9414433115180234E-4</v>
      </c>
      <c r="BB772">
        <v>4.7658020250186055E-2</v>
      </c>
      <c r="BC772">
        <v>2.7658375908447573E-2</v>
      </c>
      <c r="BE772">
        <v>33661.938306189317</v>
      </c>
      <c r="BF772">
        <v>21.403802044736604</v>
      </c>
      <c r="BG772">
        <v>35490.542737102143</v>
      </c>
      <c r="BH772">
        <v>21.374657480469796</v>
      </c>
    </row>
    <row r="773" spans="3:60" x14ac:dyDescent="0.2">
      <c r="C773" s="138">
        <v>34408.402289481724</v>
      </c>
      <c r="D773">
        <v>21.152775682561444</v>
      </c>
      <c r="E773" s="138">
        <v>36700.634318908407</v>
      </c>
      <c r="F773" s="138">
        <v>21.165718067044629</v>
      </c>
      <c r="G773" s="138">
        <v>-2292.2320294266829</v>
      </c>
      <c r="H773" s="138">
        <v>-1.2942384483185521E-2</v>
      </c>
      <c r="N773" s="138"/>
      <c r="O773" s="138"/>
      <c r="P773" s="138"/>
      <c r="R773">
        <v>179.50267479724562</v>
      </c>
      <c r="S773">
        <v>61.104892060101932</v>
      </c>
      <c r="T773">
        <v>238.53161423499895</v>
      </c>
      <c r="U773">
        <v>94.155596495773366</v>
      </c>
      <c r="X773">
        <v>0.53675637514444163</v>
      </c>
      <c r="Y773">
        <v>0.77466552627932672</v>
      </c>
      <c r="Z773">
        <v>0.83663121371004445</v>
      </c>
      <c r="AA773">
        <v>0.71754901217295208</v>
      </c>
      <c r="AB773">
        <v>0.85564783437038783</v>
      </c>
      <c r="AC773">
        <v>0.62479399484758991</v>
      </c>
      <c r="AD773">
        <v>0.69726230926818256</v>
      </c>
      <c r="AE773">
        <v>0.73074498888813189</v>
      </c>
      <c r="AH773">
        <v>3.9439278521202881E-2</v>
      </c>
      <c r="AI773">
        <v>3.195674728736253E-2</v>
      </c>
      <c r="AJ773">
        <v>0.22065473667265711</v>
      </c>
      <c r="AK773">
        <v>0.10714299535706961</v>
      </c>
      <c r="AL773">
        <v>5.5321031965544387E-2</v>
      </c>
      <c r="AM773">
        <v>0.14922730659067374</v>
      </c>
      <c r="AN773">
        <v>7.1719264224862078E-2</v>
      </c>
      <c r="AO773">
        <v>0.10717008332150224</v>
      </c>
      <c r="AR773">
        <v>8.5037383730221495E-4</v>
      </c>
      <c r="AS773">
        <v>3.8147533367242112E-3</v>
      </c>
      <c r="AT773">
        <v>0.10045638577205507</v>
      </c>
      <c r="AU773">
        <v>2.0190030866824582E-3</v>
      </c>
      <c r="AV773">
        <v>1.728963487151679E-3</v>
      </c>
      <c r="AW773">
        <v>3.3772115630802007E-3</v>
      </c>
      <c r="AX773">
        <v>3.317779904354401E-4</v>
      </c>
      <c r="AY773">
        <v>4.5012702395896831E-4</v>
      </c>
      <c r="BB773">
        <v>4.3822491409530907E-2</v>
      </c>
      <c r="BC773">
        <v>7.2586504588017187E-2</v>
      </c>
      <c r="BE773">
        <v>34408.402289481724</v>
      </c>
      <c r="BF773">
        <v>21.152775682561444</v>
      </c>
      <c r="BG773">
        <v>36700.634318908407</v>
      </c>
      <c r="BH773">
        <v>21.165718067044629</v>
      </c>
    </row>
    <row r="774" spans="3:60" x14ac:dyDescent="0.2">
      <c r="C774" s="138">
        <v>34681.96993709512</v>
      </c>
      <c r="D774">
        <v>21.616434650813616</v>
      </c>
      <c r="E774" s="138">
        <v>36733.600732117367</v>
      </c>
      <c r="F774" s="138">
        <v>21.598093042082795</v>
      </c>
      <c r="G774" s="138">
        <v>-2051.6307950222472</v>
      </c>
      <c r="H774" s="138">
        <v>1.834160873082169E-2</v>
      </c>
      <c r="N774" s="138"/>
      <c r="O774" s="138"/>
      <c r="P774" s="138"/>
      <c r="R774">
        <v>465.02528364483715</v>
      </c>
      <c r="S774">
        <v>61.779727196415024</v>
      </c>
      <c r="T774">
        <v>264.92692280859643</v>
      </c>
      <c r="U774">
        <v>96.859186320827945</v>
      </c>
      <c r="X774">
        <v>0.73501014590211866</v>
      </c>
      <c r="Y774">
        <v>0.96803848443695928</v>
      </c>
      <c r="Z774">
        <v>0.79515312755107237</v>
      </c>
      <c r="AA774">
        <v>0.96575677489838552</v>
      </c>
      <c r="AB774">
        <v>0.7875412480302828</v>
      </c>
      <c r="AC774">
        <v>0.78046215275864206</v>
      </c>
      <c r="AD774">
        <v>0.95680682992096111</v>
      </c>
      <c r="AE774">
        <v>0.61315503395723003</v>
      </c>
      <c r="AH774">
        <v>0.20371770699883485</v>
      </c>
      <c r="AI774">
        <v>2.4740895586320755E-2</v>
      </c>
      <c r="AJ774">
        <v>0.15622871521703863</v>
      </c>
      <c r="AK774">
        <v>0.20193177048612099</v>
      </c>
      <c r="AL774">
        <v>6.1631922177579956E-2</v>
      </c>
      <c r="AM774">
        <v>0.20510898514878995</v>
      </c>
      <c r="AN774">
        <v>1.3215430729563105E-2</v>
      </c>
      <c r="AO774">
        <v>0.10918815203183985</v>
      </c>
      <c r="AR774">
        <v>8.0930494907836023E-4</v>
      </c>
      <c r="AS774">
        <v>4.4167666358752309E-3</v>
      </c>
      <c r="AT774">
        <v>0.1002981572288324</v>
      </c>
      <c r="AU774">
        <v>2.1526764429337097E-3</v>
      </c>
      <c r="AV774">
        <v>1.9847160407778946E-3</v>
      </c>
      <c r="AW774">
        <v>3.9273571579824251E-3</v>
      </c>
      <c r="AX774">
        <v>3.3296912859253361E-4</v>
      </c>
      <c r="AY774">
        <v>4.6967048556800783E-4</v>
      </c>
      <c r="BB774">
        <v>5.0610199285762936E-2</v>
      </c>
      <c r="BC774">
        <v>0.1056526651684232</v>
      </c>
      <c r="BE774">
        <v>34681.96993709512</v>
      </c>
      <c r="BF774">
        <v>21.616434650813616</v>
      </c>
      <c r="BG774">
        <v>36733.600732117367</v>
      </c>
      <c r="BH774">
        <v>21.598093042082795</v>
      </c>
    </row>
    <row r="775" spans="3:60" x14ac:dyDescent="0.2">
      <c r="C775" s="138">
        <v>35026.964238788067</v>
      </c>
      <c r="D775">
        <v>21.56903830602192</v>
      </c>
      <c r="E775" s="138">
        <v>37235.393030954845</v>
      </c>
      <c r="F775" s="138">
        <v>21.573839671923619</v>
      </c>
      <c r="G775" s="138">
        <v>-2208.4287921667783</v>
      </c>
      <c r="H775" s="138">
        <v>-4.8013659016987731E-3</v>
      </c>
      <c r="N775" s="138"/>
      <c r="O775" s="138"/>
      <c r="P775" s="138"/>
      <c r="R775">
        <v>176.86550248823289</v>
      </c>
      <c r="S775">
        <v>68.128342060901417</v>
      </c>
      <c r="T775">
        <v>239.65982257803617</v>
      </c>
      <c r="U775">
        <v>81.120898793278371</v>
      </c>
      <c r="X775">
        <v>0.79816622358193268</v>
      </c>
      <c r="Y775">
        <v>0.64405518002420492</v>
      </c>
      <c r="Z775">
        <v>0.93770172025171883</v>
      </c>
      <c r="AA775">
        <v>0.55379059997002011</v>
      </c>
      <c r="AB775">
        <v>0.47015295860748557</v>
      </c>
      <c r="AC775">
        <v>0.7300571671260242</v>
      </c>
      <c r="AD775">
        <v>0.787752525275911</v>
      </c>
      <c r="AE775">
        <v>0.8023189296493386</v>
      </c>
      <c r="AH775">
        <v>2.0397904607494022E-2</v>
      </c>
      <c r="AI775">
        <v>8.210490296531936E-2</v>
      </c>
      <c r="AJ775">
        <v>1.7160688665772694E-2</v>
      </c>
      <c r="AK775">
        <v>4.8497363756846212E-2</v>
      </c>
      <c r="AL775">
        <v>5.5410631470891425E-2</v>
      </c>
      <c r="AM775">
        <v>9.7814679037793617E-2</v>
      </c>
      <c r="AN775">
        <v>5.1110716996346839E-2</v>
      </c>
      <c r="AO775">
        <v>0.13385120472672041</v>
      </c>
      <c r="AR775">
        <v>9.4191762100481746E-4</v>
      </c>
      <c r="AS775">
        <v>4.6011748260087471E-3</v>
      </c>
      <c r="AT775">
        <v>0.10005761437411609</v>
      </c>
      <c r="AU775">
        <v>2.0042817357162068E-3</v>
      </c>
      <c r="AV775">
        <v>1.6799746689361644E-3</v>
      </c>
      <c r="AW775">
        <v>3.2888437575681897E-3</v>
      </c>
      <c r="AX775">
        <v>4.3561885895015973E-4</v>
      </c>
      <c r="AY775">
        <v>5.3861045305103605E-4</v>
      </c>
      <c r="BB775">
        <v>4.0499512373312611E-2</v>
      </c>
      <c r="BC775">
        <v>6.5739433304119688E-2</v>
      </c>
      <c r="BE775">
        <v>35026.964238788067</v>
      </c>
      <c r="BF775">
        <v>21.56903830602192</v>
      </c>
      <c r="BG775">
        <v>37235.393030954845</v>
      </c>
      <c r="BH775">
        <v>21.573839671923619</v>
      </c>
    </row>
    <row r="776" spans="3:60" x14ac:dyDescent="0.2">
      <c r="C776" s="138">
        <v>26493.735758020357</v>
      </c>
      <c r="D776">
        <v>21.273903288894481</v>
      </c>
      <c r="E776" s="138">
        <v>28121.578726366621</v>
      </c>
      <c r="F776" s="138">
        <v>21.256842831056925</v>
      </c>
      <c r="G776" s="138">
        <v>-1627.8429683462637</v>
      </c>
      <c r="H776" s="138">
        <v>1.7060457837555276E-2</v>
      </c>
      <c r="N776" s="138"/>
      <c r="O776" s="138"/>
      <c r="P776" s="138"/>
      <c r="R776">
        <v>357.2733253144271</v>
      </c>
      <c r="S776">
        <v>65.228251915128268</v>
      </c>
      <c r="T776">
        <v>247.61213726103341</v>
      </c>
      <c r="U776">
        <v>104.70593105133722</v>
      </c>
      <c r="X776">
        <v>0.83948328693245966</v>
      </c>
      <c r="Y776">
        <v>0.81947901970374037</v>
      </c>
      <c r="Z776">
        <v>0.99534098137366434</v>
      </c>
      <c r="AA776">
        <v>0.68471626533666952</v>
      </c>
      <c r="AB776">
        <v>0.73148065954027575</v>
      </c>
      <c r="AC776">
        <v>0.92152816203243371</v>
      </c>
      <c r="AD776">
        <v>0.58919912232085925</v>
      </c>
      <c r="AE776">
        <v>0.73284926200300859</v>
      </c>
      <c r="AH776">
        <v>0.11214703364859047</v>
      </c>
      <c r="AI776">
        <v>4.1326709455174027E-2</v>
      </c>
      <c r="AJ776">
        <v>7.5273955871134612E-2</v>
      </c>
      <c r="AK776">
        <v>1.9649985372565903E-2</v>
      </c>
      <c r="AL776">
        <v>0.12743438060413392</v>
      </c>
      <c r="AM776">
        <v>7.315360886517519E-3</v>
      </c>
      <c r="AN776">
        <v>0.11517571129906323</v>
      </c>
      <c r="AO776">
        <v>0.31181789719423925</v>
      </c>
      <c r="AR776">
        <v>8.8178099061126259E-4</v>
      </c>
      <c r="AS776">
        <v>4.1167493690946484E-3</v>
      </c>
      <c r="AT776">
        <v>9.9744664098129543E-2</v>
      </c>
      <c r="AU776">
        <v>1.9565391920572028E-3</v>
      </c>
      <c r="AV776">
        <v>2.0898844263275151E-3</v>
      </c>
      <c r="AW776">
        <v>3.5242898079143048E-3</v>
      </c>
      <c r="AX776">
        <v>2.9722996108555558E-4</v>
      </c>
      <c r="AY776">
        <v>5.7560631505682025E-4</v>
      </c>
      <c r="BB776">
        <v>4.9595649037269589E-2</v>
      </c>
      <c r="BC776">
        <v>4.6795021948938476E-2</v>
      </c>
      <c r="BE776">
        <v>26493.735758020357</v>
      </c>
      <c r="BF776">
        <v>21.273903288894481</v>
      </c>
      <c r="BG776">
        <v>28121.578726366621</v>
      </c>
      <c r="BH776">
        <v>21.256842831056925</v>
      </c>
    </row>
    <row r="777" spans="3:60" x14ac:dyDescent="0.2">
      <c r="C777" s="138">
        <v>31080.393391951824</v>
      </c>
      <c r="D777">
        <v>21.387796307827731</v>
      </c>
      <c r="E777" s="138">
        <v>32865.956494069796</v>
      </c>
      <c r="F777" s="138">
        <v>21.382052984931466</v>
      </c>
      <c r="G777" s="138">
        <v>-1785.5631021179724</v>
      </c>
      <c r="H777" s="138">
        <v>5.7433228962651128E-3</v>
      </c>
      <c r="N777" s="138"/>
      <c r="O777" s="138"/>
      <c r="P777" s="138"/>
      <c r="R777">
        <v>404.97193066855414</v>
      </c>
      <c r="S777">
        <v>71.435073222273189</v>
      </c>
      <c r="T777">
        <v>297.0440939423313</v>
      </c>
      <c r="U777">
        <v>93.936334071940237</v>
      </c>
      <c r="X777">
        <v>0.95053696639226315</v>
      </c>
      <c r="Y777">
        <v>0.88625977447828819</v>
      </c>
      <c r="Z777">
        <v>0.70818123134460054</v>
      </c>
      <c r="AA777">
        <v>0.49778935200253915</v>
      </c>
      <c r="AB777">
        <v>0.69961924753591664</v>
      </c>
      <c r="AC777">
        <v>0.69107888592617306</v>
      </c>
      <c r="AD777">
        <v>0.59908037268183578</v>
      </c>
      <c r="AE777">
        <v>0.78900277502696914</v>
      </c>
      <c r="AH777">
        <v>0.11846072656311724</v>
      </c>
      <c r="AI777">
        <v>7.0764557217331769E-2</v>
      </c>
      <c r="AJ777">
        <v>5.9747351320859732E-2</v>
      </c>
      <c r="AK777">
        <v>8.6065854081907478E-2</v>
      </c>
      <c r="AL777">
        <v>0.18876494094496754</v>
      </c>
      <c r="AM777">
        <v>0.19414060369637198</v>
      </c>
      <c r="AN777">
        <v>0.10935714510285388</v>
      </c>
      <c r="AO777">
        <v>2.5100109250498326E-2</v>
      </c>
      <c r="AR777">
        <v>1.0479233335316529E-3</v>
      </c>
      <c r="AS777">
        <v>4.9785075901992437E-3</v>
      </c>
      <c r="AT777">
        <v>9.9175660611077882E-2</v>
      </c>
      <c r="AU777">
        <v>1.7409868112067196E-3</v>
      </c>
      <c r="AV777">
        <v>1.9196214597345753E-3</v>
      </c>
      <c r="AW777">
        <v>3.2404829193234887E-3</v>
      </c>
      <c r="AX777">
        <v>3.7517642684280786E-4</v>
      </c>
      <c r="AY777">
        <v>3.9827444375912033E-4</v>
      </c>
      <c r="BB777">
        <v>4.8165772369673246E-2</v>
      </c>
      <c r="BC777">
        <v>5.4051577420036856E-2</v>
      </c>
      <c r="BE777">
        <v>31080.393391951824</v>
      </c>
      <c r="BF777">
        <v>21.387796307827731</v>
      </c>
      <c r="BG777">
        <v>32865.956494069796</v>
      </c>
      <c r="BH777">
        <v>21.382052984931466</v>
      </c>
    </row>
    <row r="778" spans="3:60" x14ac:dyDescent="0.2">
      <c r="C778" s="138">
        <v>27898.548855918849</v>
      </c>
      <c r="D778">
        <v>21.449376273605136</v>
      </c>
      <c r="E778" s="138">
        <v>29863.285861369433</v>
      </c>
      <c r="F778" s="138">
        <v>21.437283636029644</v>
      </c>
      <c r="G778" s="138">
        <v>-1964.7370054505845</v>
      </c>
      <c r="H778" s="138">
        <v>1.2092637575491949E-2</v>
      </c>
      <c r="N778" s="138"/>
      <c r="O778" s="138"/>
      <c r="P778" s="138"/>
      <c r="R778">
        <v>373.32156903744101</v>
      </c>
      <c r="S778">
        <v>61.008253016191254</v>
      </c>
      <c r="T778">
        <v>184.97528398075451</v>
      </c>
      <c r="U778">
        <v>104.26617372336239</v>
      </c>
      <c r="X778">
        <v>0.9319701690171911</v>
      </c>
      <c r="Y778">
        <v>0.83919877636422924</v>
      </c>
      <c r="Z778">
        <v>0.65545032849519591</v>
      </c>
      <c r="AA778">
        <v>0.88212483658756358</v>
      </c>
      <c r="AB778">
        <v>0.66385648658693452</v>
      </c>
      <c r="AC778">
        <v>0.78650120222287334</v>
      </c>
      <c r="AD778">
        <v>0.74538916197234961</v>
      </c>
      <c r="AE778">
        <v>0.69542914196767935</v>
      </c>
      <c r="AH778">
        <v>0.3590466028535616</v>
      </c>
      <c r="AI778">
        <v>0.14034944347790868</v>
      </c>
      <c r="AJ778">
        <v>0.22926823661896512</v>
      </c>
      <c r="AK778">
        <v>0.19496768476827531</v>
      </c>
      <c r="AL778">
        <v>8.7066517526078302E-2</v>
      </c>
      <c r="AM778">
        <v>0.34109917608514218</v>
      </c>
      <c r="AN778">
        <v>0.16905684535039422</v>
      </c>
      <c r="AO778">
        <v>4.8277068129011225E-2</v>
      </c>
      <c r="AR778">
        <v>8.4521492293013938E-4</v>
      </c>
      <c r="AS778">
        <v>4.0637385730481757E-3</v>
      </c>
      <c r="AT778">
        <v>9.8894115350281822E-2</v>
      </c>
      <c r="AU778">
        <v>1.9663205427800866E-3</v>
      </c>
      <c r="AV778">
        <v>1.8331798136562506E-3</v>
      </c>
      <c r="AW778">
        <v>3.378281776594572E-3</v>
      </c>
      <c r="AX778">
        <v>4.1518850402255669E-4</v>
      </c>
      <c r="AY778">
        <v>4.1520750330157409E-4</v>
      </c>
      <c r="BB778">
        <v>4.598148796508264E-2</v>
      </c>
      <c r="BC778">
        <v>3.5462408935687938E-2</v>
      </c>
      <c r="BE778">
        <v>27898.548855918849</v>
      </c>
      <c r="BF778">
        <v>21.449376273605136</v>
      </c>
      <c r="BG778">
        <v>29863.285861369433</v>
      </c>
      <c r="BH778">
        <v>21.437283636029644</v>
      </c>
    </row>
    <row r="779" spans="3:60" x14ac:dyDescent="0.2">
      <c r="C779" s="138">
        <v>33630.09326894323</v>
      </c>
      <c r="D779">
        <v>21.10905931900562</v>
      </c>
      <c r="E779" s="138">
        <v>35630.018078219422</v>
      </c>
      <c r="F779" s="138">
        <v>21.08911981204616</v>
      </c>
      <c r="G779" s="138">
        <v>-1999.9248092761918</v>
      </c>
      <c r="H779" s="138">
        <v>1.9939506959460118E-2</v>
      </c>
      <c r="N779" s="138"/>
      <c r="O779" s="138"/>
      <c r="P779" s="138"/>
      <c r="R779">
        <v>220.50056727558336</v>
      </c>
      <c r="S779">
        <v>62.105335365734582</v>
      </c>
      <c r="T779">
        <v>232.87129614304899</v>
      </c>
      <c r="U779">
        <v>98.386721392503333</v>
      </c>
      <c r="X779">
        <v>0.69629218132724169</v>
      </c>
      <c r="Y779">
        <v>0.82947971077710347</v>
      </c>
      <c r="Z779">
        <v>0.89182549214171603</v>
      </c>
      <c r="AA779">
        <v>0.63057252247075291</v>
      </c>
      <c r="AB779">
        <v>0.63941814051745272</v>
      </c>
      <c r="AC779">
        <v>0.73913451177892064</v>
      </c>
      <c r="AD779">
        <v>0.89252605157911824</v>
      </c>
      <c r="AE779">
        <v>0.79665446660055428</v>
      </c>
      <c r="AH779">
        <v>0.12075056112862015</v>
      </c>
      <c r="AI779">
        <v>0.20854406297117811</v>
      </c>
      <c r="AJ779">
        <v>2.6698488129212716E-2</v>
      </c>
      <c r="AK779">
        <v>9.8653728110221106E-2</v>
      </c>
      <c r="AL779">
        <v>0.12430014831448577</v>
      </c>
      <c r="AM779">
        <v>8.7402703126289172E-2</v>
      </c>
      <c r="AN779">
        <v>0.2098871197515243</v>
      </c>
      <c r="AO779">
        <v>3.4242065377444564E-2</v>
      </c>
      <c r="AR779">
        <v>8.7704874105980365E-4</v>
      </c>
      <c r="AS779">
        <v>4.5340377661468034E-3</v>
      </c>
      <c r="AT779">
        <v>0.10044909625625942</v>
      </c>
      <c r="AU779">
        <v>1.7901793096673931E-3</v>
      </c>
      <c r="AV779">
        <v>2.3355104246242098E-3</v>
      </c>
      <c r="AW779">
        <v>3.578355043806325E-3</v>
      </c>
      <c r="AX779">
        <v>4.0510237131996529E-4</v>
      </c>
      <c r="AY779">
        <v>4.5762656777581512E-4</v>
      </c>
      <c r="BB779">
        <v>5.3595768090783369E-2</v>
      </c>
      <c r="BC779">
        <v>7.2864250653408513E-2</v>
      </c>
      <c r="BE779">
        <v>33630.09326894323</v>
      </c>
      <c r="BF779">
        <v>21.10905931900562</v>
      </c>
      <c r="BG779">
        <v>35630.018078219422</v>
      </c>
      <c r="BH779">
        <v>21.08911981204616</v>
      </c>
    </row>
    <row r="780" spans="3:60" x14ac:dyDescent="0.2">
      <c r="C780" s="138">
        <v>30163.103247293315</v>
      </c>
      <c r="D780">
        <v>20.952392334867735</v>
      </c>
      <c r="E780" s="138">
        <v>32670.845917663486</v>
      </c>
      <c r="F780" s="138">
        <v>20.921819843573658</v>
      </c>
      <c r="G780" s="138">
        <v>-2507.7426703701713</v>
      </c>
      <c r="H780" s="138">
        <v>3.0572491294076798E-2</v>
      </c>
      <c r="N780" s="138"/>
      <c r="O780" s="138"/>
      <c r="P780" s="138"/>
      <c r="R780">
        <v>280.75523320904222</v>
      </c>
      <c r="S780">
        <v>65.459093766638276</v>
      </c>
      <c r="T780">
        <v>273.82226694302119</v>
      </c>
      <c r="U780">
        <v>93.474452265505903</v>
      </c>
      <c r="X780">
        <v>0.84550257023860798</v>
      </c>
      <c r="Y780">
        <v>0.88016607987610285</v>
      </c>
      <c r="Z780">
        <v>0.88371834788138126</v>
      </c>
      <c r="AA780">
        <v>0.87925908680190223</v>
      </c>
      <c r="AB780">
        <v>0.76598662560369057</v>
      </c>
      <c r="AC780">
        <v>0.74324368865812984</v>
      </c>
      <c r="AD780">
        <v>0.69824158695080363</v>
      </c>
      <c r="AE780">
        <v>0.92866762079252474</v>
      </c>
      <c r="AH780">
        <v>8.9073805691822217E-2</v>
      </c>
      <c r="AI780">
        <v>5.1148903336848406E-3</v>
      </c>
      <c r="AJ780">
        <v>4.9849045023136251E-2</v>
      </c>
      <c r="AK780">
        <v>3.9712677002920915E-2</v>
      </c>
      <c r="AL780">
        <v>0.22175213893329093</v>
      </c>
      <c r="AM780">
        <v>0.15289663461981107</v>
      </c>
      <c r="AN780">
        <v>0.33483598207838461</v>
      </c>
      <c r="AO780">
        <v>0.24891223950913133</v>
      </c>
      <c r="AR780">
        <v>1.0344228839291869E-3</v>
      </c>
      <c r="AS780">
        <v>4.6428870723017601E-3</v>
      </c>
      <c r="AT780">
        <v>0.10157404840088868</v>
      </c>
      <c r="AU780">
        <v>2.0143259494292964E-3</v>
      </c>
      <c r="AV780">
        <v>2.104323406886377E-3</v>
      </c>
      <c r="AW780">
        <v>3.5034760388041875E-3</v>
      </c>
      <c r="AX780">
        <v>3.6541330867779923E-4</v>
      </c>
      <c r="AY780">
        <v>3.8312928355049044E-4</v>
      </c>
      <c r="BB780">
        <v>5.6098708310123868E-2</v>
      </c>
      <c r="BC780">
        <v>5.9491347567293684E-2</v>
      </c>
      <c r="BE780">
        <v>30163.103247293315</v>
      </c>
      <c r="BF780">
        <v>20.952392334867735</v>
      </c>
      <c r="BG780">
        <v>32670.845917663486</v>
      </c>
      <c r="BH780">
        <v>20.921819843573658</v>
      </c>
    </row>
    <row r="781" spans="3:60" x14ac:dyDescent="0.2">
      <c r="C781" s="138">
        <v>31173.538271408743</v>
      </c>
      <c r="D781">
        <v>21.436911862291186</v>
      </c>
      <c r="E781" s="138">
        <v>32927.39274239372</v>
      </c>
      <c r="F781" s="138">
        <v>21.439798817976619</v>
      </c>
      <c r="G781" s="138">
        <v>-1753.8544709849775</v>
      </c>
      <c r="H781" s="138">
        <v>-2.886955685433179E-3</v>
      </c>
      <c r="N781" s="138"/>
      <c r="O781" s="138"/>
      <c r="P781" s="138"/>
      <c r="R781">
        <v>312.65353829462066</v>
      </c>
      <c r="S781">
        <v>64.731411706650505</v>
      </c>
      <c r="T781">
        <v>264.26456142023324</v>
      </c>
      <c r="U781">
        <v>78.253356806017393</v>
      </c>
      <c r="X781">
        <v>0.65569271841669974</v>
      </c>
      <c r="Y781">
        <v>0.46583998441311236</v>
      </c>
      <c r="Z781">
        <v>0.83006697767409821</v>
      </c>
      <c r="AA781">
        <v>0.60952235125798582</v>
      </c>
      <c r="AB781">
        <v>0.65533677947217817</v>
      </c>
      <c r="AC781">
        <v>0.90526369831667541</v>
      </c>
      <c r="AD781">
        <v>0.51120535266667266</v>
      </c>
      <c r="AE781">
        <v>0.82683238092028621</v>
      </c>
      <c r="AH781">
        <v>0.23476975733779892</v>
      </c>
      <c r="AI781">
        <v>8.5391235855099001E-3</v>
      </c>
      <c r="AJ781">
        <v>0.12690420364224664</v>
      </c>
      <c r="AK781">
        <v>7.3707691136464026E-2</v>
      </c>
      <c r="AL781">
        <v>0.15752645627038375</v>
      </c>
      <c r="AM781">
        <v>0.10825285544239649</v>
      </c>
      <c r="AN781">
        <v>2.5633300723712726E-2</v>
      </c>
      <c r="AO781">
        <v>2.2283196349728085E-2</v>
      </c>
      <c r="AR781">
        <v>8.0049949044407249E-4</v>
      </c>
      <c r="AS781">
        <v>3.9732443428127208E-3</v>
      </c>
      <c r="AT781">
        <v>0.10042268779617802</v>
      </c>
      <c r="AU781">
        <v>1.962114321356981E-3</v>
      </c>
      <c r="AV781">
        <v>2.1448115688217362E-3</v>
      </c>
      <c r="AW781">
        <v>3.158829916919233E-3</v>
      </c>
      <c r="AX781">
        <v>4.2422694052568488E-4</v>
      </c>
      <c r="AY781">
        <v>4.2898007388689284E-4</v>
      </c>
      <c r="BB781">
        <v>5.3616630518774411E-2</v>
      </c>
      <c r="BC781">
        <v>3.1438870461392376E-2</v>
      </c>
      <c r="BE781">
        <v>31173.538271408743</v>
      </c>
      <c r="BF781">
        <v>21.436911862291186</v>
      </c>
      <c r="BG781">
        <v>32927.39274239372</v>
      </c>
      <c r="BH781">
        <v>21.439798817976619</v>
      </c>
    </row>
    <row r="782" spans="3:60" x14ac:dyDescent="0.2">
      <c r="C782" s="138">
        <v>30262.14568340687</v>
      </c>
      <c r="D782">
        <v>21.063348601415061</v>
      </c>
      <c r="E782" s="138">
        <v>32479.7194370283</v>
      </c>
      <c r="F782" s="138">
        <v>21.066204292263077</v>
      </c>
      <c r="G782" s="138">
        <v>-2217.5737536214292</v>
      </c>
      <c r="H782" s="138">
        <v>-2.855690848015513E-3</v>
      </c>
      <c r="N782" s="138"/>
      <c r="O782" s="138"/>
      <c r="P782" s="138"/>
      <c r="R782">
        <v>219.90012617459078</v>
      </c>
      <c r="S782">
        <v>66.851768303764388</v>
      </c>
      <c r="T782">
        <v>260.41737253743685</v>
      </c>
      <c r="U782">
        <v>95.978290897062109</v>
      </c>
      <c r="X782">
        <v>0.93552528132730184</v>
      </c>
      <c r="Y782">
        <v>0.90358916869394579</v>
      </c>
      <c r="Z782">
        <v>0.6225858678244014</v>
      </c>
      <c r="AA782">
        <v>0.43324742234376118</v>
      </c>
      <c r="AB782">
        <v>0.81794710513143021</v>
      </c>
      <c r="AC782">
        <v>0.78797773744362254</v>
      </c>
      <c r="AD782">
        <v>0.72191167858212091</v>
      </c>
      <c r="AE782">
        <v>0.80671700258715473</v>
      </c>
      <c r="AH782">
        <v>0.14156222204591351</v>
      </c>
      <c r="AI782">
        <v>5.5735437891173967E-2</v>
      </c>
      <c r="AJ782">
        <v>0.15190745920599991</v>
      </c>
      <c r="AK782">
        <v>0.10532058087960061</v>
      </c>
      <c r="AL782">
        <v>0.10866421978676755</v>
      </c>
      <c r="AM782">
        <v>3.0672057420351617E-2</v>
      </c>
      <c r="AN782">
        <v>6.9889035976587577E-2</v>
      </c>
      <c r="AO782">
        <v>0.11493717834577888</v>
      </c>
      <c r="AR782">
        <v>8.2857228173772643E-4</v>
      </c>
      <c r="AS782">
        <v>4.2527369182437632E-3</v>
      </c>
      <c r="AT782">
        <v>0.10087587845978185</v>
      </c>
      <c r="AU782">
        <v>1.9230077004281721E-3</v>
      </c>
      <c r="AV782">
        <v>2.2847166362494065E-3</v>
      </c>
      <c r="AW782">
        <v>3.7064419288495021E-3</v>
      </c>
      <c r="AX782">
        <v>4.2870516393023195E-4</v>
      </c>
      <c r="AY782">
        <v>3.8304365251390035E-4</v>
      </c>
      <c r="BB782">
        <v>5.0196218319684127E-2</v>
      </c>
      <c r="BC782">
        <v>5.2945874725178088E-2</v>
      </c>
      <c r="BE782">
        <v>30262.14568340687</v>
      </c>
      <c r="BF782">
        <v>21.063348601415061</v>
      </c>
      <c r="BG782">
        <v>32479.7194370283</v>
      </c>
      <c r="BH782">
        <v>21.066204292263077</v>
      </c>
    </row>
    <row r="783" spans="3:60" x14ac:dyDescent="0.2">
      <c r="C783" s="138">
        <v>33544.161746965554</v>
      </c>
      <c r="D783">
        <v>21.100432799481997</v>
      </c>
      <c r="E783" s="138">
        <v>35761.55269142647</v>
      </c>
      <c r="F783" s="138">
        <v>21.070618176888878</v>
      </c>
      <c r="G783" s="138">
        <v>-2217.3909444609162</v>
      </c>
      <c r="H783" s="138">
        <v>2.9814622593118401E-2</v>
      </c>
      <c r="N783" s="138"/>
      <c r="O783" s="138"/>
      <c r="P783" s="138"/>
      <c r="R783">
        <v>267.77310075440471</v>
      </c>
      <c r="S783">
        <v>63.230350600214585</v>
      </c>
      <c r="T783">
        <v>220.29912782739729</v>
      </c>
      <c r="U783">
        <v>90.135123429545587</v>
      </c>
      <c r="X783">
        <v>0.80113156977853262</v>
      </c>
      <c r="Y783">
        <v>0.9203580583740526</v>
      </c>
      <c r="Z783">
        <v>0.70544838968567702</v>
      </c>
      <c r="AA783">
        <v>0.60189157257305714</v>
      </c>
      <c r="AB783">
        <v>0.81256701148453725</v>
      </c>
      <c r="AC783">
        <v>0.76308015298608811</v>
      </c>
      <c r="AD783">
        <v>0.77255445500847131</v>
      </c>
      <c r="AE783">
        <v>0.79411390083760847</v>
      </c>
      <c r="AH783">
        <v>8.5725167339735897E-2</v>
      </c>
      <c r="AI783">
        <v>0.29819562056065518</v>
      </c>
      <c r="AJ783">
        <v>0.14571240889515813</v>
      </c>
      <c r="AK783">
        <v>0.11486679153377632</v>
      </c>
      <c r="AL783">
        <v>4.704995915925414E-2</v>
      </c>
      <c r="AM783">
        <v>0.14845830777463542</v>
      </c>
      <c r="AN783">
        <v>7.1612065217698473E-2</v>
      </c>
      <c r="AO783">
        <v>0.14274746795094273</v>
      </c>
      <c r="AR783">
        <v>8.0380926450779333E-4</v>
      </c>
      <c r="AS783">
        <v>4.7595234609948411E-3</v>
      </c>
      <c r="AT783">
        <v>0.10116102761554813</v>
      </c>
      <c r="AU783">
        <v>2.2042815268062954E-3</v>
      </c>
      <c r="AV783">
        <v>2.1563796143326819E-3</v>
      </c>
      <c r="AW783">
        <v>3.1832341594306116E-3</v>
      </c>
      <c r="AX783">
        <v>3.4439278759933921E-4</v>
      </c>
      <c r="AY783">
        <v>4.6413491148766806E-4</v>
      </c>
      <c r="BB783">
        <v>4.3529111330614184E-2</v>
      </c>
      <c r="BC783">
        <v>6.5188839405016852E-2</v>
      </c>
      <c r="BE783">
        <v>33544.161746965554</v>
      </c>
      <c r="BF783">
        <v>21.100432799481997</v>
      </c>
      <c r="BG783">
        <v>35761.55269142647</v>
      </c>
      <c r="BH783">
        <v>21.070618176888878</v>
      </c>
    </row>
    <row r="784" spans="3:60" x14ac:dyDescent="0.2">
      <c r="C784" s="138">
        <v>29486.423469587091</v>
      </c>
      <c r="D784">
        <v>20.999150975303532</v>
      </c>
      <c r="E784" s="138">
        <v>31439.634385649246</v>
      </c>
      <c r="F784" s="138">
        <v>20.973596936700162</v>
      </c>
      <c r="G784" s="138">
        <v>-1953.2109160621549</v>
      </c>
      <c r="H784" s="138">
        <v>2.5554038603370799E-2</v>
      </c>
      <c r="N784" s="138"/>
      <c r="O784" s="138"/>
      <c r="P784" s="138"/>
      <c r="R784">
        <v>354.81723675147549</v>
      </c>
      <c r="S784">
        <v>65.867771882371883</v>
      </c>
      <c r="T784">
        <v>281.73174454832713</v>
      </c>
      <c r="U784">
        <v>116.08615504882574</v>
      </c>
      <c r="X784">
        <v>0.55200899310038831</v>
      </c>
      <c r="Y784">
        <v>0.70713223367079769</v>
      </c>
      <c r="Z784">
        <v>0.79183719782610595</v>
      </c>
      <c r="AA784">
        <v>0.88900473510452416</v>
      </c>
      <c r="AB784">
        <v>0.70354969639239973</v>
      </c>
      <c r="AC784">
        <v>0.85929454747737144</v>
      </c>
      <c r="AD784">
        <v>0.84651161714823564</v>
      </c>
      <c r="AE784">
        <v>0.84690316795612475</v>
      </c>
      <c r="AH784">
        <v>0.28547301777684808</v>
      </c>
      <c r="AI784">
        <v>0.13953510057653262</v>
      </c>
      <c r="AJ784">
        <v>7.0153855381262176E-2</v>
      </c>
      <c r="AK784">
        <v>4.6189354788647052E-2</v>
      </c>
      <c r="AL784">
        <v>0.17808095097251364</v>
      </c>
      <c r="AM784">
        <v>0.11153389059470187</v>
      </c>
      <c r="AN784">
        <v>0.13935722437099229</v>
      </c>
      <c r="AO784">
        <v>0.11799766490895114</v>
      </c>
      <c r="AR784">
        <v>9.7042768180077843E-4</v>
      </c>
      <c r="AS784">
        <v>4.586119487990814E-3</v>
      </c>
      <c r="AT784">
        <v>0.10005073350431004</v>
      </c>
      <c r="AU784">
        <v>2.1453057684139853E-3</v>
      </c>
      <c r="AV784">
        <v>1.9466106282511673E-3</v>
      </c>
      <c r="AW784">
        <v>3.5183388421388129E-3</v>
      </c>
      <c r="AX784">
        <v>3.8702971977696714E-4</v>
      </c>
      <c r="AY784">
        <v>4.9522674643254216E-4</v>
      </c>
      <c r="BB784">
        <v>4.3172304014909076E-2</v>
      </c>
      <c r="BC784">
        <v>0.12236511292749164</v>
      </c>
      <c r="BE784">
        <v>29486.423469587091</v>
      </c>
      <c r="BF784">
        <v>20.999150975303532</v>
      </c>
      <c r="BG784">
        <v>31439.634385649246</v>
      </c>
      <c r="BH784">
        <v>20.973596936700162</v>
      </c>
    </row>
    <row r="785" spans="3:60" x14ac:dyDescent="0.2">
      <c r="C785" s="138">
        <v>27040.223204642574</v>
      </c>
      <c r="D785">
        <v>20.815960446791891</v>
      </c>
      <c r="E785" s="138">
        <v>29096.338154278983</v>
      </c>
      <c r="F785" s="138">
        <v>20.87820530919921</v>
      </c>
      <c r="G785" s="138">
        <v>-2056.1149496364087</v>
      </c>
      <c r="H785" s="138">
        <v>-6.2244862407318635E-2</v>
      </c>
      <c r="N785" s="138"/>
      <c r="O785" s="138"/>
      <c r="P785" s="138"/>
      <c r="R785">
        <v>192.54748978017679</v>
      </c>
      <c r="S785">
        <v>69.91290883934272</v>
      </c>
      <c r="T785">
        <v>237.9293343452392</v>
      </c>
      <c r="U785">
        <v>88.686414031760677</v>
      </c>
      <c r="X785">
        <v>0.743763212198851</v>
      </c>
      <c r="Y785">
        <v>0.72350517737565045</v>
      </c>
      <c r="Z785">
        <v>0.74588734470610019</v>
      </c>
      <c r="AA785">
        <v>0.81926887234161938</v>
      </c>
      <c r="AB785">
        <v>0.44471597429077414</v>
      </c>
      <c r="AC785">
        <v>0.85449612707999922</v>
      </c>
      <c r="AD785">
        <v>0.4339219226872979</v>
      </c>
      <c r="AE785">
        <v>0.76410705889142561</v>
      </c>
      <c r="AH785">
        <v>0.13252992777554617</v>
      </c>
      <c r="AI785">
        <v>0.24713056644187548</v>
      </c>
      <c r="AJ785">
        <v>0.13850493040328715</v>
      </c>
      <c r="AK785">
        <v>0.13527184815448978</v>
      </c>
      <c r="AL785">
        <v>0.10531916778428929</v>
      </c>
      <c r="AM785">
        <v>7.7465078552140909E-2</v>
      </c>
      <c r="AN785">
        <v>0.2854875385920147</v>
      </c>
      <c r="AO785">
        <v>8.2156943239725111E-2</v>
      </c>
      <c r="AR785">
        <v>9.3703685286505856E-4</v>
      </c>
      <c r="AS785">
        <v>4.6303269992959972E-3</v>
      </c>
      <c r="AT785">
        <v>9.9919568654602386E-2</v>
      </c>
      <c r="AU785">
        <v>2.0287588754438479E-3</v>
      </c>
      <c r="AV785">
        <v>1.9386546345749338E-3</v>
      </c>
      <c r="AW785">
        <v>3.5410022321632484E-3</v>
      </c>
      <c r="AX785">
        <v>4.6790584104527966E-4</v>
      </c>
      <c r="AY785">
        <v>2.9848625574910325E-4</v>
      </c>
      <c r="BB785">
        <v>4.8546007250745662E-2</v>
      </c>
      <c r="BC785">
        <v>8.5824200155612318E-2</v>
      </c>
      <c r="BE785">
        <v>27040.223204642574</v>
      </c>
      <c r="BF785">
        <v>20.815960446791891</v>
      </c>
      <c r="BG785">
        <v>29096.338154278983</v>
      </c>
      <c r="BH785">
        <v>20.87820530919921</v>
      </c>
    </row>
    <row r="786" spans="3:60" x14ac:dyDescent="0.2">
      <c r="C786" s="138">
        <v>36798.581004471707</v>
      </c>
      <c r="D786">
        <v>21.534475712497567</v>
      </c>
      <c r="E786" s="138">
        <v>39289.834508489781</v>
      </c>
      <c r="F786" s="138">
        <v>21.503912506698725</v>
      </c>
      <c r="G786" s="138">
        <v>-2491.2535040180737</v>
      </c>
      <c r="H786" s="138">
        <v>3.0563205798841864E-2</v>
      </c>
      <c r="N786" s="138"/>
      <c r="O786" s="138"/>
      <c r="P786" s="138"/>
      <c r="R786">
        <v>124.98583006440819</v>
      </c>
      <c r="S786">
        <v>50.091491032187768</v>
      </c>
      <c r="T786">
        <v>248.35820839759197</v>
      </c>
      <c r="U786">
        <v>102.04793386094317</v>
      </c>
      <c r="X786">
        <v>0.80174941827755819</v>
      </c>
      <c r="Y786">
        <v>0.85093404868382105</v>
      </c>
      <c r="Z786">
        <v>0.77713767048184978</v>
      </c>
      <c r="AA786">
        <v>0.58543825333609945</v>
      </c>
      <c r="AB786">
        <v>0.67060933621114605</v>
      </c>
      <c r="AC786">
        <v>0.57336497191277813</v>
      </c>
      <c r="AD786">
        <v>0.58026688261196935</v>
      </c>
      <c r="AE786">
        <v>0.62860018292869657</v>
      </c>
      <c r="AH786">
        <v>0.15365871191860725</v>
      </c>
      <c r="AI786">
        <v>0.19451585890916889</v>
      </c>
      <c r="AJ786">
        <v>5.1581494727522159E-2</v>
      </c>
      <c r="AK786">
        <v>5.9962286574684831E-2</v>
      </c>
      <c r="AL786">
        <v>0.1601304030043349</v>
      </c>
      <c r="AM786">
        <v>0.13420422803936694</v>
      </c>
      <c r="AN786">
        <v>8.7077123166316106E-2</v>
      </c>
      <c r="AO786">
        <v>0.14104161061264198</v>
      </c>
      <c r="AR786">
        <v>8.2006403846602476E-4</v>
      </c>
      <c r="AS786">
        <v>4.569371891775531E-3</v>
      </c>
      <c r="AT786">
        <v>0.10136338367351472</v>
      </c>
      <c r="AU786">
        <v>1.7815797689850039E-3</v>
      </c>
      <c r="AV786">
        <v>2.2357908357589773E-3</v>
      </c>
      <c r="AW786">
        <v>3.2635717091190676E-3</v>
      </c>
      <c r="AX786">
        <v>3.6163108683902578E-4</v>
      </c>
      <c r="AY786">
        <v>4.236223972587275E-4</v>
      </c>
      <c r="BB786">
        <v>5.3505862603620558E-2</v>
      </c>
      <c r="BC786">
        <v>6.3815937768613273E-2</v>
      </c>
      <c r="BE786">
        <v>36798.581004471707</v>
      </c>
      <c r="BF786">
        <v>21.534475712497567</v>
      </c>
      <c r="BG786">
        <v>39289.834508489781</v>
      </c>
      <c r="BH786">
        <v>21.503912506698725</v>
      </c>
    </row>
    <row r="787" spans="3:60" x14ac:dyDescent="0.2">
      <c r="C787" s="138">
        <v>33657.012402966575</v>
      </c>
      <c r="D787">
        <v>20.783530436023153</v>
      </c>
      <c r="E787" s="138">
        <v>36118.133259612005</v>
      </c>
      <c r="F787" s="138">
        <v>20.752596327657798</v>
      </c>
      <c r="G787" s="138">
        <v>-2461.1208566454297</v>
      </c>
      <c r="H787" s="138">
        <v>3.0934108365354263E-2</v>
      </c>
      <c r="N787" s="138"/>
      <c r="O787" s="138"/>
      <c r="P787" s="138"/>
      <c r="R787">
        <v>187.4775178981034</v>
      </c>
      <c r="S787">
        <v>56.829061270000494</v>
      </c>
      <c r="T787">
        <v>233.79503619769929</v>
      </c>
      <c r="U787">
        <v>88.947021976988708</v>
      </c>
      <c r="X787">
        <v>0.79111333247952975</v>
      </c>
      <c r="Y787">
        <v>0.86239768759181645</v>
      </c>
      <c r="Z787">
        <v>0.84115655535331291</v>
      </c>
      <c r="AA787">
        <v>0.7754140278468451</v>
      </c>
      <c r="AB787">
        <v>0.65838162624422925</v>
      </c>
      <c r="AC787">
        <v>0.94975752599905416</v>
      </c>
      <c r="AD787">
        <v>0.53907753882858778</v>
      </c>
      <c r="AE787">
        <v>0.95206020712316008</v>
      </c>
      <c r="AH787">
        <v>0.170125196128046</v>
      </c>
      <c r="AI787">
        <v>2.0750151208604795E-2</v>
      </c>
      <c r="AJ787">
        <v>8.0339360584892106E-2</v>
      </c>
      <c r="AK787">
        <v>9.0998129728367294E-2</v>
      </c>
      <c r="AL787">
        <v>0.16601606098477806</v>
      </c>
      <c r="AM787">
        <v>4.6310295332618767E-2</v>
      </c>
      <c r="AN787">
        <v>8.2817356723964397E-2</v>
      </c>
      <c r="AO787">
        <v>5.5911971070660371E-2</v>
      </c>
      <c r="AR787">
        <v>8.3064331443219919E-4</v>
      </c>
      <c r="AS787">
        <v>4.8512895907707465E-3</v>
      </c>
      <c r="AT787">
        <v>0.1002074734481152</v>
      </c>
      <c r="AU787">
        <v>1.7847632271818939E-3</v>
      </c>
      <c r="AV787">
        <v>2.2393554882119693E-3</v>
      </c>
      <c r="AW787">
        <v>3.0783734729504988E-3</v>
      </c>
      <c r="AX787">
        <v>3.7022321823875073E-4</v>
      </c>
      <c r="AY787">
        <v>4.14178315161838E-4</v>
      </c>
      <c r="BB787">
        <v>4.9327122327643323E-2</v>
      </c>
      <c r="BC787">
        <v>5.0041588068146514E-2</v>
      </c>
      <c r="BE787">
        <v>33657.012402966575</v>
      </c>
      <c r="BF787">
        <v>20.783530436023153</v>
      </c>
      <c r="BG787">
        <v>36118.133259612005</v>
      </c>
      <c r="BH787">
        <v>20.752596327657798</v>
      </c>
    </row>
    <row r="788" spans="3:60" x14ac:dyDescent="0.2">
      <c r="C788" s="138">
        <v>28649.43356131421</v>
      </c>
      <c r="D788">
        <v>21.286015594183876</v>
      </c>
      <c r="E788" s="138">
        <v>30510.158241547069</v>
      </c>
      <c r="F788" s="138">
        <v>21.262780657289181</v>
      </c>
      <c r="G788" s="138">
        <v>-1860.7246802328591</v>
      </c>
      <c r="H788" s="138">
        <v>2.3234936894695579E-2</v>
      </c>
      <c r="N788" s="138"/>
      <c r="O788" s="138"/>
      <c r="P788" s="138"/>
      <c r="R788">
        <v>368.37566366130875</v>
      </c>
      <c r="S788">
        <v>64.395296640112107</v>
      </c>
      <c r="T788">
        <v>271.6850696200836</v>
      </c>
      <c r="U788">
        <v>98.660527174190577</v>
      </c>
      <c r="X788">
        <v>0.8547676050923283</v>
      </c>
      <c r="Y788">
        <v>0.95051584482770901</v>
      </c>
      <c r="Z788">
        <v>0.6824080826029697</v>
      </c>
      <c r="AA788">
        <v>0.7581075444330041</v>
      </c>
      <c r="AB788">
        <v>0.68379234530420618</v>
      </c>
      <c r="AC788">
        <v>0.89645012385204703</v>
      </c>
      <c r="AD788">
        <v>0.87953281845796805</v>
      </c>
      <c r="AE788">
        <v>0.77659153474549858</v>
      </c>
      <c r="AH788">
        <v>2.3403386487282685E-2</v>
      </c>
      <c r="AI788">
        <v>0.17964945279673672</v>
      </c>
      <c r="AJ788">
        <v>3.5071661858416925E-2</v>
      </c>
      <c r="AK788">
        <v>1.9143368445913578E-2</v>
      </c>
      <c r="AL788">
        <v>1.9187459634959936E-2</v>
      </c>
      <c r="AM788">
        <v>6.64905422368266E-2</v>
      </c>
      <c r="AN788">
        <v>0.16370807020466183</v>
      </c>
      <c r="AO788">
        <v>0.14212905808994947</v>
      </c>
      <c r="AR788">
        <v>9.1362100251246581E-4</v>
      </c>
      <c r="AS788">
        <v>4.7058803696391482E-3</v>
      </c>
      <c r="AT788">
        <v>0.10113888475899135</v>
      </c>
      <c r="AU788">
        <v>1.9076549640290028E-3</v>
      </c>
      <c r="AV788">
        <v>1.7113331605976777E-3</v>
      </c>
      <c r="AW788">
        <v>3.5955677200095737E-3</v>
      </c>
      <c r="AX788">
        <v>4.4416854865048094E-4</v>
      </c>
      <c r="AY788">
        <v>3.5919725181427577E-4</v>
      </c>
      <c r="BB788">
        <v>4.6170226067634823E-2</v>
      </c>
      <c r="BC788">
        <v>4.8405699821800985E-2</v>
      </c>
      <c r="BE788">
        <v>28649.43356131421</v>
      </c>
      <c r="BF788">
        <v>21.286015594183876</v>
      </c>
      <c r="BG788">
        <v>30510.158241547069</v>
      </c>
      <c r="BH788">
        <v>21.262780657289181</v>
      </c>
    </row>
    <row r="789" spans="3:60" x14ac:dyDescent="0.2">
      <c r="C789" s="138">
        <v>27751.748898059868</v>
      </c>
      <c r="D789">
        <v>21.205441542933006</v>
      </c>
      <c r="E789" s="138">
        <v>29361.515129131334</v>
      </c>
      <c r="F789" s="138">
        <v>21.170381668588213</v>
      </c>
      <c r="G789" s="138">
        <v>-1609.7662310714659</v>
      </c>
      <c r="H789" s="138">
        <v>3.5059874344792519E-2</v>
      </c>
      <c r="N789" s="138"/>
      <c r="O789" s="138"/>
      <c r="P789" s="138"/>
      <c r="R789">
        <v>312.40907135037958</v>
      </c>
      <c r="S789">
        <v>70.836347386028322</v>
      </c>
      <c r="T789">
        <v>226.35673447901618</v>
      </c>
      <c r="U789">
        <v>88.089790254492797</v>
      </c>
      <c r="X789">
        <v>0.76865848374160728</v>
      </c>
      <c r="Y789">
        <v>0.69010978654780564</v>
      </c>
      <c r="Z789">
        <v>0.66722765082664082</v>
      </c>
      <c r="AA789">
        <v>0.78485989516148824</v>
      </c>
      <c r="AB789">
        <v>0.85434211755003264</v>
      </c>
      <c r="AC789">
        <v>0.70230786938046252</v>
      </c>
      <c r="AD789">
        <v>0.92291417539860876</v>
      </c>
      <c r="AE789">
        <v>0.7043764883189586</v>
      </c>
      <c r="AH789">
        <v>6.8744968147408381E-2</v>
      </c>
      <c r="AI789">
        <v>3.9235992221083205E-2</v>
      </c>
      <c r="AJ789">
        <v>0.18620946988536247</v>
      </c>
      <c r="AK789">
        <v>0.17020038938405446</v>
      </c>
      <c r="AL789">
        <v>0.134963510945592</v>
      </c>
      <c r="AM789">
        <v>7.4173399479630531E-2</v>
      </c>
      <c r="AN789">
        <v>0.25168799533355612</v>
      </c>
      <c r="AO789">
        <v>0.1469683173484746</v>
      </c>
      <c r="AR789">
        <v>8.1507721621455233E-4</v>
      </c>
      <c r="AS789">
        <v>4.3494155236809447E-3</v>
      </c>
      <c r="AT789">
        <v>9.8452598389278306E-2</v>
      </c>
      <c r="AU789">
        <v>1.9098055537646237E-3</v>
      </c>
      <c r="AV789">
        <v>2.1136724615199443E-3</v>
      </c>
      <c r="AW789">
        <v>3.3706732827950892E-3</v>
      </c>
      <c r="AX789">
        <v>4.094340207931868E-4</v>
      </c>
      <c r="AY789">
        <v>6.1711447617551762E-4</v>
      </c>
      <c r="BB789">
        <v>4.8509843154300014E-2</v>
      </c>
      <c r="BC789">
        <v>3.6538753380928851E-2</v>
      </c>
      <c r="BE789">
        <v>27751.748898059868</v>
      </c>
      <c r="BF789">
        <v>21.205441542933006</v>
      </c>
      <c r="BG789">
        <v>29361.515129131334</v>
      </c>
      <c r="BH789">
        <v>21.170381668588213</v>
      </c>
    </row>
    <row r="790" spans="3:60" x14ac:dyDescent="0.2">
      <c r="C790" s="138">
        <v>31580.794676825069</v>
      </c>
      <c r="D790">
        <v>21.299328628459733</v>
      </c>
      <c r="E790" s="138">
        <v>33969.311806776401</v>
      </c>
      <c r="F790" s="138">
        <v>21.339299964393039</v>
      </c>
      <c r="G790" s="138">
        <v>-2388.5171299513313</v>
      </c>
      <c r="H790" s="138">
        <v>-3.9971335933305596E-2</v>
      </c>
      <c r="N790" s="138"/>
      <c r="O790" s="138"/>
      <c r="P790" s="138"/>
      <c r="R790">
        <v>226.49154564143811</v>
      </c>
      <c r="S790">
        <v>65.134475790879975</v>
      </c>
      <c r="T790">
        <v>246.33180932566162</v>
      </c>
      <c r="U790">
        <v>87.789866623741815</v>
      </c>
      <c r="X790">
        <v>0.74812246317500641</v>
      </c>
      <c r="Y790">
        <v>0.59223154536642708</v>
      </c>
      <c r="Z790">
        <v>0.71831821636744286</v>
      </c>
      <c r="AA790">
        <v>0.76591701566792303</v>
      </c>
      <c r="AB790">
        <v>0.79878193582478252</v>
      </c>
      <c r="AC790">
        <v>0.64361510762317453</v>
      </c>
      <c r="AD790">
        <v>0.60777461772414798</v>
      </c>
      <c r="AE790">
        <v>0.77029607539326417</v>
      </c>
      <c r="AH790">
        <v>0.10773656091866024</v>
      </c>
      <c r="AI790">
        <v>0.22975368753779124</v>
      </c>
      <c r="AJ790">
        <v>9.9313847480698492E-2</v>
      </c>
      <c r="AK790">
        <v>0.37336035181295013</v>
      </c>
      <c r="AL790">
        <v>0.15453656826364215</v>
      </c>
      <c r="AM790">
        <v>6.2020316090102279E-3</v>
      </c>
      <c r="AN790">
        <v>7.6496452632684342E-2</v>
      </c>
      <c r="AO790">
        <v>0.19791700444607752</v>
      </c>
      <c r="AR790">
        <v>1.003119139353803E-3</v>
      </c>
      <c r="AS790">
        <v>4.4275516851075879E-3</v>
      </c>
      <c r="AT790">
        <v>0.10055782020496307</v>
      </c>
      <c r="AU790">
        <v>1.9904618839353583E-3</v>
      </c>
      <c r="AV790">
        <v>1.8837221826527944E-3</v>
      </c>
      <c r="AW790">
        <v>3.5816696227731759E-3</v>
      </c>
      <c r="AX790">
        <v>3.8359229313773428E-4</v>
      </c>
      <c r="AY790">
        <v>3.9797486276728963E-4</v>
      </c>
      <c r="BB790">
        <v>4.2062681034925026E-2</v>
      </c>
      <c r="BC790">
        <v>6.8439521323956809E-2</v>
      </c>
      <c r="BE790">
        <v>31580.794676825069</v>
      </c>
      <c r="BF790">
        <v>21.299328628459733</v>
      </c>
      <c r="BG790">
        <v>33969.311806776401</v>
      </c>
      <c r="BH790">
        <v>21.339299964393039</v>
      </c>
    </row>
    <row r="791" spans="3:60" x14ac:dyDescent="0.2">
      <c r="C791" s="138">
        <v>31971.411656779321</v>
      </c>
      <c r="D791">
        <v>20.842144579986787</v>
      </c>
      <c r="E791" s="138">
        <v>34241.190534359215</v>
      </c>
      <c r="F791" s="138">
        <v>20.799395677998604</v>
      </c>
      <c r="G791" s="138">
        <v>-2269.7788775798945</v>
      </c>
      <c r="H791" s="138">
        <v>4.2748901988183263E-2</v>
      </c>
      <c r="N791" s="138"/>
      <c r="O791" s="138"/>
      <c r="P791" s="138"/>
      <c r="R791">
        <v>170.18763151558906</v>
      </c>
      <c r="S791">
        <v>57.205862791912892</v>
      </c>
      <c r="T791">
        <v>239.78860823914795</v>
      </c>
      <c r="U791">
        <v>88.146202813761889</v>
      </c>
      <c r="X791">
        <v>0.95333567368105676</v>
      </c>
      <c r="Y791">
        <v>0.70832481423001248</v>
      </c>
      <c r="Z791">
        <v>0.80196336386877787</v>
      </c>
      <c r="AA791">
        <v>0.73538364493844943</v>
      </c>
      <c r="AB791">
        <v>0.74932833964051826</v>
      </c>
      <c r="AC791">
        <v>0.65982076831458503</v>
      </c>
      <c r="AD791">
        <v>0.65373232345776677</v>
      </c>
      <c r="AE791">
        <v>0.81080037857490694</v>
      </c>
      <c r="AH791">
        <v>0.15176428859887359</v>
      </c>
      <c r="AI791">
        <v>8.7191231463590313E-2</v>
      </c>
      <c r="AJ791">
        <v>0.23282226909563453</v>
      </c>
      <c r="AK791">
        <v>1.1326900734237033E-2</v>
      </c>
      <c r="AL791">
        <v>0.22066645776132765</v>
      </c>
      <c r="AM791">
        <v>5.7828733015400036E-2</v>
      </c>
      <c r="AN791">
        <v>0.15492039901669519</v>
      </c>
      <c r="AO791">
        <v>9.1730439186459067E-2</v>
      </c>
      <c r="AR791">
        <v>8.2875442765519209E-4</v>
      </c>
      <c r="AS791">
        <v>4.1848090604072359E-3</v>
      </c>
      <c r="AT791">
        <v>0.10100290286827285</v>
      </c>
      <c r="AU791">
        <v>2.4181994311536226E-3</v>
      </c>
      <c r="AV791">
        <v>2.1567368926866948E-3</v>
      </c>
      <c r="AW791">
        <v>3.3200598973060387E-3</v>
      </c>
      <c r="AX791">
        <v>4.6100103825230665E-4</v>
      </c>
      <c r="AY791">
        <v>5.4084398638776232E-4</v>
      </c>
      <c r="BB791">
        <v>5.0869517657558427E-2</v>
      </c>
      <c r="BC791">
        <v>2.3962331953961424E-2</v>
      </c>
      <c r="BE791">
        <v>31971.411656779321</v>
      </c>
      <c r="BF791">
        <v>20.842144579986787</v>
      </c>
      <c r="BG791">
        <v>34241.190534359215</v>
      </c>
      <c r="BH791">
        <v>20.799395677998604</v>
      </c>
    </row>
    <row r="792" spans="3:60" x14ac:dyDescent="0.2">
      <c r="C792" s="138">
        <v>30886.69990554158</v>
      </c>
      <c r="D792">
        <v>20.669961012077639</v>
      </c>
      <c r="E792" s="138">
        <v>32739.226081038873</v>
      </c>
      <c r="F792" s="138">
        <v>20.635211155100091</v>
      </c>
      <c r="G792" s="138">
        <v>-1852.5261754972926</v>
      </c>
      <c r="H792" s="138">
        <v>3.4749856977548177E-2</v>
      </c>
      <c r="N792" s="138"/>
      <c r="O792" s="138"/>
      <c r="P792" s="138"/>
      <c r="R792">
        <v>314.86867700113851</v>
      </c>
      <c r="S792">
        <v>51.748676549859304</v>
      </c>
      <c r="T792">
        <v>251.03799105626584</v>
      </c>
      <c r="U792">
        <v>108.76931546520821</v>
      </c>
      <c r="X792">
        <v>0.72088114445002693</v>
      </c>
      <c r="Y792">
        <v>0.57283389652133054</v>
      </c>
      <c r="Z792">
        <v>0.80621931184965967</v>
      </c>
      <c r="AA792">
        <v>0.74503962310155258</v>
      </c>
      <c r="AB792">
        <v>0.71963667324820668</v>
      </c>
      <c r="AC792">
        <v>0.58365872232577087</v>
      </c>
      <c r="AD792">
        <v>0.69364057123271883</v>
      </c>
      <c r="AE792">
        <v>0.72595478310312223</v>
      </c>
      <c r="AH792">
        <v>9.3974288939576711E-3</v>
      </c>
      <c r="AI792">
        <v>0.11935344655743585</v>
      </c>
      <c r="AJ792">
        <v>3.1179991194857704E-2</v>
      </c>
      <c r="AK792">
        <v>0.22712816051526996</v>
      </c>
      <c r="AL792">
        <v>5.6318172250131582E-2</v>
      </c>
      <c r="AM792">
        <v>3.6691507154632097E-2</v>
      </c>
      <c r="AN792">
        <v>8.8423377630370004E-2</v>
      </c>
      <c r="AO792">
        <v>6.9347697292368116E-2</v>
      </c>
      <c r="AR792">
        <v>8.7641500069008131E-4</v>
      </c>
      <c r="AS792">
        <v>4.374373445105501E-3</v>
      </c>
      <c r="AT792">
        <v>0.10034687257380159</v>
      </c>
      <c r="AU792">
        <v>2.0317101492184353E-3</v>
      </c>
      <c r="AV792">
        <v>1.9283426008643715E-3</v>
      </c>
      <c r="AW792">
        <v>3.5799358150438998E-3</v>
      </c>
      <c r="AX792">
        <v>3.6221153632963135E-4</v>
      </c>
      <c r="AY792">
        <v>4.0743538200136429E-4</v>
      </c>
      <c r="BB792">
        <v>5.5392635399558632E-2</v>
      </c>
      <c r="BC792">
        <v>0.11303977411843125</v>
      </c>
      <c r="BE792">
        <v>30886.69990554158</v>
      </c>
      <c r="BF792">
        <v>20.669961012077639</v>
      </c>
      <c r="BG792">
        <v>32739.226081038873</v>
      </c>
      <c r="BH792">
        <v>20.635211155100091</v>
      </c>
    </row>
    <row r="793" spans="3:60" x14ac:dyDescent="0.2">
      <c r="C793" s="138">
        <v>26976.554863865833</v>
      </c>
      <c r="D793">
        <v>20.909881097805876</v>
      </c>
      <c r="E793" s="138">
        <v>28953.350617397515</v>
      </c>
      <c r="F793" s="138">
        <v>20.883708409600981</v>
      </c>
      <c r="G793" s="138">
        <v>-1976.7957535316818</v>
      </c>
      <c r="H793" s="138">
        <v>2.6172688204894712E-2</v>
      </c>
      <c r="N793" s="138"/>
      <c r="O793" s="138"/>
      <c r="P793" s="138"/>
      <c r="R793">
        <v>263.74973663459053</v>
      </c>
      <c r="S793">
        <v>52.141189160436554</v>
      </c>
      <c r="T793">
        <v>268.36911551303973</v>
      </c>
      <c r="U793">
        <v>92.096676461471603</v>
      </c>
      <c r="X793">
        <v>0.80167970380789844</v>
      </c>
      <c r="Y793">
        <v>0.60920709250999705</v>
      </c>
      <c r="Z793">
        <v>0.67465941214654368</v>
      </c>
      <c r="AA793">
        <v>0.84993688756851593</v>
      </c>
      <c r="AB793">
        <v>0.80790717168744086</v>
      </c>
      <c r="AC793">
        <v>0.53420613946286721</v>
      </c>
      <c r="AD793">
        <v>0.93809110832709153</v>
      </c>
      <c r="AE793">
        <v>0.73412606924395674</v>
      </c>
      <c r="AH793">
        <v>0.15035767931090838</v>
      </c>
      <c r="AI793">
        <v>4.3415253459782144E-2</v>
      </c>
      <c r="AJ793">
        <v>0.1162227943842441</v>
      </c>
      <c r="AK793">
        <v>1.1998640519349291E-2</v>
      </c>
      <c r="AL793">
        <v>4.3421137852367786E-2</v>
      </c>
      <c r="AM793">
        <v>7.9397782537239392E-2</v>
      </c>
      <c r="AN793">
        <v>5.9672174321543259E-2</v>
      </c>
      <c r="AO793">
        <v>4.7576952212219137E-2</v>
      </c>
      <c r="AR793">
        <v>8.4209156632023626E-4</v>
      </c>
      <c r="AS793">
        <v>4.4103307531122614E-3</v>
      </c>
      <c r="AT793">
        <v>0.10076557055164437</v>
      </c>
      <c r="AU793">
        <v>1.8061240972054153E-3</v>
      </c>
      <c r="AV793">
        <v>1.9909277046865721E-3</v>
      </c>
      <c r="AW793">
        <v>3.1608228589290991E-3</v>
      </c>
      <c r="AX793">
        <v>4.2397814338723805E-4</v>
      </c>
      <c r="AY793">
        <v>5.0266991907621517E-4</v>
      </c>
      <c r="BB793">
        <v>5.1182865373707309E-2</v>
      </c>
      <c r="BC793">
        <v>3.502078439554248E-2</v>
      </c>
      <c r="BE793">
        <v>26976.554863865833</v>
      </c>
      <c r="BF793">
        <v>20.909881097805876</v>
      </c>
      <c r="BG793">
        <v>28953.350617397515</v>
      </c>
      <c r="BH793">
        <v>20.883708409600981</v>
      </c>
    </row>
    <row r="794" spans="3:60" x14ac:dyDescent="0.2">
      <c r="C794" s="138">
        <v>35065.674380058234</v>
      </c>
      <c r="D794">
        <v>20.217543027155845</v>
      </c>
      <c r="E794" s="138">
        <v>37552.306744415051</v>
      </c>
      <c r="F794" s="138">
        <v>20.159869292711903</v>
      </c>
      <c r="G794" s="138">
        <v>-2486.6323643568176</v>
      </c>
      <c r="H794" s="138">
        <v>5.7673734443941527E-2</v>
      </c>
      <c r="N794" s="138"/>
      <c r="O794" s="138"/>
      <c r="P794" s="138"/>
      <c r="R794">
        <v>358.91185131024969</v>
      </c>
      <c r="S794">
        <v>58.407908043681324</v>
      </c>
      <c r="T794">
        <v>271.69862095581504</v>
      </c>
      <c r="U794">
        <v>97.664427347963525</v>
      </c>
      <c r="X794">
        <v>0.71350842426134975</v>
      </c>
      <c r="Y794">
        <v>0.6847126744519566</v>
      </c>
      <c r="Z794">
        <v>0.90624157737874256</v>
      </c>
      <c r="AA794">
        <v>0.37459985786177746</v>
      </c>
      <c r="AB794">
        <v>0.68324211307744864</v>
      </c>
      <c r="AC794">
        <v>0.74450218010930003</v>
      </c>
      <c r="AD794">
        <v>0.9322317822212689</v>
      </c>
      <c r="AE794">
        <v>0.73837610723263469</v>
      </c>
      <c r="AH794">
        <v>0.10584090253260015</v>
      </c>
      <c r="AI794">
        <v>2.9360951159308035E-2</v>
      </c>
      <c r="AJ794">
        <v>0.14102736211223033</v>
      </c>
      <c r="AK794">
        <v>0.22603848669719406</v>
      </c>
      <c r="AL794">
        <v>9.8929224053791343E-2</v>
      </c>
      <c r="AM794">
        <v>0.33383971765344889</v>
      </c>
      <c r="AN794">
        <v>6.3257112624736656E-2</v>
      </c>
      <c r="AO794">
        <v>8.5255541889197484E-2</v>
      </c>
      <c r="AR794">
        <v>8.1704192389890704E-4</v>
      </c>
      <c r="AS794">
        <v>4.5247056629686977E-3</v>
      </c>
      <c r="AT794">
        <v>9.8527837689635647E-2</v>
      </c>
      <c r="AU794">
        <v>1.749520590672923E-3</v>
      </c>
      <c r="AV794">
        <v>1.9194384848611184E-3</v>
      </c>
      <c r="AW794">
        <v>3.3551396337959676E-3</v>
      </c>
      <c r="AX794">
        <v>3.2107058357300488E-4</v>
      </c>
      <c r="AY794">
        <v>5.8085034560328985E-4</v>
      </c>
      <c r="BB794">
        <v>4.9387663008938987E-2</v>
      </c>
      <c r="BC794">
        <v>7.5662847324737159E-2</v>
      </c>
      <c r="BE794">
        <v>35065.674380058234</v>
      </c>
      <c r="BF794">
        <v>20.217543027155845</v>
      </c>
      <c r="BG794">
        <v>37552.306744415051</v>
      </c>
      <c r="BH794">
        <v>20.159869292711903</v>
      </c>
    </row>
    <row r="795" spans="3:60" x14ac:dyDescent="0.2">
      <c r="C795" s="138">
        <v>26524.34942663398</v>
      </c>
      <c r="D795">
        <v>21.366396151066432</v>
      </c>
      <c r="E795" s="138">
        <v>28181.085941271456</v>
      </c>
      <c r="F795" s="138">
        <v>21.373955465250816</v>
      </c>
      <c r="G795" s="138">
        <v>-1656.7365146374759</v>
      </c>
      <c r="H795" s="138">
        <v>-7.5593141843839362E-3</v>
      </c>
      <c r="N795" s="138"/>
      <c r="O795" s="138"/>
      <c r="P795" s="138"/>
      <c r="R795">
        <v>215.96656952175499</v>
      </c>
      <c r="S795">
        <v>66.22421488650987</v>
      </c>
      <c r="T795">
        <v>260.53206839967748</v>
      </c>
      <c r="U795">
        <v>94.268540765162626</v>
      </c>
      <c r="X795">
        <v>0.68721387795135791</v>
      </c>
      <c r="Y795">
        <v>0.81927147720966342</v>
      </c>
      <c r="Z795">
        <v>0.55149550190052832</v>
      </c>
      <c r="AA795">
        <v>0.77838619926180419</v>
      </c>
      <c r="AB795">
        <v>0.5274790561850935</v>
      </c>
      <c r="AC795">
        <v>0.78701059786071204</v>
      </c>
      <c r="AD795">
        <v>0.57304902163700677</v>
      </c>
      <c r="AE795">
        <v>0.73326160621647685</v>
      </c>
      <c r="AH795">
        <v>0.25655059336873487</v>
      </c>
      <c r="AI795">
        <v>0.14743152774646617</v>
      </c>
      <c r="AJ795">
        <v>0.25090450057059932</v>
      </c>
      <c r="AK795">
        <v>7.3310573926668288E-2</v>
      </c>
      <c r="AL795">
        <v>0.10324553323713126</v>
      </c>
      <c r="AM795">
        <v>0.10406728684049948</v>
      </c>
      <c r="AN795">
        <v>3.6957160862525873E-2</v>
      </c>
      <c r="AO795">
        <v>7.6807472930484511E-2</v>
      </c>
      <c r="AR795">
        <v>8.3894615252812276E-4</v>
      </c>
      <c r="AS795">
        <v>4.3651650218600674E-3</v>
      </c>
      <c r="AT795">
        <v>9.839588835071425E-2</v>
      </c>
      <c r="AU795">
        <v>1.6820890873562378E-3</v>
      </c>
      <c r="AV795">
        <v>1.9131577384963582E-3</v>
      </c>
      <c r="AW795">
        <v>3.3612987906827129E-3</v>
      </c>
      <c r="AX795">
        <v>4.0465489678620514E-4</v>
      </c>
      <c r="AY795">
        <v>3.9285088081456265E-4</v>
      </c>
      <c r="BB795">
        <v>5.6621313899467673E-2</v>
      </c>
      <c r="BC795">
        <v>3.2701807280656213E-2</v>
      </c>
      <c r="BE795">
        <v>26524.34942663398</v>
      </c>
      <c r="BF795">
        <v>21.366396151066432</v>
      </c>
      <c r="BG795">
        <v>28181.085941271456</v>
      </c>
      <c r="BH795">
        <v>21.373955465250816</v>
      </c>
    </row>
    <row r="796" spans="3:60" x14ac:dyDescent="0.2">
      <c r="C796" s="138">
        <v>32267.652875050986</v>
      </c>
      <c r="D796">
        <v>21.321953100491008</v>
      </c>
      <c r="E796" s="138">
        <v>34091.539712614445</v>
      </c>
      <c r="F796" s="138">
        <v>21.299428593187386</v>
      </c>
      <c r="G796" s="138">
        <v>-1823.8868375634593</v>
      </c>
      <c r="H796" s="138">
        <v>2.2524507303621988E-2</v>
      </c>
      <c r="N796" s="138"/>
      <c r="O796" s="138"/>
      <c r="P796" s="138"/>
      <c r="R796">
        <v>489.42113342856408</v>
      </c>
      <c r="S796">
        <v>73.316943784895685</v>
      </c>
      <c r="T796">
        <v>266.23051260383914</v>
      </c>
      <c r="U796">
        <v>94.225944087054629</v>
      </c>
      <c r="X796">
        <v>0.81767959471447571</v>
      </c>
      <c r="Y796">
        <v>0.91202933823441634</v>
      </c>
      <c r="Z796">
        <v>0.8530909256108723</v>
      </c>
      <c r="AA796">
        <v>0.51726580769989849</v>
      </c>
      <c r="AB796">
        <v>0.85363312762399801</v>
      </c>
      <c r="AC796">
        <v>0.77379243715633017</v>
      </c>
      <c r="AD796">
        <v>0.81243882952491442</v>
      </c>
      <c r="AE796">
        <v>0.59946595486697429</v>
      </c>
      <c r="AH796">
        <v>5.8444647899529301E-2</v>
      </c>
      <c r="AI796">
        <v>0.20439414185652227</v>
      </c>
      <c r="AJ796">
        <v>1.9325471750351264E-2</v>
      </c>
      <c r="AK796">
        <v>8.3527322035778839E-2</v>
      </c>
      <c r="AL796">
        <v>8.6643084695491202E-2</v>
      </c>
      <c r="AM796">
        <v>0.15057139146936627</v>
      </c>
      <c r="AN796">
        <v>0.28844662990926917</v>
      </c>
      <c r="AO796">
        <v>0.16840599371572595</v>
      </c>
      <c r="AR796">
        <v>8.8010621917449059E-4</v>
      </c>
      <c r="AS796">
        <v>4.4251286184728861E-3</v>
      </c>
      <c r="AT796">
        <v>0.10101418362770187</v>
      </c>
      <c r="AU796">
        <v>2.3391601642622772E-3</v>
      </c>
      <c r="AV796">
        <v>1.9713947246562768E-3</v>
      </c>
      <c r="AW796">
        <v>3.4856756726654448E-3</v>
      </c>
      <c r="AX796">
        <v>3.5418620379978709E-4</v>
      </c>
      <c r="AY796">
        <v>5.3574725625138431E-4</v>
      </c>
      <c r="BB796">
        <v>4.5167232178501854E-2</v>
      </c>
      <c r="BC796">
        <v>2.5431978267956446E-2</v>
      </c>
      <c r="BE796">
        <v>32267.652875050986</v>
      </c>
      <c r="BF796">
        <v>21.321953100491008</v>
      </c>
      <c r="BG796">
        <v>34091.539712614445</v>
      </c>
      <c r="BH796">
        <v>21.299428593187386</v>
      </c>
    </row>
    <row r="797" spans="3:60" x14ac:dyDescent="0.2">
      <c r="C797" s="138">
        <v>34828.904471850947</v>
      </c>
      <c r="D797">
        <v>20.77252932278811</v>
      </c>
      <c r="E797" s="138">
        <v>37030.915917294929</v>
      </c>
      <c r="F797" s="138">
        <v>20.734075163062748</v>
      </c>
      <c r="G797" s="138">
        <v>-2202.0114454439827</v>
      </c>
      <c r="H797" s="138">
        <v>3.8454159725361592E-2</v>
      </c>
      <c r="N797" s="138"/>
      <c r="O797" s="138"/>
      <c r="P797" s="138"/>
      <c r="R797">
        <v>-25.334785420227774</v>
      </c>
      <c r="S797">
        <v>58.832422803728861</v>
      </c>
      <c r="T797">
        <v>258.10750080099371</v>
      </c>
      <c r="U797">
        <v>105.11116685171217</v>
      </c>
      <c r="X797">
        <v>0.88035742947025097</v>
      </c>
      <c r="Y797">
        <v>0.85317165495765201</v>
      </c>
      <c r="Z797">
        <v>0.82259859008740366</v>
      </c>
      <c r="AA797">
        <v>0.51388765656005553</v>
      </c>
      <c r="AB797">
        <v>0.88215982587602759</v>
      </c>
      <c r="AC797">
        <v>0.71782260907598749</v>
      </c>
      <c r="AD797">
        <v>0.83316510579459813</v>
      </c>
      <c r="AE797">
        <v>0.79624936223922749</v>
      </c>
      <c r="AH797">
        <v>0.27554904531664526</v>
      </c>
      <c r="AI797">
        <v>3.1614496652234703E-2</v>
      </c>
      <c r="AJ797">
        <v>0.40016136785071788</v>
      </c>
      <c r="AK797">
        <v>0.24402390773544991</v>
      </c>
      <c r="AL797">
        <v>1.9160967408939467E-2</v>
      </c>
      <c r="AM797">
        <v>5.0705567856648259E-2</v>
      </c>
      <c r="AN797">
        <v>0.13711091412505083</v>
      </c>
      <c r="AO797">
        <v>5.4561810914214415E-2</v>
      </c>
      <c r="AR797">
        <v>9.7549725415579935E-4</v>
      </c>
      <c r="AS797">
        <v>4.0488084595301588E-3</v>
      </c>
      <c r="AT797">
        <v>9.9720181265998117E-2</v>
      </c>
      <c r="AU797">
        <v>1.9001905683864956E-3</v>
      </c>
      <c r="AV797">
        <v>1.7811198817099048E-3</v>
      </c>
      <c r="AW797">
        <v>3.4698914301266592E-3</v>
      </c>
      <c r="AX797">
        <v>5.576752239235816E-4</v>
      </c>
      <c r="AY797">
        <v>3.9390733486753727E-4</v>
      </c>
      <c r="BB797">
        <v>5.3388262872383629E-2</v>
      </c>
      <c r="BC797">
        <v>4.6850916557814704E-2</v>
      </c>
      <c r="BE797">
        <v>34828.904471850947</v>
      </c>
      <c r="BF797">
        <v>20.77252932278811</v>
      </c>
      <c r="BG797">
        <v>37030.915917294929</v>
      </c>
      <c r="BH797">
        <v>20.734075163062748</v>
      </c>
    </row>
    <row r="798" spans="3:60" x14ac:dyDescent="0.2">
      <c r="C798" s="138">
        <v>34205.591322715853</v>
      </c>
      <c r="D798">
        <v>21.078833217173905</v>
      </c>
      <c r="E798" s="138">
        <v>36394.3712776908</v>
      </c>
      <c r="F798" s="138">
        <v>21.082892915676684</v>
      </c>
      <c r="G798" s="138">
        <v>-2188.779954974947</v>
      </c>
      <c r="H798" s="138">
        <v>-4.0596985027789856E-3</v>
      </c>
      <c r="N798" s="138"/>
      <c r="O798" s="138"/>
      <c r="P798" s="138"/>
      <c r="R798">
        <v>323.99798437842969</v>
      </c>
      <c r="S798">
        <v>64.024955517622089</v>
      </c>
      <c r="T798">
        <v>277.88919273470975</v>
      </c>
      <c r="U798">
        <v>77.207555348666716</v>
      </c>
      <c r="X798">
        <v>0.91895439227094966</v>
      </c>
      <c r="Y798">
        <v>0.88586956787884574</v>
      </c>
      <c r="Z798">
        <v>0.84442195388734931</v>
      </c>
      <c r="AA798">
        <v>0.51435184068199202</v>
      </c>
      <c r="AB798">
        <v>0.78211775201434008</v>
      </c>
      <c r="AC798">
        <v>0.68723662081567494</v>
      </c>
      <c r="AD798">
        <v>0.65394887479460118</v>
      </c>
      <c r="AE798">
        <v>0.67800667946362181</v>
      </c>
      <c r="AH798">
        <v>0.10028301716628829</v>
      </c>
      <c r="AI798">
        <v>0.23439686981165742</v>
      </c>
      <c r="AJ798">
        <v>8.3009340801799114E-2</v>
      </c>
      <c r="AK798">
        <v>0.1369696845558086</v>
      </c>
      <c r="AL798">
        <v>6.3386889971811744E-2</v>
      </c>
      <c r="AM798">
        <v>0.16016203793032802</v>
      </c>
      <c r="AN798">
        <v>0.15823550025278443</v>
      </c>
      <c r="AO798">
        <v>0.26951346969453327</v>
      </c>
      <c r="AR798">
        <v>8.8058671909789661E-4</v>
      </c>
      <c r="AS798">
        <v>4.2388886802963996E-3</v>
      </c>
      <c r="AT798">
        <v>9.9495994272274541E-2</v>
      </c>
      <c r="AU798">
        <v>2.1325685310510378E-3</v>
      </c>
      <c r="AV798">
        <v>2.1146729809264908E-3</v>
      </c>
      <c r="AW798">
        <v>3.3564550767811972E-3</v>
      </c>
      <c r="AX798">
        <v>3.6072808345057451E-4</v>
      </c>
      <c r="AY798">
        <v>5.6537374267484619E-4</v>
      </c>
      <c r="BB798">
        <v>5.0624436499935643E-2</v>
      </c>
      <c r="BC798">
        <v>8.0606212232227747E-2</v>
      </c>
      <c r="BE798">
        <v>34205.591322715853</v>
      </c>
      <c r="BF798">
        <v>21.078833217173905</v>
      </c>
      <c r="BG798">
        <v>36394.3712776908</v>
      </c>
      <c r="BH798">
        <v>21.082892915676684</v>
      </c>
    </row>
    <row r="799" spans="3:60" x14ac:dyDescent="0.2">
      <c r="C799" s="138">
        <v>26462.01282332751</v>
      </c>
      <c r="D799">
        <v>21.178283489437607</v>
      </c>
      <c r="E799" s="138">
        <v>28813.623869691855</v>
      </c>
      <c r="F799" s="138">
        <v>21.185130615761324</v>
      </c>
      <c r="G799" s="138">
        <v>-2351.6110463643454</v>
      </c>
      <c r="H799" s="138">
        <v>-6.8471263237164237E-3</v>
      </c>
      <c r="N799" s="138"/>
      <c r="O799" s="138"/>
      <c r="P799" s="138"/>
      <c r="R799">
        <v>83.866815776717999</v>
      </c>
      <c r="S799">
        <v>67.894109589227938</v>
      </c>
      <c r="T799">
        <v>250.06162808586578</v>
      </c>
      <c r="U799">
        <v>92.958739432125171</v>
      </c>
      <c r="X799">
        <v>0.81122882231528404</v>
      </c>
      <c r="Y799">
        <v>0.76099644824337676</v>
      </c>
      <c r="Z799">
        <v>0.7361088274245603</v>
      </c>
      <c r="AA799">
        <v>0.6445262234810093</v>
      </c>
      <c r="AB799">
        <v>0.83889096813730846</v>
      </c>
      <c r="AC799">
        <v>0.69586635250934692</v>
      </c>
      <c r="AD799">
        <v>0.69480802502542138</v>
      </c>
      <c r="AE799">
        <v>0.60888062202014015</v>
      </c>
      <c r="AH799">
        <v>8.5351329030610712E-2</v>
      </c>
      <c r="AI799">
        <v>0.11256841247147031</v>
      </c>
      <c r="AJ799">
        <v>0.15914254407675321</v>
      </c>
      <c r="AK799">
        <v>0.11224409914817868</v>
      </c>
      <c r="AL799">
        <v>0.32390503556471795</v>
      </c>
      <c r="AM799">
        <v>0.10590625921629582</v>
      </c>
      <c r="AN799">
        <v>0.18809843897389522</v>
      </c>
      <c r="AO799">
        <v>1.8531060998209226E-2</v>
      </c>
      <c r="AR799">
        <v>1.0280315973625331E-3</v>
      </c>
      <c r="AS799">
        <v>4.5825058401010033E-3</v>
      </c>
      <c r="AT799">
        <v>9.9321756230009259E-2</v>
      </c>
      <c r="AU799">
        <v>1.9513968327944701E-3</v>
      </c>
      <c r="AV799">
        <v>2.026413294464624E-3</v>
      </c>
      <c r="AW799">
        <v>3.2823297926204433E-3</v>
      </c>
      <c r="AX799">
        <v>3.4246593814571619E-4</v>
      </c>
      <c r="AY799">
        <v>5.3880958502339205E-4</v>
      </c>
      <c r="BB799">
        <v>4.9915865429234874E-2</v>
      </c>
      <c r="BC799">
        <v>5.0567355132918879E-2</v>
      </c>
      <c r="BE799">
        <v>26462.01282332751</v>
      </c>
      <c r="BF799">
        <v>21.178283489437607</v>
      </c>
      <c r="BG799">
        <v>28813.623869691855</v>
      </c>
      <c r="BH799">
        <v>21.185130615761324</v>
      </c>
    </row>
    <row r="800" spans="3:60" x14ac:dyDescent="0.2">
      <c r="C800" s="138">
        <v>34396.369993539971</v>
      </c>
      <c r="D800">
        <v>20.852712044773622</v>
      </c>
      <c r="E800" s="138">
        <v>36365.191306456785</v>
      </c>
      <c r="F800" s="138">
        <v>20.843263936266066</v>
      </c>
      <c r="G800" s="138">
        <v>-1968.8213129168143</v>
      </c>
      <c r="H800" s="138">
        <v>9.4481085075557303E-3</v>
      </c>
      <c r="N800" s="138"/>
      <c r="O800" s="138"/>
      <c r="P800" s="138"/>
      <c r="R800">
        <v>334.19810796847412</v>
      </c>
      <c r="S800">
        <v>67.774931785955218</v>
      </c>
      <c r="T800">
        <v>276.00990770721467</v>
      </c>
      <c r="U800">
        <v>94.815061104298081</v>
      </c>
      <c r="X800">
        <v>0.8870495376877362</v>
      </c>
      <c r="Y800">
        <v>0.76644748353147174</v>
      </c>
      <c r="Z800">
        <v>0.6474861526700213</v>
      </c>
      <c r="AA800">
        <v>0.85745192818631177</v>
      </c>
      <c r="AB800">
        <v>0.8419499655839191</v>
      </c>
      <c r="AC800">
        <v>0.92883106814107974</v>
      </c>
      <c r="AD800">
        <v>0.7236342227493171</v>
      </c>
      <c r="AE800">
        <v>0.81588493681269791</v>
      </c>
      <c r="AH800">
        <v>0.21947380276887585</v>
      </c>
      <c r="AI800">
        <v>2.1257941805866043E-2</v>
      </c>
      <c r="AJ800">
        <v>0.27309689535790804</v>
      </c>
      <c r="AK800">
        <v>0.1471565623203247</v>
      </c>
      <c r="AL800">
        <v>8.4869280534346725E-2</v>
      </c>
      <c r="AM800">
        <v>0.29428188409592559</v>
      </c>
      <c r="AN800">
        <v>0.26549789598483298</v>
      </c>
      <c r="AO800">
        <v>6.5536576062671159E-2</v>
      </c>
      <c r="AR800">
        <v>8.0039177918192906E-4</v>
      </c>
      <c r="AS800">
        <v>4.6515641219629922E-3</v>
      </c>
      <c r="AT800">
        <v>9.9673463597173967E-2</v>
      </c>
      <c r="AU800">
        <v>1.907865205618518E-3</v>
      </c>
      <c r="AV800">
        <v>1.9756399047410242E-3</v>
      </c>
      <c r="AW800">
        <v>3.4377194694035218E-3</v>
      </c>
      <c r="AX800">
        <v>2.9460438695782989E-4</v>
      </c>
      <c r="AY800">
        <v>3.8169540490479289E-4</v>
      </c>
      <c r="BB800">
        <v>4.9399986908304487E-2</v>
      </c>
      <c r="BC800">
        <v>3.1872675278611831E-2</v>
      </c>
      <c r="BE800">
        <v>34396.369993539971</v>
      </c>
      <c r="BF800">
        <v>20.852712044773622</v>
      </c>
      <c r="BG800">
        <v>36365.191306456785</v>
      </c>
      <c r="BH800">
        <v>20.843263936266066</v>
      </c>
    </row>
    <row r="801" spans="3:60" x14ac:dyDescent="0.2">
      <c r="C801" s="138">
        <v>26721.171706916477</v>
      </c>
      <c r="D801">
        <v>20.983130272899384</v>
      </c>
      <c r="E801" s="138">
        <v>28659.303157674742</v>
      </c>
      <c r="F801" s="138">
        <v>20.973243890051677</v>
      </c>
      <c r="G801" s="138">
        <v>-1938.1314507582647</v>
      </c>
      <c r="H801" s="138">
        <v>9.8863828477071536E-3</v>
      </c>
      <c r="N801" s="138"/>
      <c r="O801" s="138"/>
      <c r="P801" s="138"/>
      <c r="R801">
        <v>141.77992849566618</v>
      </c>
      <c r="S801">
        <v>56.581768942595239</v>
      </c>
      <c r="T801">
        <v>248.01853803868357</v>
      </c>
      <c r="U801">
        <v>87.556991262626724</v>
      </c>
      <c r="X801">
        <v>0.88735139222657278</v>
      </c>
      <c r="Y801">
        <v>0.35454692674250554</v>
      </c>
      <c r="Z801">
        <v>0.4882738059144659</v>
      </c>
      <c r="AA801">
        <v>0.58366505647280342</v>
      </c>
      <c r="AB801">
        <v>0.89602522216673297</v>
      </c>
      <c r="AC801">
        <v>0.70582646234081925</v>
      </c>
      <c r="AD801">
        <v>0.84644956735924981</v>
      </c>
      <c r="AE801">
        <v>0.88806963428782248</v>
      </c>
      <c r="AH801">
        <v>0.23492777940667287</v>
      </c>
      <c r="AI801">
        <v>1.7695026251679735E-2</v>
      </c>
      <c r="AJ801">
        <v>8.9326427315736145E-2</v>
      </c>
      <c r="AK801">
        <v>0.18196637602853905</v>
      </c>
      <c r="AL801">
        <v>0.26961596926745357</v>
      </c>
      <c r="AM801">
        <v>0.23479389525057892</v>
      </c>
      <c r="AN801">
        <v>0.15128432523569935</v>
      </c>
      <c r="AO801">
        <v>0.24127422944685717</v>
      </c>
      <c r="AR801">
        <v>8.5339450922868813E-4</v>
      </c>
      <c r="AS801">
        <v>4.5173270867172599E-3</v>
      </c>
      <c r="AT801">
        <v>0.10150071913436975</v>
      </c>
      <c r="AU801">
        <v>2.0247773255853696E-3</v>
      </c>
      <c r="AV801">
        <v>2.0867419411056964E-3</v>
      </c>
      <c r="AW801">
        <v>3.366269782122277E-3</v>
      </c>
      <c r="AX801">
        <v>3.0093741700919701E-4</v>
      </c>
      <c r="AY801">
        <v>4.7880961322055438E-4</v>
      </c>
      <c r="BB801">
        <v>5.1224112564256297E-2</v>
      </c>
      <c r="BC801">
        <v>3.1141352328820718E-2</v>
      </c>
      <c r="BE801">
        <v>26721.171706916477</v>
      </c>
      <c r="BF801">
        <v>20.983130272899384</v>
      </c>
      <c r="BG801">
        <v>28659.303157674742</v>
      </c>
      <c r="BH801">
        <v>20.973243890051677</v>
      </c>
    </row>
    <row r="802" spans="3:60" x14ac:dyDescent="0.2">
      <c r="C802" s="138">
        <v>30782.226033142546</v>
      </c>
      <c r="D802">
        <v>20.95847598613749</v>
      </c>
      <c r="E802" s="138">
        <v>32359.312220266798</v>
      </c>
      <c r="F802" s="138">
        <v>20.924059741300365</v>
      </c>
      <c r="G802" s="138">
        <v>-1577.0861871242523</v>
      </c>
      <c r="H802" s="138">
        <v>3.4416244837125021E-2</v>
      </c>
      <c r="N802" s="138"/>
      <c r="O802" s="138"/>
      <c r="P802" s="138"/>
      <c r="R802">
        <v>476.86094544915181</v>
      </c>
      <c r="S802">
        <v>76.01952739274941</v>
      </c>
      <c r="T802">
        <v>212.25475914634976</v>
      </c>
      <c r="U802">
        <v>106.94667324977837</v>
      </c>
      <c r="X802">
        <v>0.87397555838485708</v>
      </c>
      <c r="Y802">
        <v>0.71239316184184331</v>
      </c>
      <c r="Z802">
        <v>0.85558585292332934</v>
      </c>
      <c r="AA802">
        <v>0.72685803652351166</v>
      </c>
      <c r="AB802">
        <v>0.67651041056780281</v>
      </c>
      <c r="AC802">
        <v>0.52507693726080273</v>
      </c>
      <c r="AD802">
        <v>0.90382232532879359</v>
      </c>
      <c r="AE802">
        <v>0.96248433227183439</v>
      </c>
      <c r="AH802">
        <v>9.9666044534594933E-2</v>
      </c>
      <c r="AI802">
        <v>6.0365533693127027E-2</v>
      </c>
      <c r="AJ802">
        <v>0.12567494874517626</v>
      </c>
      <c r="AK802">
        <v>0.109110472409088</v>
      </c>
      <c r="AL802">
        <v>8.1583462252172723E-2</v>
      </c>
      <c r="AM802">
        <v>4.4874727952894822E-2</v>
      </c>
      <c r="AN802">
        <v>0.1919508442913751</v>
      </c>
      <c r="AO802">
        <v>0.14607455312264639</v>
      </c>
      <c r="AR802">
        <v>8.2001764114848102E-4</v>
      </c>
      <c r="AS802">
        <v>4.6563616245718364E-3</v>
      </c>
      <c r="AT802">
        <v>9.9359305931379857E-2</v>
      </c>
      <c r="AU802">
        <v>2.0727529345694329E-3</v>
      </c>
      <c r="AV802">
        <v>1.7358545733631968E-3</v>
      </c>
      <c r="AW802">
        <v>3.3753985693488883E-3</v>
      </c>
      <c r="AX802">
        <v>2.9621343024461015E-4</v>
      </c>
      <c r="AY802">
        <v>5.3797881170114525E-4</v>
      </c>
      <c r="BB802">
        <v>4.9280034247155539E-2</v>
      </c>
      <c r="BC802">
        <v>8.2720276062715037E-2</v>
      </c>
      <c r="BE802">
        <v>30782.226033142546</v>
      </c>
      <c r="BF802">
        <v>20.95847598613749</v>
      </c>
      <c r="BG802">
        <v>32359.312220266798</v>
      </c>
      <c r="BH802">
        <v>20.924059741300365</v>
      </c>
    </row>
    <row r="803" spans="3:60" x14ac:dyDescent="0.2">
      <c r="C803" s="138">
        <v>26445.430447638329</v>
      </c>
      <c r="D803">
        <v>21.568656458091144</v>
      </c>
      <c r="E803" s="138">
        <v>28663.494501351161</v>
      </c>
      <c r="F803" s="138">
        <v>21.558595265898024</v>
      </c>
      <c r="G803" s="138">
        <v>-2218.0640537128311</v>
      </c>
      <c r="H803" s="138">
        <v>1.0061192193120405E-2</v>
      </c>
      <c r="N803" s="138"/>
      <c r="O803" s="138"/>
      <c r="P803" s="138"/>
      <c r="R803">
        <v>242.52535601881505</v>
      </c>
      <c r="S803">
        <v>67.923087511212074</v>
      </c>
      <c r="T803">
        <v>282.18057060758997</v>
      </c>
      <c r="U803">
        <v>88.419598659096152</v>
      </c>
      <c r="X803">
        <v>0.56204628197815887</v>
      </c>
      <c r="Y803">
        <v>0.77384359836354433</v>
      </c>
      <c r="Z803">
        <v>0.79508841610901904</v>
      </c>
      <c r="AA803">
        <v>0.85685594906336737</v>
      </c>
      <c r="AB803">
        <v>0.85618351196549713</v>
      </c>
      <c r="AC803">
        <v>0.87867813447775611</v>
      </c>
      <c r="AD803">
        <v>0.92478397473413909</v>
      </c>
      <c r="AE803">
        <v>0.80782613511847623</v>
      </c>
      <c r="AH803">
        <v>3.8451917172588779E-2</v>
      </c>
      <c r="AI803">
        <v>0.22258419005968744</v>
      </c>
      <c r="AJ803">
        <v>1.2078990944394796E-2</v>
      </c>
      <c r="AK803">
        <v>0.19111830641871219</v>
      </c>
      <c r="AL803">
        <v>0.12667003648540365</v>
      </c>
      <c r="AM803">
        <v>0.19353748530019277</v>
      </c>
      <c r="AN803">
        <v>5.5485434764295127E-2</v>
      </c>
      <c r="AO803">
        <v>0.20889722950031464</v>
      </c>
      <c r="AR803">
        <v>9.139590163930178E-4</v>
      </c>
      <c r="AS803">
        <v>4.2102618224261279E-3</v>
      </c>
      <c r="AT803">
        <v>0.10070612584783545</v>
      </c>
      <c r="AU803">
        <v>2.1639442595786651E-3</v>
      </c>
      <c r="AV803">
        <v>2.0469112391406918E-3</v>
      </c>
      <c r="AW803">
        <v>3.2448990964495834E-3</v>
      </c>
      <c r="AX803">
        <v>4.3115052900566386E-4</v>
      </c>
      <c r="AY803">
        <v>4.5235124125198034E-4</v>
      </c>
      <c r="BB803">
        <v>5.4717861440901738E-2</v>
      </c>
      <c r="BC803">
        <v>3.3503479430262682E-2</v>
      </c>
      <c r="BE803">
        <v>26445.430447638329</v>
      </c>
      <c r="BF803">
        <v>21.568656458091144</v>
      </c>
      <c r="BG803">
        <v>28663.494501351161</v>
      </c>
      <c r="BH803">
        <v>21.558595265898024</v>
      </c>
    </row>
    <row r="804" spans="3:60" x14ac:dyDescent="0.2">
      <c r="C804" s="138">
        <v>29546.168316647858</v>
      </c>
      <c r="D804">
        <v>20.470910517286029</v>
      </c>
      <c r="E804" s="138">
        <v>31701.502405890522</v>
      </c>
      <c r="F804" s="138">
        <v>20.412479360520702</v>
      </c>
      <c r="G804" s="138">
        <v>-2155.334089242664</v>
      </c>
      <c r="H804" s="138">
        <v>5.843115676532662E-2</v>
      </c>
      <c r="N804" s="138"/>
      <c r="O804" s="138"/>
      <c r="P804" s="138"/>
      <c r="R804">
        <v>201.75981840294776</v>
      </c>
      <c r="S804">
        <v>53.53712548447637</v>
      </c>
      <c r="T804">
        <v>272.02642697181693</v>
      </c>
      <c r="U804">
        <v>96.253052016445892</v>
      </c>
      <c r="X804">
        <v>0.65577547472181674</v>
      </c>
      <c r="Y804">
        <v>0.86713723459267644</v>
      </c>
      <c r="Z804">
        <v>0.62842335585012532</v>
      </c>
      <c r="AA804">
        <v>0.56626049132673539</v>
      </c>
      <c r="AB804">
        <v>0.87324634682642732</v>
      </c>
      <c r="AC804">
        <v>0.67891222619056424</v>
      </c>
      <c r="AD804">
        <v>0.87058186678424399</v>
      </c>
      <c r="AE804">
        <v>0.66985064881619305</v>
      </c>
      <c r="AH804">
        <v>5.261888589067798E-2</v>
      </c>
      <c r="AI804">
        <v>0.11046352003818338</v>
      </c>
      <c r="AJ804">
        <v>0.16494008229931711</v>
      </c>
      <c r="AK804">
        <v>0.15910708219074554</v>
      </c>
      <c r="AL804">
        <v>0.16468473706788755</v>
      </c>
      <c r="AM804">
        <v>4.375584625716944E-2</v>
      </c>
      <c r="AN804">
        <v>0.14263542267620621</v>
      </c>
      <c r="AO804">
        <v>0.33752708327161174</v>
      </c>
      <c r="AR804">
        <v>8.2607712010425731E-4</v>
      </c>
      <c r="AS804">
        <v>4.3946794710066428E-3</v>
      </c>
      <c r="AT804">
        <v>0.10145267779448497</v>
      </c>
      <c r="AU804">
        <v>2.0507700136133122E-3</v>
      </c>
      <c r="AV804">
        <v>1.9951542825705141E-3</v>
      </c>
      <c r="AW804">
        <v>3.3551911539266596E-3</v>
      </c>
      <c r="AX804">
        <v>3.7818212782876381E-4</v>
      </c>
      <c r="AY804">
        <v>3.4068195805523802E-4</v>
      </c>
      <c r="BB804">
        <v>5.413758291019799E-2</v>
      </c>
      <c r="BC804">
        <v>3.6464964141242388E-2</v>
      </c>
      <c r="BE804">
        <v>29546.168316647858</v>
      </c>
      <c r="BF804">
        <v>20.470910517286029</v>
      </c>
      <c r="BG804">
        <v>31701.502405890522</v>
      </c>
      <c r="BH804">
        <v>20.412479360520702</v>
      </c>
    </row>
    <row r="805" spans="3:60" x14ac:dyDescent="0.2">
      <c r="C805" s="138">
        <v>29718.699503756085</v>
      </c>
      <c r="D805">
        <v>20.971197741418429</v>
      </c>
      <c r="E805" s="138">
        <v>31779.836413285961</v>
      </c>
      <c r="F805" s="138">
        <v>20.946381894885565</v>
      </c>
      <c r="G805" s="138">
        <v>-2061.136909529876</v>
      </c>
      <c r="H805" s="138">
        <v>2.4815846532863617E-2</v>
      </c>
      <c r="N805" s="138"/>
      <c r="O805" s="138"/>
      <c r="P805" s="138"/>
      <c r="R805">
        <v>335.04268476159211</v>
      </c>
      <c r="S805">
        <v>65.955429920723006</v>
      </c>
      <c r="T805">
        <v>223.71267727944311</v>
      </c>
      <c r="U805">
        <v>101.99560085650626</v>
      </c>
      <c r="X805">
        <v>0.89698969076130841</v>
      </c>
      <c r="Y805">
        <v>0.7366194975789746</v>
      </c>
      <c r="Z805">
        <v>0.83584505021719024</v>
      </c>
      <c r="AA805">
        <v>0.81355170667477583</v>
      </c>
      <c r="AB805">
        <v>0.75897988229228408</v>
      </c>
      <c r="AC805">
        <v>0.84278393097532034</v>
      </c>
      <c r="AD805">
        <v>0.77683078991583476</v>
      </c>
      <c r="AE805">
        <v>0.67603953330709377</v>
      </c>
      <c r="AH805">
        <v>0.37150927932258249</v>
      </c>
      <c r="AI805">
        <v>8.6909402014590631E-2</v>
      </c>
      <c r="AJ805">
        <v>0.20251460992043446</v>
      </c>
      <c r="AK805">
        <v>4.5827954477100197E-2</v>
      </c>
      <c r="AL805">
        <v>0.15017060380677349</v>
      </c>
      <c r="AM805">
        <v>6.4487183049325547E-2</v>
      </c>
      <c r="AN805">
        <v>0.12404663765912749</v>
      </c>
      <c r="AO805">
        <v>3.7998453795813125E-2</v>
      </c>
      <c r="AR805">
        <v>1.0829916615394675E-3</v>
      </c>
      <c r="AS805">
        <v>4.6154561692124396E-3</v>
      </c>
      <c r="AT805">
        <v>9.8953536882767493E-2</v>
      </c>
      <c r="AU805">
        <v>1.9414920024335466E-3</v>
      </c>
      <c r="AV805">
        <v>1.8207448926266369E-3</v>
      </c>
      <c r="AW805">
        <v>3.3350314050671192E-3</v>
      </c>
      <c r="AX805">
        <v>5.0587065507967655E-4</v>
      </c>
      <c r="AY805">
        <v>4.1094169106060713E-4</v>
      </c>
      <c r="BB805">
        <v>4.5147116239426847E-2</v>
      </c>
      <c r="BC805">
        <v>7.2773787481349439E-2</v>
      </c>
      <c r="BE805">
        <v>29718.699503756085</v>
      </c>
      <c r="BF805">
        <v>20.971197741418429</v>
      </c>
      <c r="BG805">
        <v>31779.836413285961</v>
      </c>
      <c r="BH805">
        <v>20.946381894885565</v>
      </c>
    </row>
    <row r="806" spans="3:60" x14ac:dyDescent="0.2">
      <c r="C806" s="138">
        <v>30445.503316764265</v>
      </c>
      <c r="D806">
        <v>20.677794070746561</v>
      </c>
      <c r="E806" s="138">
        <v>32396.046150949234</v>
      </c>
      <c r="F806" s="138">
        <v>20.668261592216563</v>
      </c>
      <c r="G806" s="138">
        <v>-1950.5428341849693</v>
      </c>
      <c r="H806" s="138">
        <v>9.5324785299979453E-3</v>
      </c>
      <c r="N806" s="138"/>
      <c r="O806" s="138"/>
      <c r="P806" s="138"/>
      <c r="R806">
        <v>345.31901176361549</v>
      </c>
      <c r="S806">
        <v>68.69530427471642</v>
      </c>
      <c r="T806">
        <v>259.47005174253883</v>
      </c>
      <c r="U806">
        <v>94.149424410114946</v>
      </c>
      <c r="X806">
        <v>0.54071510755807095</v>
      </c>
      <c r="Y806">
        <v>0.63618527878212339</v>
      </c>
      <c r="Z806">
        <v>0.80430890129291743</v>
      </c>
      <c r="AA806">
        <v>0.77106733965846241</v>
      </c>
      <c r="AB806">
        <v>0.62115303022363622</v>
      </c>
      <c r="AC806">
        <v>0.81510199565398178</v>
      </c>
      <c r="AD806">
        <v>0.78391465520582759</v>
      </c>
      <c r="AE806">
        <v>0.93062641956231729</v>
      </c>
      <c r="AH806">
        <v>0.14206594237573766</v>
      </c>
      <c r="AI806">
        <v>0.23798002693230269</v>
      </c>
      <c r="AJ806">
        <v>8.9296596787821869E-2</v>
      </c>
      <c r="AK806">
        <v>0.1024216939667284</v>
      </c>
      <c r="AL806">
        <v>0.29457020468035877</v>
      </c>
      <c r="AM806">
        <v>7.2560422002455383E-2</v>
      </c>
      <c r="AN806">
        <v>0.12416731023793903</v>
      </c>
      <c r="AO806">
        <v>7.6920543691648247E-2</v>
      </c>
      <c r="AR806">
        <v>8.9919255648163166E-4</v>
      </c>
      <c r="AS806">
        <v>4.5819526149102341E-3</v>
      </c>
      <c r="AT806">
        <v>9.9417790546122362E-2</v>
      </c>
      <c r="AU806">
        <v>1.9198521730825592E-3</v>
      </c>
      <c r="AV806">
        <v>2.0045000995776441E-3</v>
      </c>
      <c r="AW806">
        <v>3.5779077075975829E-3</v>
      </c>
      <c r="AX806">
        <v>4.0613417661061746E-4</v>
      </c>
      <c r="AY806">
        <v>4.8890227035958134E-4</v>
      </c>
      <c r="BB806">
        <v>4.2275387541751051E-2</v>
      </c>
      <c r="BC806">
        <v>2.3954765407719611E-2</v>
      </c>
      <c r="BE806">
        <v>30445.503316764265</v>
      </c>
      <c r="BF806">
        <v>20.677794070746561</v>
      </c>
      <c r="BG806">
        <v>32396.046150949234</v>
      </c>
      <c r="BH806">
        <v>20.668261592216563</v>
      </c>
    </row>
    <row r="807" spans="3:60" x14ac:dyDescent="0.2">
      <c r="C807" s="138">
        <v>27938.306275567338</v>
      </c>
      <c r="D807">
        <v>21.212454087023314</v>
      </c>
      <c r="E807" s="138">
        <v>29842.815295953929</v>
      </c>
      <c r="F807" s="138">
        <v>21.186091376981381</v>
      </c>
      <c r="G807" s="138">
        <v>-1904.5090203865911</v>
      </c>
      <c r="H807" s="138">
        <v>2.6362710041933468E-2</v>
      </c>
      <c r="N807" s="138"/>
      <c r="O807" s="138"/>
      <c r="P807" s="138"/>
      <c r="R807">
        <v>318.54275737375389</v>
      </c>
      <c r="S807">
        <v>59.429290973964726</v>
      </c>
      <c r="T807">
        <v>283.50510282215316</v>
      </c>
      <c r="U807">
        <v>104.27722924593513</v>
      </c>
      <c r="X807">
        <v>0.78130081293592102</v>
      </c>
      <c r="Y807">
        <v>0.93408977549094319</v>
      </c>
      <c r="Z807">
        <v>0.80041471701136091</v>
      </c>
      <c r="AA807">
        <v>0.66448492732298803</v>
      </c>
      <c r="AB807">
        <v>0.64122979888735177</v>
      </c>
      <c r="AC807">
        <v>0.74606752573366952</v>
      </c>
      <c r="AD807">
        <v>0.64394447789480891</v>
      </c>
      <c r="AE807">
        <v>0.47826207247722141</v>
      </c>
      <c r="AH807">
        <v>2.9793024077354069E-2</v>
      </c>
      <c r="AI807">
        <v>0.20555507212670954</v>
      </c>
      <c r="AJ807">
        <v>0.34378652190581105</v>
      </c>
      <c r="AK807">
        <v>0.36479157938886575</v>
      </c>
      <c r="AL807">
        <v>9.9242822114973039E-2</v>
      </c>
      <c r="AM807">
        <v>0.11273768956602137</v>
      </c>
      <c r="AN807">
        <v>8.5026164222662404E-2</v>
      </c>
      <c r="AO807">
        <v>0.1078188316932589</v>
      </c>
      <c r="AR807">
        <v>7.9750352385538309E-4</v>
      </c>
      <c r="AS807">
        <v>4.614027528325515E-3</v>
      </c>
      <c r="AT807">
        <v>0.10029127687501649</v>
      </c>
      <c r="AU807">
        <v>2.2629651697958497E-3</v>
      </c>
      <c r="AV807">
        <v>1.8519846839082168E-3</v>
      </c>
      <c r="AW807">
        <v>3.5872427547667396E-3</v>
      </c>
      <c r="AX807">
        <v>4.9423581851448795E-4</v>
      </c>
      <c r="AY807">
        <v>4.7993448943772776E-4</v>
      </c>
      <c r="BB807">
        <v>4.9132562705847739E-2</v>
      </c>
      <c r="BC807">
        <v>2.9686688775555959E-2</v>
      </c>
      <c r="BE807">
        <v>27938.306275567338</v>
      </c>
      <c r="BF807">
        <v>21.212454087023314</v>
      </c>
      <c r="BG807">
        <v>29842.815295953929</v>
      </c>
      <c r="BH807">
        <v>21.186091376981381</v>
      </c>
    </row>
    <row r="808" spans="3:60" x14ac:dyDescent="0.2">
      <c r="C808" s="138">
        <v>27704.382555312164</v>
      </c>
      <c r="D808">
        <v>21.151249015809775</v>
      </c>
      <c r="E808" s="138">
        <v>30150.617566258868</v>
      </c>
      <c r="F808" s="138">
        <v>21.130824542792237</v>
      </c>
      <c r="G808" s="138">
        <v>-2446.2350109467043</v>
      </c>
      <c r="H808" s="138">
        <v>2.0424473017538247E-2</v>
      </c>
      <c r="N808" s="138"/>
      <c r="O808" s="138"/>
      <c r="P808" s="138"/>
      <c r="R808">
        <v>337.84235007371706</v>
      </c>
      <c r="S808">
        <v>51.661563967654011</v>
      </c>
      <c r="T808">
        <v>254.8145833135024</v>
      </c>
      <c r="U808">
        <v>97.47507172941782</v>
      </c>
      <c r="X808">
        <v>0.92764772071684742</v>
      </c>
      <c r="Y808">
        <v>0.81992618429323461</v>
      </c>
      <c r="Z808">
        <v>0.50469211531354363</v>
      </c>
      <c r="AA808">
        <v>0.50780477463336449</v>
      </c>
      <c r="AB808">
        <v>0.64556774109090342</v>
      </c>
      <c r="AC808">
        <v>0.83353096080197731</v>
      </c>
      <c r="AD808">
        <v>0.9542055584029252</v>
      </c>
      <c r="AE808">
        <v>0.86556722527954966</v>
      </c>
      <c r="AH808">
        <v>0.12655339179774117</v>
      </c>
      <c r="AI808">
        <v>9.4311180649580439E-2</v>
      </c>
      <c r="AJ808">
        <v>9.6624277676425563E-2</v>
      </c>
      <c r="AK808">
        <v>0.11470897093245092</v>
      </c>
      <c r="AL808">
        <v>2.1618093198757071E-2</v>
      </c>
      <c r="AM808">
        <v>0.10532458010418444</v>
      </c>
      <c r="AN808">
        <v>4.1732698580747796E-2</v>
      </c>
      <c r="AO808">
        <v>9.1347454141289419E-2</v>
      </c>
      <c r="AR808">
        <v>9.0782006343670396E-4</v>
      </c>
      <c r="AS808">
        <v>4.4553447891985771E-3</v>
      </c>
      <c r="AT808">
        <v>0.10086917562290854</v>
      </c>
      <c r="AU808">
        <v>1.7804936528390547E-3</v>
      </c>
      <c r="AV808">
        <v>1.9264015322130543E-3</v>
      </c>
      <c r="AW808">
        <v>3.3602662906792409E-3</v>
      </c>
      <c r="AX808">
        <v>4.1140311040888111E-4</v>
      </c>
      <c r="AY808">
        <v>4.5581117769755153E-4</v>
      </c>
      <c r="BB808">
        <v>4.9391673588358449E-2</v>
      </c>
      <c r="BC808">
        <v>1.6393176309221345E-2</v>
      </c>
      <c r="BE808">
        <v>27704.382555312164</v>
      </c>
      <c r="BF808">
        <v>21.151249015809775</v>
      </c>
      <c r="BG808">
        <v>30150.617566258868</v>
      </c>
      <c r="BH808">
        <v>21.130824542792237</v>
      </c>
    </row>
    <row r="809" spans="3:60" x14ac:dyDescent="0.2">
      <c r="C809" s="138">
        <v>27166.927478855992</v>
      </c>
      <c r="D809">
        <v>21.079514250516315</v>
      </c>
      <c r="E809" s="138">
        <v>29146.174619738631</v>
      </c>
      <c r="F809" s="138">
        <v>21.055757008966776</v>
      </c>
      <c r="G809" s="138">
        <v>-1979.2471408826386</v>
      </c>
      <c r="H809" s="138">
        <v>2.3757241549539287E-2</v>
      </c>
      <c r="N809" s="138"/>
      <c r="O809" s="138"/>
      <c r="P809" s="138"/>
      <c r="R809">
        <v>285.45590542970655</v>
      </c>
      <c r="S809">
        <v>69.086431205603347</v>
      </c>
      <c r="T809">
        <v>265.92565100639132</v>
      </c>
      <c r="U809">
        <v>101.11286332378657</v>
      </c>
      <c r="X809">
        <v>0.86844462234957975</v>
      </c>
      <c r="Y809">
        <v>0.72344806023024044</v>
      </c>
      <c r="Z809">
        <v>0.62791521016723439</v>
      </c>
      <c r="AA809">
        <v>0.88652074841355999</v>
      </c>
      <c r="AB809">
        <v>0.89769605068481351</v>
      </c>
      <c r="AC809">
        <v>0.7546626297341309</v>
      </c>
      <c r="AD809">
        <v>0.75446425618588842</v>
      </c>
      <c r="AE809">
        <v>0.78709535030356892</v>
      </c>
      <c r="AH809">
        <v>0.20090522161584989</v>
      </c>
      <c r="AI809">
        <v>7.9037115214046993E-2</v>
      </c>
      <c r="AJ809">
        <v>5.1028137255587191E-2</v>
      </c>
      <c r="AK809">
        <v>7.6920377049722544E-2</v>
      </c>
      <c r="AL809">
        <v>9.9329524484044973E-2</v>
      </c>
      <c r="AM809">
        <v>0.18385832469191798</v>
      </c>
      <c r="AN809">
        <v>0.11475760509502331</v>
      </c>
      <c r="AO809">
        <v>0.11888003404960867</v>
      </c>
      <c r="AR809">
        <v>7.4171554720827446E-4</v>
      </c>
      <c r="AS809">
        <v>4.5795213532433543E-3</v>
      </c>
      <c r="AT809">
        <v>0.10008615266396614</v>
      </c>
      <c r="AU809">
        <v>1.982915906889171E-3</v>
      </c>
      <c r="AV809">
        <v>2.2489571986838985E-3</v>
      </c>
      <c r="AW809">
        <v>3.0741368528943518E-3</v>
      </c>
      <c r="AX809">
        <v>3.5013090275441027E-4</v>
      </c>
      <c r="AY809">
        <v>7.7374995410806058E-4</v>
      </c>
      <c r="BB809">
        <v>4.8928085663667888E-2</v>
      </c>
      <c r="BC809">
        <v>3.3988076986075859E-2</v>
      </c>
      <c r="BE809">
        <v>27166.927478855992</v>
      </c>
      <c r="BF809">
        <v>21.079514250516315</v>
      </c>
      <c r="BG809">
        <v>29146.174619738631</v>
      </c>
      <c r="BH809">
        <v>21.055757008966776</v>
      </c>
    </row>
    <row r="810" spans="3:60" x14ac:dyDescent="0.2">
      <c r="C810" s="138">
        <v>27035.154939353768</v>
      </c>
      <c r="D810">
        <v>21.132050375538036</v>
      </c>
      <c r="E810" s="138">
        <v>28608.852161005823</v>
      </c>
      <c r="F810" s="138">
        <v>21.112090788175387</v>
      </c>
      <c r="G810" s="138">
        <v>-1573.6972216520553</v>
      </c>
      <c r="H810" s="138">
        <v>1.9959587362649245E-2</v>
      </c>
      <c r="N810" s="138"/>
      <c r="O810" s="138"/>
      <c r="P810" s="138"/>
      <c r="R810">
        <v>173.18467761447559</v>
      </c>
      <c r="S810">
        <v>56.31521051052701</v>
      </c>
      <c r="T810">
        <v>275.69933363906455</v>
      </c>
      <c r="U810">
        <v>89.844869619325607</v>
      </c>
      <c r="X810">
        <v>0.88331213575243739</v>
      </c>
      <c r="Y810">
        <v>0.71807650308527227</v>
      </c>
      <c r="Z810">
        <v>0.76707559974563244</v>
      </c>
      <c r="AA810">
        <v>0.72562834066565574</v>
      </c>
      <c r="AB810">
        <v>0.96732069886413274</v>
      </c>
      <c r="AC810">
        <v>0.84599696033984872</v>
      </c>
      <c r="AD810">
        <v>0.73434908213810046</v>
      </c>
      <c r="AE810">
        <v>0.76390641258212022</v>
      </c>
      <c r="AH810">
        <v>0.15220673484358904</v>
      </c>
      <c r="AI810">
        <v>0.12119610636377443</v>
      </c>
      <c r="AJ810">
        <v>2.6729870267060196E-2</v>
      </c>
      <c r="AK810">
        <v>0.18144543729871399</v>
      </c>
      <c r="AL810">
        <v>6.8956670234548101E-2</v>
      </c>
      <c r="AM810">
        <v>2.5382720622702415E-2</v>
      </c>
      <c r="AN810">
        <v>0.15971876636329108</v>
      </c>
      <c r="AO810">
        <v>7.2093437462798171E-2</v>
      </c>
      <c r="AR810">
        <v>1.0791598518250511E-3</v>
      </c>
      <c r="AS810">
        <v>4.627905816253608E-3</v>
      </c>
      <c r="AT810">
        <v>9.9926622803892376E-2</v>
      </c>
      <c r="AU810">
        <v>2.0464182688688659E-3</v>
      </c>
      <c r="AV810">
        <v>1.9099027326478131E-3</v>
      </c>
      <c r="AW810">
        <v>3.6381218362517842E-3</v>
      </c>
      <c r="AX810">
        <v>2.8981130450006802E-4</v>
      </c>
      <c r="AY810">
        <v>3.9331683537839076E-4</v>
      </c>
      <c r="BB810">
        <v>5.294521593142465E-2</v>
      </c>
      <c r="BC810">
        <v>4.0939294410556402E-2</v>
      </c>
      <c r="BE810">
        <v>27035.154939353768</v>
      </c>
      <c r="BF810">
        <v>21.132050375538036</v>
      </c>
      <c r="BG810">
        <v>28608.852161005823</v>
      </c>
      <c r="BH810">
        <v>21.112090788175387</v>
      </c>
    </row>
    <row r="811" spans="3:60" x14ac:dyDescent="0.2">
      <c r="C811" s="138">
        <v>37053.465667922377</v>
      </c>
      <c r="D811">
        <v>20.550398063692551</v>
      </c>
      <c r="E811" s="138">
        <v>39406.758915086066</v>
      </c>
      <c r="F811" s="138">
        <v>20.498311488669437</v>
      </c>
      <c r="G811" s="138">
        <v>-2353.2932471636886</v>
      </c>
      <c r="H811" s="138">
        <v>5.2086575023114534E-2</v>
      </c>
      <c r="N811" s="138"/>
      <c r="O811" s="138"/>
      <c r="P811" s="138"/>
      <c r="R811">
        <v>88.700972254212871</v>
      </c>
      <c r="S811">
        <v>68.366558754551136</v>
      </c>
      <c r="T811">
        <v>254.22589612193303</v>
      </c>
      <c r="U811">
        <v>95.909118794206464</v>
      </c>
      <c r="X811">
        <v>0.73750715674602363</v>
      </c>
      <c r="Y811">
        <v>0.9035247080058344</v>
      </c>
      <c r="Z811">
        <v>0.62326407539023654</v>
      </c>
      <c r="AA811">
        <v>0.8681133481603025</v>
      </c>
      <c r="AB811">
        <v>0.91535681428451754</v>
      </c>
      <c r="AC811">
        <v>0.76271090252008911</v>
      </c>
      <c r="AD811">
        <v>0.50937450183689714</v>
      </c>
      <c r="AE811">
        <v>0.77963412776539764</v>
      </c>
      <c r="AH811">
        <v>0.29068908014568717</v>
      </c>
      <c r="AI811">
        <v>0.1162739401271341</v>
      </c>
      <c r="AJ811">
        <v>0.16666474665380149</v>
      </c>
      <c r="AK811">
        <v>4.4094955272947711E-2</v>
      </c>
      <c r="AL811">
        <v>7.932579193301037E-2</v>
      </c>
      <c r="AM811">
        <v>0.14265274244825044</v>
      </c>
      <c r="AN811">
        <v>0.11640308125441678</v>
      </c>
      <c r="AO811">
        <v>1.8834718749149437E-2</v>
      </c>
      <c r="AR811">
        <v>8.2784532692593968E-4</v>
      </c>
      <c r="AS811">
        <v>4.7724865556804108E-3</v>
      </c>
      <c r="AT811">
        <v>9.955540385322513E-2</v>
      </c>
      <c r="AU811">
        <v>1.8180219334390324E-3</v>
      </c>
      <c r="AV811">
        <v>2.0158411340551741E-3</v>
      </c>
      <c r="AW811">
        <v>3.2244754257730341E-3</v>
      </c>
      <c r="AX811">
        <v>2.3845783335597079E-4</v>
      </c>
      <c r="AY811">
        <v>5.0268764099081764E-4</v>
      </c>
      <c r="BB811">
        <v>5.6509584637506327E-2</v>
      </c>
      <c r="BC811">
        <v>5.1668302591609261E-2</v>
      </c>
      <c r="BE811">
        <v>37053.465667922377</v>
      </c>
      <c r="BF811">
        <v>20.550398063692551</v>
      </c>
      <c r="BG811">
        <v>39406.758915086066</v>
      </c>
      <c r="BH811">
        <v>20.498311488669437</v>
      </c>
    </row>
    <row r="812" spans="3:60" x14ac:dyDescent="0.2">
      <c r="C812" s="138">
        <v>30780.055411344834</v>
      </c>
      <c r="D812">
        <v>21.503649967795251</v>
      </c>
      <c r="E812" s="138">
        <v>32525.55738396987</v>
      </c>
      <c r="F812" s="138">
        <v>21.504850272806234</v>
      </c>
      <c r="G812" s="138">
        <v>-1745.5019726250357</v>
      </c>
      <c r="H812" s="138">
        <v>-1.2003050109825608E-3</v>
      </c>
      <c r="N812" s="138"/>
      <c r="O812" s="138"/>
      <c r="P812" s="138"/>
      <c r="R812">
        <v>171.71155770877186</v>
      </c>
      <c r="S812">
        <v>64.78790763436696</v>
      </c>
      <c r="T812">
        <v>275.94150728687822</v>
      </c>
      <c r="U812">
        <v>120.17647050867386</v>
      </c>
      <c r="X812">
        <v>0.69794467373000946</v>
      </c>
      <c r="Y812">
        <v>0.92944292888682822</v>
      </c>
      <c r="Z812">
        <v>0.64230128858154378</v>
      </c>
      <c r="AA812">
        <v>0.80259506766171329</v>
      </c>
      <c r="AB812">
        <v>0.65239362691978209</v>
      </c>
      <c r="AC812">
        <v>0.67851885511121079</v>
      </c>
      <c r="AD812">
        <v>0.67490741906646956</v>
      </c>
      <c r="AE812">
        <v>0.8301675551039025</v>
      </c>
      <c r="AH812">
        <v>0.15969682065233404</v>
      </c>
      <c r="AI812">
        <v>0.20594836741676203</v>
      </c>
      <c r="AJ812">
        <v>1.6707775022290594E-2</v>
      </c>
      <c r="AK812">
        <v>0.15713095512598063</v>
      </c>
      <c r="AL812">
        <v>0.39385526071066401</v>
      </c>
      <c r="AM812">
        <v>0.30331965496557844</v>
      </c>
      <c r="AN812">
        <v>7.5474153063515237E-2</v>
      </c>
      <c r="AO812">
        <v>3.6481593199060969E-2</v>
      </c>
      <c r="AR812">
        <v>1.0453907111923622E-3</v>
      </c>
      <c r="AS812">
        <v>4.2043398032367953E-3</v>
      </c>
      <c r="AT812">
        <v>9.8718656055074586E-2</v>
      </c>
      <c r="AU812">
        <v>1.8706429387458029E-3</v>
      </c>
      <c r="AV812">
        <v>1.8780371137724031E-3</v>
      </c>
      <c r="AW812">
        <v>3.2202601945921314E-3</v>
      </c>
      <c r="AX812">
        <v>3.69406796390366E-4</v>
      </c>
      <c r="AY812">
        <v>3.5727405256221926E-4</v>
      </c>
      <c r="BB812">
        <v>3.904888326883911E-2</v>
      </c>
      <c r="BC812">
        <v>5.296603971227043E-2</v>
      </c>
      <c r="BE812">
        <v>30780.055411344834</v>
      </c>
      <c r="BF812">
        <v>21.503649967795251</v>
      </c>
      <c r="BG812">
        <v>32525.55738396987</v>
      </c>
      <c r="BH812">
        <v>21.504850272806234</v>
      </c>
    </row>
    <row r="813" spans="3:60" x14ac:dyDescent="0.2">
      <c r="C813" s="138">
        <v>31644.663455087848</v>
      </c>
      <c r="D813">
        <v>21.253734550498717</v>
      </c>
      <c r="E813" s="138">
        <v>33412.108891256328</v>
      </c>
      <c r="F813" s="138">
        <v>21.231635418365006</v>
      </c>
      <c r="G813" s="138">
        <v>-1767.4454361684802</v>
      </c>
      <c r="H813" s="138">
        <v>2.2099132133710953E-2</v>
      </c>
      <c r="N813" s="138"/>
      <c r="O813" s="138"/>
      <c r="P813" s="138"/>
      <c r="R813">
        <v>308.97398125495141</v>
      </c>
      <c r="S813">
        <v>65.370266347035667</v>
      </c>
      <c r="T813">
        <v>256.52722426595091</v>
      </c>
      <c r="U813">
        <v>93.015479189645376</v>
      </c>
      <c r="X813">
        <v>0.7262149745604628</v>
      </c>
      <c r="Y813">
        <v>0.5860434615805743</v>
      </c>
      <c r="Z813">
        <v>0.85235586270375696</v>
      </c>
      <c r="AA813">
        <v>0.85243276735209905</v>
      </c>
      <c r="AB813">
        <v>0.69990329450626765</v>
      </c>
      <c r="AC813">
        <v>0.70495435919320926</v>
      </c>
      <c r="AD813">
        <v>0.79641327421781583</v>
      </c>
      <c r="AE813">
        <v>0.90082705222470016</v>
      </c>
      <c r="AH813">
        <v>4.5246332249566978E-2</v>
      </c>
      <c r="AI813">
        <v>0.20032590350515689</v>
      </c>
      <c r="AJ813">
        <v>0.12563696346810171</v>
      </c>
      <c r="AK813">
        <v>0.11483633100578661</v>
      </c>
      <c r="AL813">
        <v>9.0455476666928991E-2</v>
      </c>
      <c r="AM813">
        <v>1.0314155715524187E-2</v>
      </c>
      <c r="AN813">
        <v>0.10074416284401844</v>
      </c>
      <c r="AO813">
        <v>0.10272837042931782</v>
      </c>
      <c r="AR813">
        <v>8.4122030544400966E-4</v>
      </c>
      <c r="AS813">
        <v>4.7193350996785899E-3</v>
      </c>
      <c r="AT813">
        <v>0.10105413756404125</v>
      </c>
      <c r="AU813">
        <v>1.9014230872343545E-3</v>
      </c>
      <c r="AV813">
        <v>2.0804012110492431E-3</v>
      </c>
      <c r="AW813">
        <v>3.5949594210873403E-3</v>
      </c>
      <c r="AX813">
        <v>3.6231800720666212E-4</v>
      </c>
      <c r="AY813">
        <v>4.8752453640177329E-4</v>
      </c>
      <c r="BB813">
        <v>5.4921209370552893E-2</v>
      </c>
      <c r="BC813">
        <v>4.2814373859886824E-2</v>
      </c>
      <c r="BE813">
        <v>31644.663455087848</v>
      </c>
      <c r="BF813">
        <v>21.253734550498717</v>
      </c>
      <c r="BG813">
        <v>33412.108891256328</v>
      </c>
      <c r="BH813">
        <v>21.231635418365006</v>
      </c>
    </row>
    <row r="814" spans="3:60" x14ac:dyDescent="0.2">
      <c r="C814" s="138">
        <v>35187.282283150926</v>
      </c>
      <c r="D814">
        <v>21.521668454558082</v>
      </c>
      <c r="E814" s="138">
        <v>37412.654039153771</v>
      </c>
      <c r="F814" s="138">
        <v>21.531321694019251</v>
      </c>
      <c r="G814" s="138">
        <v>-2225.3717560028454</v>
      </c>
      <c r="H814" s="138">
        <v>-9.6532394611692496E-3</v>
      </c>
      <c r="N814" s="138"/>
      <c r="O814" s="138"/>
      <c r="P814" s="138"/>
      <c r="R814">
        <v>342.17981585020163</v>
      </c>
      <c r="S814">
        <v>60.279811995049542</v>
      </c>
      <c r="T814">
        <v>241.99187536852168</v>
      </c>
      <c r="U814">
        <v>99.329714177666702</v>
      </c>
      <c r="X814">
        <v>0.55097730049708615</v>
      </c>
      <c r="Y814">
        <v>0.78965853992019619</v>
      </c>
      <c r="Z814">
        <v>0.71193102654913176</v>
      </c>
      <c r="AA814">
        <v>0.91934433159422491</v>
      </c>
      <c r="AB814">
        <v>0.52352370283504224</v>
      </c>
      <c r="AC814">
        <v>0.6941572431830999</v>
      </c>
      <c r="AD814">
        <v>0.94389778218335518</v>
      </c>
      <c r="AE814">
        <v>0.79712563274267745</v>
      </c>
      <c r="AH814">
        <v>6.1346824376732778E-2</v>
      </c>
      <c r="AI814">
        <v>0.12031481592140214</v>
      </c>
      <c r="AJ814">
        <v>0.10214322261159781</v>
      </c>
      <c r="AK814">
        <v>9.2442556756037186E-2</v>
      </c>
      <c r="AL814">
        <v>5.0999269759916421E-2</v>
      </c>
      <c r="AM814">
        <v>0.20180262024000228</v>
      </c>
      <c r="AN814">
        <v>7.4268847144417949E-2</v>
      </c>
      <c r="AO814">
        <v>0.19675717528232695</v>
      </c>
      <c r="AR814">
        <v>1.0748513765476142E-3</v>
      </c>
      <c r="AS814">
        <v>4.4499075483937769E-3</v>
      </c>
      <c r="AT814">
        <v>9.9663581289785724E-2</v>
      </c>
      <c r="AU814">
        <v>2.082490340641785E-3</v>
      </c>
      <c r="AV814">
        <v>2.124255659064711E-3</v>
      </c>
      <c r="AW814">
        <v>3.4181241792781147E-3</v>
      </c>
      <c r="AX814">
        <v>3.1561733963303195E-4</v>
      </c>
      <c r="AY814">
        <v>4.968526354036662E-4</v>
      </c>
      <c r="BB814">
        <v>5.4639237950851904E-2</v>
      </c>
      <c r="BC814">
        <v>2.0889733558964327E-2</v>
      </c>
      <c r="BE814">
        <v>35187.282283150926</v>
      </c>
      <c r="BF814">
        <v>21.521668454558082</v>
      </c>
      <c r="BG814">
        <v>37412.654039153771</v>
      </c>
      <c r="BH814">
        <v>21.531321694019251</v>
      </c>
    </row>
    <row r="815" spans="3:60" x14ac:dyDescent="0.2">
      <c r="C815" s="138">
        <v>29197.84378304585</v>
      </c>
      <c r="D815">
        <v>21.417652781216344</v>
      </c>
      <c r="E815" s="138">
        <v>31112.882304245639</v>
      </c>
      <c r="F815" s="138">
        <v>21.390660848326014</v>
      </c>
      <c r="G815" s="138">
        <v>-1915.0385211997891</v>
      </c>
      <c r="H815" s="138">
        <v>2.6991932890329196E-2</v>
      </c>
      <c r="N815" s="138"/>
      <c r="O815" s="138"/>
      <c r="P815" s="138"/>
      <c r="R815">
        <v>385.44570058090528</v>
      </c>
      <c r="S815">
        <v>57.31575300333224</v>
      </c>
      <c r="T815">
        <v>275.01542281151518</v>
      </c>
      <c r="U815">
        <v>93.879217336334563</v>
      </c>
      <c r="X815">
        <v>0.90296225860173229</v>
      </c>
      <c r="Y815">
        <v>0.59985554835550381</v>
      </c>
      <c r="Z815">
        <v>0.6880712047911578</v>
      </c>
      <c r="AA815">
        <v>0.57479006343465666</v>
      </c>
      <c r="AB815">
        <v>0.51741220317136383</v>
      </c>
      <c r="AC815">
        <v>0.79318519699118473</v>
      </c>
      <c r="AD815">
        <v>0.84030978151727165</v>
      </c>
      <c r="AE815">
        <v>0.64879566033051872</v>
      </c>
      <c r="AH815">
        <v>2.1610809897387839E-2</v>
      </c>
      <c r="AI815">
        <v>0.13712870239684116</v>
      </c>
      <c r="AJ815">
        <v>6.5676300834767165E-2</v>
      </c>
      <c r="AK815">
        <v>0.30147341656387505</v>
      </c>
      <c r="AL815">
        <v>0.1258080724471291</v>
      </c>
      <c r="AM815">
        <v>0.11536356340489085</v>
      </c>
      <c r="AN815">
        <v>0.29028137427605893</v>
      </c>
      <c r="AO815">
        <v>8.9764614935364584E-2</v>
      </c>
      <c r="AR815">
        <v>9.0481217703841654E-4</v>
      </c>
      <c r="AS815">
        <v>4.1373961516264967E-3</v>
      </c>
      <c r="AT815">
        <v>0.10033778503503976</v>
      </c>
      <c r="AU815">
        <v>2.2739316736670734E-3</v>
      </c>
      <c r="AV815">
        <v>1.9068504143858432E-3</v>
      </c>
      <c r="AW815">
        <v>3.5221768702851097E-3</v>
      </c>
      <c r="AX815">
        <v>3.8126582648251306E-4</v>
      </c>
      <c r="AY815">
        <v>4.52901362245961E-4</v>
      </c>
      <c r="BB815">
        <v>6.0666076216868148E-2</v>
      </c>
      <c r="BC815">
        <v>2.709617986663625E-2</v>
      </c>
      <c r="BE815">
        <v>29197.84378304585</v>
      </c>
      <c r="BF815">
        <v>21.417652781216344</v>
      </c>
      <c r="BG815">
        <v>31112.882304245639</v>
      </c>
      <c r="BH815">
        <v>21.390660848326014</v>
      </c>
    </row>
    <row r="816" spans="3:60" x14ac:dyDescent="0.2">
      <c r="C816" s="138">
        <v>35969.322819073059</v>
      </c>
      <c r="D816">
        <v>21.338797857559825</v>
      </c>
      <c r="E816" s="138">
        <v>38311.259872138027</v>
      </c>
      <c r="F816" s="138">
        <v>21.315584309082912</v>
      </c>
      <c r="G816" s="138">
        <v>-2341.9370530649685</v>
      </c>
      <c r="H816" s="138">
        <v>2.3213548476913815E-2</v>
      </c>
      <c r="N816" s="138"/>
      <c r="O816" s="138"/>
      <c r="P816" s="138"/>
      <c r="R816">
        <v>344.29214057739989</v>
      </c>
      <c r="S816">
        <v>59.359173237907811</v>
      </c>
      <c r="T816">
        <v>225.84117287403325</v>
      </c>
      <c r="U816">
        <v>99.729893450406138</v>
      </c>
      <c r="X816">
        <v>0.73073707289386503</v>
      </c>
      <c r="Y816">
        <v>0.96103846297665707</v>
      </c>
      <c r="Z816">
        <v>0.73552909164019276</v>
      </c>
      <c r="AA816">
        <v>0.89909262172897542</v>
      </c>
      <c r="AB816">
        <v>0.74343490874514928</v>
      </c>
      <c r="AC816">
        <v>0.71818073678945793</v>
      </c>
      <c r="AD816">
        <v>0.52238011818439534</v>
      </c>
      <c r="AE816">
        <v>0.737305838717766</v>
      </c>
      <c r="AH816">
        <v>2.3138610286890016E-2</v>
      </c>
      <c r="AI816">
        <v>1.6757720275318855E-2</v>
      </c>
      <c r="AJ816">
        <v>6.2683477004208954E-2</v>
      </c>
      <c r="AK816">
        <v>0.34283456386017563</v>
      </c>
      <c r="AL816">
        <v>9.9325995423995339E-2</v>
      </c>
      <c r="AM816">
        <v>8.8961560921870353E-2</v>
      </c>
      <c r="AN816">
        <v>0.20867066982285143</v>
      </c>
      <c r="AO816">
        <v>0.21573196044994647</v>
      </c>
      <c r="AR816">
        <v>8.1825333299193168E-4</v>
      </c>
      <c r="AS816">
        <v>4.6278813882353331E-3</v>
      </c>
      <c r="AT816">
        <v>9.8644614059189631E-2</v>
      </c>
      <c r="AU816">
        <v>2.2845144828285147E-3</v>
      </c>
      <c r="AV816">
        <v>1.9023601009010534E-3</v>
      </c>
      <c r="AW816">
        <v>3.094728437603785E-3</v>
      </c>
      <c r="AX816">
        <v>3.8542844202875886E-4</v>
      </c>
      <c r="AY816">
        <v>3.9923455881714842E-4</v>
      </c>
      <c r="BB816">
        <v>4.6149785115421636E-2</v>
      </c>
      <c r="BC816">
        <v>0.10227142556975577</v>
      </c>
      <c r="BE816">
        <v>35969.322819073059</v>
      </c>
      <c r="BF816">
        <v>21.338797857559825</v>
      </c>
      <c r="BG816">
        <v>38311.259872138027</v>
      </c>
      <c r="BH816">
        <v>21.315584309082912</v>
      </c>
    </row>
    <row r="817" spans="3:60" x14ac:dyDescent="0.2">
      <c r="C817" s="138">
        <v>31592.663516491997</v>
      </c>
      <c r="D817">
        <v>20.797972310140153</v>
      </c>
      <c r="E817" s="138">
        <v>33639.906194312665</v>
      </c>
      <c r="F817" s="138">
        <v>20.786951083048859</v>
      </c>
      <c r="G817" s="138">
        <v>-2047.2426778206682</v>
      </c>
      <c r="H817" s="138">
        <v>1.1021227091294605E-2</v>
      </c>
      <c r="N817" s="138"/>
      <c r="O817" s="138"/>
      <c r="P817" s="138"/>
      <c r="R817">
        <v>200.47544434771743</v>
      </c>
      <c r="S817">
        <v>61.501657102847162</v>
      </c>
      <c r="T817">
        <v>273.44757995065078</v>
      </c>
      <c r="U817">
        <v>86.90046615278267</v>
      </c>
      <c r="X817">
        <v>0.59445730504816041</v>
      </c>
      <c r="Y817">
        <v>0.71300872469778342</v>
      </c>
      <c r="Z817">
        <v>0.86344224293398464</v>
      </c>
      <c r="AA817">
        <v>0.83561753668996208</v>
      </c>
      <c r="AB817">
        <v>0.81362527378894489</v>
      </c>
      <c r="AC817">
        <v>0.71984409596584964</v>
      </c>
      <c r="AD817">
        <v>0.72710165062321086</v>
      </c>
      <c r="AE817">
        <v>0.74891044428565989</v>
      </c>
      <c r="AH817">
        <v>0.15073182451659539</v>
      </c>
      <c r="AI817">
        <v>8.8108063250126212E-2</v>
      </c>
      <c r="AJ817">
        <v>0.16422329100378441</v>
      </c>
      <c r="AK817">
        <v>0.24990780507860655</v>
      </c>
      <c r="AL817">
        <v>2.8968919188918862E-2</v>
      </c>
      <c r="AM817">
        <v>0.137701729982733</v>
      </c>
      <c r="AN817">
        <v>6.7179937175479765E-2</v>
      </c>
      <c r="AO817">
        <v>0.23743607265019295</v>
      </c>
      <c r="AR817">
        <v>7.8884047897510032E-4</v>
      </c>
      <c r="AS817">
        <v>4.8860858742866276E-3</v>
      </c>
      <c r="AT817">
        <v>0.10150106277716509</v>
      </c>
      <c r="AU817">
        <v>1.8895908784341815E-3</v>
      </c>
      <c r="AV817">
        <v>1.8975483637458297E-3</v>
      </c>
      <c r="AW817">
        <v>3.5720615259214883E-3</v>
      </c>
      <c r="AX817">
        <v>4.7266798213208006E-4</v>
      </c>
      <c r="AY817">
        <v>4.4743050645101867E-4</v>
      </c>
      <c r="BB817">
        <v>5.2220432688982577E-2</v>
      </c>
      <c r="BC817">
        <v>4.609043693410219E-2</v>
      </c>
      <c r="BE817">
        <v>31592.663516491997</v>
      </c>
      <c r="BF817">
        <v>20.797972310140153</v>
      </c>
      <c r="BG817">
        <v>33639.906194312665</v>
      </c>
      <c r="BH817">
        <v>20.786951083048859</v>
      </c>
    </row>
    <row r="818" spans="3:60" x14ac:dyDescent="0.2">
      <c r="C818" s="138">
        <v>32993.779772570611</v>
      </c>
      <c r="D818">
        <v>20.010314104172249</v>
      </c>
      <c r="E818" s="138">
        <v>35209.504732784408</v>
      </c>
      <c r="F818" s="138">
        <v>19.949922069549427</v>
      </c>
      <c r="G818" s="138">
        <v>-2215.7249602137963</v>
      </c>
      <c r="H818" s="138">
        <v>6.0392034622822166E-2</v>
      </c>
      <c r="N818" s="138"/>
      <c r="O818" s="138"/>
      <c r="P818" s="138"/>
      <c r="R818">
        <v>368.95289739889358</v>
      </c>
      <c r="S818">
        <v>62.634677188971295</v>
      </c>
      <c r="T818">
        <v>216.27060361689666</v>
      </c>
      <c r="U818">
        <v>84.643381574459454</v>
      </c>
      <c r="X818">
        <v>0.96209256397172549</v>
      </c>
      <c r="Y818">
        <v>0.74340599121544781</v>
      </c>
      <c r="Z818">
        <v>0.81805198066288165</v>
      </c>
      <c r="AA818">
        <v>0.9293509191360686</v>
      </c>
      <c r="AB818">
        <v>0.77305914393948472</v>
      </c>
      <c r="AC818">
        <v>0.7491749716105347</v>
      </c>
      <c r="AD818">
        <v>0.80840624534418226</v>
      </c>
      <c r="AE818">
        <v>0.75927984525711012</v>
      </c>
      <c r="AH818">
        <v>3.1750051932510126E-2</v>
      </c>
      <c r="AI818">
        <v>0.10257614636097889</v>
      </c>
      <c r="AJ818">
        <v>8.8268025531870187E-2</v>
      </c>
      <c r="AK818">
        <v>0.19466168652739657</v>
      </c>
      <c r="AL818">
        <v>0.11555315525290388</v>
      </c>
      <c r="AM818">
        <v>0.11611451743332557</v>
      </c>
      <c r="AN818">
        <v>8.6343239209852984E-2</v>
      </c>
      <c r="AO818">
        <v>0.23052766797425406</v>
      </c>
      <c r="AR818">
        <v>1.0216786072713147E-3</v>
      </c>
      <c r="AS818">
        <v>4.2969696558084278E-3</v>
      </c>
      <c r="AT818">
        <v>0.10035884265714556</v>
      </c>
      <c r="AU818">
        <v>2.169955418733327E-3</v>
      </c>
      <c r="AV818">
        <v>1.7998654144740741E-3</v>
      </c>
      <c r="AW818">
        <v>3.3600394990034306E-3</v>
      </c>
      <c r="AX818">
        <v>3.0726952525589085E-4</v>
      </c>
      <c r="AY818">
        <v>3.9933236766960474E-4</v>
      </c>
      <c r="BB818">
        <v>5.3364892870386926E-2</v>
      </c>
      <c r="BC818">
        <v>7.6696091677794453E-2</v>
      </c>
      <c r="BE818">
        <v>32993.779772570611</v>
      </c>
      <c r="BF818">
        <v>20.010314104172249</v>
      </c>
      <c r="BG818">
        <v>35209.504732784408</v>
      </c>
      <c r="BH818">
        <v>19.949922069549427</v>
      </c>
    </row>
    <row r="819" spans="3:60" x14ac:dyDescent="0.2">
      <c r="C819" s="138">
        <v>30064.148066090576</v>
      </c>
      <c r="D819">
        <v>21.657177850403862</v>
      </c>
      <c r="E819" s="138">
        <v>32296.842490022791</v>
      </c>
      <c r="F819" s="138">
        <v>21.642195582864066</v>
      </c>
      <c r="G819" s="138">
        <v>-2232.6944239322147</v>
      </c>
      <c r="H819" s="138">
        <v>1.4982267539796368E-2</v>
      </c>
      <c r="N819" s="138"/>
      <c r="O819" s="138"/>
      <c r="P819" s="138"/>
      <c r="R819">
        <v>57.988246479809561</v>
      </c>
      <c r="S819">
        <v>49.296952865372532</v>
      </c>
      <c r="T819">
        <v>268.63144979147</v>
      </c>
      <c r="U819">
        <v>110.71640578448515</v>
      </c>
      <c r="X819">
        <v>0.97973075371307927</v>
      </c>
      <c r="Y819">
        <v>0.62785752064636757</v>
      </c>
      <c r="Z819">
        <v>0.76918662803610893</v>
      </c>
      <c r="AA819">
        <v>0.75617429924867285</v>
      </c>
      <c r="AB819">
        <v>0.94078007599014302</v>
      </c>
      <c r="AC819">
        <v>0.80353398678517429</v>
      </c>
      <c r="AD819">
        <v>0.59346973347686027</v>
      </c>
      <c r="AE819">
        <v>0.74432996300964471</v>
      </c>
      <c r="AH819">
        <v>0.14484498712546934</v>
      </c>
      <c r="AI819">
        <v>0.16156445495791594</v>
      </c>
      <c r="AJ819">
        <v>0.19611020146530145</v>
      </c>
      <c r="AK819">
        <v>8.3542291286030412E-2</v>
      </c>
      <c r="AL819">
        <v>0.10428902281130115</v>
      </c>
      <c r="AM819">
        <v>7.4823319713574143E-2</v>
      </c>
      <c r="AN819">
        <v>0.12880260700085455</v>
      </c>
      <c r="AO819">
        <v>0.17339861514459287</v>
      </c>
      <c r="AR819">
        <v>8.6979406370251767E-4</v>
      </c>
      <c r="AS819">
        <v>4.5593568622627201E-3</v>
      </c>
      <c r="AT819">
        <v>0.10111424858499563</v>
      </c>
      <c r="AU819">
        <v>2.0479362701399939E-3</v>
      </c>
      <c r="AV819">
        <v>1.8315596495250032E-3</v>
      </c>
      <c r="AW819">
        <v>3.5709333938210852E-3</v>
      </c>
      <c r="AX819">
        <v>5.1499058812465304E-4</v>
      </c>
      <c r="AY819">
        <v>3.8653808768357212E-4</v>
      </c>
      <c r="BB819">
        <v>5.3819169990036331E-2</v>
      </c>
      <c r="BC819">
        <v>5.7926135833751835E-2</v>
      </c>
      <c r="BE819">
        <v>30064.148066090576</v>
      </c>
      <c r="BF819">
        <v>21.657177850403862</v>
      </c>
      <c r="BG819">
        <v>32296.842490022791</v>
      </c>
      <c r="BH819">
        <v>21.642195582864066</v>
      </c>
    </row>
    <row r="820" spans="3:60" x14ac:dyDescent="0.2">
      <c r="C820" s="138">
        <v>34970.020837614902</v>
      </c>
      <c r="D820">
        <v>20.516605492852722</v>
      </c>
      <c r="E820" s="138">
        <v>37237.495833317043</v>
      </c>
      <c r="F820" s="138">
        <v>20.472775679438026</v>
      </c>
      <c r="G820" s="138">
        <v>-2267.4749957021413</v>
      </c>
      <c r="H820" s="138">
        <v>4.3829813414696162E-2</v>
      </c>
      <c r="N820" s="138"/>
      <c r="O820" s="138"/>
      <c r="P820" s="138"/>
      <c r="R820">
        <v>169.05079247101366</v>
      </c>
      <c r="S820">
        <v>51.717013895476043</v>
      </c>
      <c r="T820">
        <v>256.99269961712878</v>
      </c>
      <c r="U820">
        <v>94.331563828825452</v>
      </c>
      <c r="X820">
        <v>0.80049730832317723</v>
      </c>
      <c r="Y820">
        <v>0.83563261337986505</v>
      </c>
      <c r="Z820">
        <v>0.67541399070153896</v>
      </c>
      <c r="AA820">
        <v>0.46075238691240866</v>
      </c>
      <c r="AB820">
        <v>0.71107167472207855</v>
      </c>
      <c r="AC820">
        <v>0.67075424089465641</v>
      </c>
      <c r="AD820">
        <v>0.75513407258529008</v>
      </c>
      <c r="AE820">
        <v>0.89329807404000705</v>
      </c>
      <c r="AH820">
        <v>5.6391104377424672E-2</v>
      </c>
      <c r="AI820">
        <v>0.1528768751226337</v>
      </c>
      <c r="AJ820">
        <v>6.6006616681909436E-2</v>
      </c>
      <c r="AK820">
        <v>7.5593585898331872E-2</v>
      </c>
      <c r="AL820">
        <v>9.8533119340515896E-2</v>
      </c>
      <c r="AM820">
        <v>9.6593267947805428E-2</v>
      </c>
      <c r="AN820">
        <v>0.12006873323612621</v>
      </c>
      <c r="AO820">
        <v>8.4221560305656418E-2</v>
      </c>
      <c r="AR820">
        <v>1.0844982918886137E-3</v>
      </c>
      <c r="AS820">
        <v>4.0601248008496574E-3</v>
      </c>
      <c r="AT820">
        <v>9.976723880592997E-2</v>
      </c>
      <c r="AU820">
        <v>2.0189577721980712E-3</v>
      </c>
      <c r="AV820">
        <v>1.7889863398281051E-3</v>
      </c>
      <c r="AW820">
        <v>3.4256699635588639E-3</v>
      </c>
      <c r="AX820">
        <v>3.7801172009951754E-4</v>
      </c>
      <c r="AY820">
        <v>3.3839725578114121E-4</v>
      </c>
      <c r="BB820">
        <v>4.8787117608144748E-2</v>
      </c>
      <c r="BC820">
        <v>4.6955777856897085E-2</v>
      </c>
      <c r="BE820">
        <v>34970.020837614902</v>
      </c>
      <c r="BF820">
        <v>20.516605492852722</v>
      </c>
      <c r="BG820">
        <v>37237.495833317043</v>
      </c>
      <c r="BH820">
        <v>20.472775679438026</v>
      </c>
    </row>
    <row r="821" spans="3:60" x14ac:dyDescent="0.2">
      <c r="C821" s="138">
        <v>30282.366152338713</v>
      </c>
      <c r="D821">
        <v>20.682427684344042</v>
      </c>
      <c r="E821" s="138">
        <v>32013.44970788309</v>
      </c>
      <c r="F821" s="138">
        <v>20.64089691711467</v>
      </c>
      <c r="G821" s="138">
        <v>-1731.0835555443773</v>
      </c>
      <c r="H821" s="138">
        <v>4.1530767229371435E-2</v>
      </c>
      <c r="N821" s="138"/>
      <c r="O821" s="138"/>
      <c r="P821" s="138"/>
      <c r="R821">
        <v>281.99843997268789</v>
      </c>
      <c r="S821">
        <v>66.169908672782938</v>
      </c>
      <c r="T821">
        <v>279.56792407370187</v>
      </c>
      <c r="U821">
        <v>91.289205598737624</v>
      </c>
      <c r="X821">
        <v>0.68966298220615174</v>
      </c>
      <c r="Y821">
        <v>0.84829369055362713</v>
      </c>
      <c r="Z821">
        <v>0.80773047181767144</v>
      </c>
      <c r="AA821">
        <v>0.73754757283394423</v>
      </c>
      <c r="AB821">
        <v>0.63023477359001434</v>
      </c>
      <c r="AC821">
        <v>0.71323290520283933</v>
      </c>
      <c r="AD821">
        <v>0.81209046417323505</v>
      </c>
      <c r="AE821">
        <v>0.84051647864439205</v>
      </c>
      <c r="AH821">
        <v>0.14354410549217134</v>
      </c>
      <c r="AI821">
        <v>0.1150530371981664</v>
      </c>
      <c r="AJ821">
        <v>0.16698488665615385</v>
      </c>
      <c r="AK821">
        <v>0.47088175553976519</v>
      </c>
      <c r="AL821">
        <v>9.2618696452533622E-2</v>
      </c>
      <c r="AM821">
        <v>0.12827813355468498</v>
      </c>
      <c r="AN821">
        <v>0.2030001816680207</v>
      </c>
      <c r="AO821">
        <v>0.29532655271899255</v>
      </c>
      <c r="AR821">
        <v>8.6395808249779577E-4</v>
      </c>
      <c r="AS821">
        <v>4.3409706481548436E-3</v>
      </c>
      <c r="AT821">
        <v>9.8899674528169598E-2</v>
      </c>
      <c r="AU821">
        <v>1.9409204779272876E-3</v>
      </c>
      <c r="AV821">
        <v>1.8940099524418614E-3</v>
      </c>
      <c r="AW821">
        <v>3.4822733134138861E-3</v>
      </c>
      <c r="AX821">
        <v>3.8440682410649122E-4</v>
      </c>
      <c r="AY821">
        <v>4.2290168536171714E-4</v>
      </c>
      <c r="BB821">
        <v>4.740049970154632E-2</v>
      </c>
      <c r="BC821">
        <v>6.8924568874979886E-2</v>
      </c>
      <c r="BE821">
        <v>30282.366152338713</v>
      </c>
      <c r="BF821">
        <v>20.682427684344042</v>
      </c>
      <c r="BG821">
        <v>32013.44970788309</v>
      </c>
      <c r="BH821">
        <v>20.64089691711467</v>
      </c>
    </row>
    <row r="822" spans="3:60" x14ac:dyDescent="0.2">
      <c r="C822" s="138">
        <v>35644.716421936937</v>
      </c>
      <c r="D822">
        <v>20.78816897321262</v>
      </c>
      <c r="E822" s="138">
        <v>38247.537314583089</v>
      </c>
      <c r="F822" s="138">
        <v>20.754391573637957</v>
      </c>
      <c r="G822" s="138">
        <v>-2602.8208926461521</v>
      </c>
      <c r="H822" s="138">
        <v>3.3777399574663747E-2</v>
      </c>
      <c r="N822" s="138"/>
      <c r="O822" s="138"/>
      <c r="P822" s="138"/>
      <c r="R822">
        <v>329.65440098143506</v>
      </c>
      <c r="S822">
        <v>62.076561337957514</v>
      </c>
      <c r="T822">
        <v>209.363708347976</v>
      </c>
      <c r="U822">
        <v>86.308867006155779</v>
      </c>
      <c r="X822">
        <v>0.82756134796289238</v>
      </c>
      <c r="Y822">
        <v>0.71049145362595545</v>
      </c>
      <c r="Z822">
        <v>0.86411310757938398</v>
      </c>
      <c r="AA822">
        <v>0.79424234340082278</v>
      </c>
      <c r="AB822">
        <v>0.68481417129096644</v>
      </c>
      <c r="AC822">
        <v>0.79116299543455948</v>
      </c>
      <c r="AD822">
        <v>0.65331288653309305</v>
      </c>
      <c r="AE822">
        <v>0.5239087924711493</v>
      </c>
      <c r="AH822">
        <v>7.8614959816760699E-2</v>
      </c>
      <c r="AI822">
        <v>8.8235577223341188E-2</v>
      </c>
      <c r="AJ822">
        <v>0.27745006387587579</v>
      </c>
      <c r="AK822">
        <v>0.16671064873960051</v>
      </c>
      <c r="AL822">
        <v>0.2717854384775652</v>
      </c>
      <c r="AM822">
        <v>2.3444741987497242E-3</v>
      </c>
      <c r="AN822">
        <v>0.12767860169965983</v>
      </c>
      <c r="AO822">
        <v>5.464067201157119E-2</v>
      </c>
      <c r="AR822">
        <v>8.8498618727048703E-4</v>
      </c>
      <c r="AS822">
        <v>4.3340751335623276E-3</v>
      </c>
      <c r="AT822">
        <v>9.9907473713815767E-2</v>
      </c>
      <c r="AU822">
        <v>1.9589668822749501E-3</v>
      </c>
      <c r="AV822">
        <v>2.0765712191600505E-3</v>
      </c>
      <c r="AW822">
        <v>3.8239709996118476E-3</v>
      </c>
      <c r="AX822">
        <v>3.8363270310661754E-4</v>
      </c>
      <c r="AY822">
        <v>3.9637495905391957E-4</v>
      </c>
      <c r="BB822">
        <v>6.0338217438544506E-2</v>
      </c>
      <c r="BC822">
        <v>4.2566113519731143E-2</v>
      </c>
      <c r="BE822">
        <v>35644.716421936937</v>
      </c>
      <c r="BF822">
        <v>20.78816897321262</v>
      </c>
      <c r="BG822">
        <v>38247.537314583089</v>
      </c>
      <c r="BH822">
        <v>20.754391573637957</v>
      </c>
    </row>
    <row r="823" spans="3:60" x14ac:dyDescent="0.2">
      <c r="C823" s="138">
        <v>33839.16300009939</v>
      </c>
      <c r="D823">
        <v>20.662311219008487</v>
      </c>
      <c r="E823" s="138">
        <v>35962.889321184208</v>
      </c>
      <c r="F823" s="138">
        <v>20.64691874260695</v>
      </c>
      <c r="G823" s="138">
        <v>-2123.7263210848178</v>
      </c>
      <c r="H823" s="138">
        <v>1.5392476401537181E-2</v>
      </c>
      <c r="N823" s="138"/>
      <c r="O823" s="138"/>
      <c r="P823" s="138"/>
      <c r="R823">
        <v>323.06209674195179</v>
      </c>
      <c r="S823">
        <v>57.998482892195014</v>
      </c>
      <c r="T823">
        <v>276.3802371704403</v>
      </c>
      <c r="U823">
        <v>102.79985937806924</v>
      </c>
      <c r="X823">
        <v>0.86167000187497589</v>
      </c>
      <c r="Y823">
        <v>0.48727814230141747</v>
      </c>
      <c r="Z823">
        <v>0.87744205669015707</v>
      </c>
      <c r="AA823">
        <v>0.77808245623161509</v>
      </c>
      <c r="AB823">
        <v>0.58999337015689413</v>
      </c>
      <c r="AC823">
        <v>0.7157761877251877</v>
      </c>
      <c r="AD823">
        <v>0.79899295467154063</v>
      </c>
      <c r="AE823">
        <v>0.86856484498362962</v>
      </c>
      <c r="AH823">
        <v>7.6000168440408244E-2</v>
      </c>
      <c r="AI823">
        <v>0.11677452214603412</v>
      </c>
      <c r="AJ823">
        <v>0.1362391756957867</v>
      </c>
      <c r="AK823">
        <v>9.067314246565783E-2</v>
      </c>
      <c r="AL823">
        <v>0.20229071372203511</v>
      </c>
      <c r="AM823">
        <v>5.4632180555615584E-2</v>
      </c>
      <c r="AN823">
        <v>9.3713194814336709E-2</v>
      </c>
      <c r="AO823">
        <v>0.10362212304588614</v>
      </c>
      <c r="AR823">
        <v>7.0157245278547082E-4</v>
      </c>
      <c r="AS823">
        <v>4.3756154714380017E-3</v>
      </c>
      <c r="AT823">
        <v>9.9426388440737451E-2</v>
      </c>
      <c r="AU823">
        <v>2.1688942654035648E-3</v>
      </c>
      <c r="AV823">
        <v>1.7040230688510794E-3</v>
      </c>
      <c r="AW823">
        <v>3.4014395011326866E-3</v>
      </c>
      <c r="AX823">
        <v>4.5373308928831069E-4</v>
      </c>
      <c r="AY823">
        <v>3.4858403512392588E-4</v>
      </c>
      <c r="BB823">
        <v>5.6730651321763692E-2</v>
      </c>
      <c r="BC823">
        <v>7.4682069061403733E-2</v>
      </c>
      <c r="BE823">
        <v>33839.16300009939</v>
      </c>
      <c r="BF823">
        <v>20.662311219008487</v>
      </c>
      <c r="BG823">
        <v>35962.889321184208</v>
      </c>
      <c r="BH823">
        <v>20.64691874260695</v>
      </c>
    </row>
    <row r="824" spans="3:60" x14ac:dyDescent="0.2">
      <c r="C824" s="138">
        <v>28002.931177908566</v>
      </c>
      <c r="D824">
        <v>20.091088512146879</v>
      </c>
      <c r="E824" s="138">
        <v>30127.80401879704</v>
      </c>
      <c r="F824" s="138">
        <v>20.021222019323748</v>
      </c>
      <c r="G824" s="138">
        <v>-2124.8728408884745</v>
      </c>
      <c r="H824" s="138">
        <v>6.9866492823130955E-2</v>
      </c>
      <c r="N824" s="138"/>
      <c r="O824" s="138"/>
      <c r="P824" s="138"/>
      <c r="R824">
        <v>296.43259173958575</v>
      </c>
      <c r="S824">
        <v>72.191139838313731</v>
      </c>
      <c r="T824">
        <v>221.6837469136787</v>
      </c>
      <c r="U824">
        <v>99.06623153864814</v>
      </c>
      <c r="X824">
        <v>0.83784108286715853</v>
      </c>
      <c r="Y824">
        <v>0.76295450172617441</v>
      </c>
      <c r="Z824">
        <v>0.83271300597166209</v>
      </c>
      <c r="AA824">
        <v>0.63772223791316307</v>
      </c>
      <c r="AB824">
        <v>0.66428746006979889</v>
      </c>
      <c r="AC824">
        <v>0.74607397547991039</v>
      </c>
      <c r="AD824">
        <v>0.61385493502245103</v>
      </c>
      <c r="AE824">
        <v>0.87655510767952372</v>
      </c>
      <c r="AH824">
        <v>0.11496211384889399</v>
      </c>
      <c r="AI824">
        <v>0.2453198223313392</v>
      </c>
      <c r="AJ824">
        <v>0.27137919814879874</v>
      </c>
      <c r="AK824">
        <v>0.33668990266533894</v>
      </c>
      <c r="AL824">
        <v>0.18720379063167314</v>
      </c>
      <c r="AM824">
        <v>0.10432017213460665</v>
      </c>
      <c r="AN824">
        <v>0.29955902546736224</v>
      </c>
      <c r="AO824">
        <v>9.0701013476413683E-2</v>
      </c>
      <c r="AR824">
        <v>8.6042925467306238E-4</v>
      </c>
      <c r="AS824">
        <v>4.7251928117745257E-3</v>
      </c>
      <c r="AT824">
        <v>0.10108055406675631</v>
      </c>
      <c r="AU824">
        <v>1.8322755870080081E-3</v>
      </c>
      <c r="AV824">
        <v>1.887019143275341E-3</v>
      </c>
      <c r="AW824">
        <v>3.4426041046535794E-3</v>
      </c>
      <c r="AX824">
        <v>3.3855016395013858E-4</v>
      </c>
      <c r="AY824">
        <v>4.7007499942797182E-4</v>
      </c>
      <c r="BB824">
        <v>5.385109972151958E-2</v>
      </c>
      <c r="BC824">
        <v>3.6258383205566395E-2</v>
      </c>
      <c r="BE824">
        <v>28002.931177908566</v>
      </c>
      <c r="BF824">
        <v>20.091088512146879</v>
      </c>
      <c r="BG824">
        <v>30127.80401879704</v>
      </c>
      <c r="BH824">
        <v>20.021222019323748</v>
      </c>
    </row>
    <row r="825" spans="3:60" x14ac:dyDescent="0.2">
      <c r="C825" s="138">
        <v>31995.211988048733</v>
      </c>
      <c r="D825">
        <v>21.550381780472456</v>
      </c>
      <c r="E825" s="138">
        <v>34328.794679296327</v>
      </c>
      <c r="F825" s="138">
        <v>21.568497520697765</v>
      </c>
      <c r="G825" s="138">
        <v>-2333.5826912475932</v>
      </c>
      <c r="H825" s="138">
        <v>-1.8115740225308485E-2</v>
      </c>
      <c r="N825" s="138"/>
      <c r="O825" s="138"/>
      <c r="P825" s="138"/>
      <c r="R825">
        <v>121.68456708861996</v>
      </c>
      <c r="S825">
        <v>45.919741920506979</v>
      </c>
      <c r="T825">
        <v>304.7636860219277</v>
      </c>
      <c r="U825">
        <v>99.96836001279101</v>
      </c>
      <c r="X825">
        <v>0.74696886573870713</v>
      </c>
      <c r="Y825">
        <v>0.79466203249879286</v>
      </c>
      <c r="Z825">
        <v>0.53294481224396384</v>
      </c>
      <c r="AA825">
        <v>0.81844097463433196</v>
      </c>
      <c r="AB825">
        <v>0.79393973794571715</v>
      </c>
      <c r="AC825">
        <v>0.83625058344200076</v>
      </c>
      <c r="AD825">
        <v>0.87228796502214645</v>
      </c>
      <c r="AE825">
        <v>0.82472204314993058</v>
      </c>
      <c r="AH825">
        <v>0.30562808323706081</v>
      </c>
      <c r="AI825">
        <v>6.3380139067741981E-2</v>
      </c>
      <c r="AJ825">
        <v>5.6695458119400799E-2</v>
      </c>
      <c r="AK825">
        <v>3.7202224551580176E-2</v>
      </c>
      <c r="AL825">
        <v>4.0722894722037384E-2</v>
      </c>
      <c r="AM825">
        <v>0.11439625385919772</v>
      </c>
      <c r="AN825">
        <v>8.3905969346364184E-2</v>
      </c>
      <c r="AO825">
        <v>9.2293477716052896E-2</v>
      </c>
      <c r="AR825">
        <v>9.509071392701518E-4</v>
      </c>
      <c r="AS825">
        <v>4.7818420997192135E-3</v>
      </c>
      <c r="AT825">
        <v>0.10021973368913228</v>
      </c>
      <c r="AU825">
        <v>1.9362463909022305E-3</v>
      </c>
      <c r="AV825">
        <v>1.9926331183882972E-3</v>
      </c>
      <c r="AW825">
        <v>3.5387871786520808E-3</v>
      </c>
      <c r="AX825">
        <v>3.3437012116047717E-4</v>
      </c>
      <c r="AY825">
        <v>3.8460838123695844E-4</v>
      </c>
      <c r="BB825">
        <v>4.3494634514582985E-2</v>
      </c>
      <c r="BC825">
        <v>0.11092923859837678</v>
      </c>
      <c r="BE825">
        <v>31995.211988048733</v>
      </c>
      <c r="BF825">
        <v>21.550381780472456</v>
      </c>
      <c r="BG825">
        <v>34328.794679296327</v>
      </c>
      <c r="BH825">
        <v>21.568497520697765</v>
      </c>
    </row>
    <row r="826" spans="3:60" x14ac:dyDescent="0.2">
      <c r="C826" s="138">
        <v>31464.098804489826</v>
      </c>
      <c r="D826">
        <v>21.21772043149706</v>
      </c>
      <c r="E826" s="138">
        <v>33527.516035216431</v>
      </c>
      <c r="F826" s="138">
        <v>21.227953584593433</v>
      </c>
      <c r="G826" s="138">
        <v>-2063.4172307266053</v>
      </c>
      <c r="H826" s="138">
        <v>-1.0233153096372405E-2</v>
      </c>
      <c r="N826" s="138"/>
      <c r="O826" s="138"/>
      <c r="P826" s="138"/>
      <c r="R826">
        <v>374.44914387439127</v>
      </c>
      <c r="S826">
        <v>64.165148762363387</v>
      </c>
      <c r="T826">
        <v>255.74231692326424</v>
      </c>
      <c r="U826">
        <v>101.1582776446253</v>
      </c>
      <c r="X826">
        <v>0.80142666474140256</v>
      </c>
      <c r="Y826">
        <v>0.55959997420483942</v>
      </c>
      <c r="Z826">
        <v>0.8423361332583279</v>
      </c>
      <c r="AA826">
        <v>0.56565349943770982</v>
      </c>
      <c r="AB826">
        <v>0.83181874578942172</v>
      </c>
      <c r="AC826">
        <v>0.75391183096823167</v>
      </c>
      <c r="AD826">
        <v>0.76586721048275452</v>
      </c>
      <c r="AE826">
        <v>0.62440450531233005</v>
      </c>
      <c r="AH826">
        <v>0.16763986372242667</v>
      </c>
      <c r="AI826">
        <v>0.21607532737305002</v>
      </c>
      <c r="AJ826">
        <v>2.3947605333955124E-2</v>
      </c>
      <c r="AK826">
        <v>1.5213902152247494E-2</v>
      </c>
      <c r="AL826">
        <v>0.26786883032684727</v>
      </c>
      <c r="AM826">
        <v>4.9669342497643432E-2</v>
      </c>
      <c r="AN826">
        <v>4.7944543005018048E-2</v>
      </c>
      <c r="AO826">
        <v>0.1933404003453475</v>
      </c>
      <c r="AR826">
        <v>9.4836872718484511E-4</v>
      </c>
      <c r="AS826">
        <v>4.5660991292483244E-3</v>
      </c>
      <c r="AT826">
        <v>9.8591729379817139E-2</v>
      </c>
      <c r="AU826">
        <v>1.8644245953314581E-3</v>
      </c>
      <c r="AV826">
        <v>1.8655779540229594E-3</v>
      </c>
      <c r="AW826">
        <v>3.3502100664020923E-3</v>
      </c>
      <c r="AX826">
        <v>4.1575894251488776E-4</v>
      </c>
      <c r="AY826">
        <v>4.2691944667429157E-4</v>
      </c>
      <c r="BB826">
        <v>4.4411188098267544E-2</v>
      </c>
      <c r="BC826">
        <v>5.4369089167139228E-2</v>
      </c>
      <c r="BE826">
        <v>31464.098804489826</v>
      </c>
      <c r="BF826">
        <v>21.21772043149706</v>
      </c>
      <c r="BG826">
        <v>33527.516035216431</v>
      </c>
      <c r="BH826">
        <v>21.227953584593433</v>
      </c>
    </row>
    <row r="827" spans="3:60" x14ac:dyDescent="0.2">
      <c r="C827" s="138">
        <v>31809.150819504535</v>
      </c>
      <c r="D827">
        <v>19.859583322557675</v>
      </c>
      <c r="E827" s="138">
        <v>33755.05605256014</v>
      </c>
      <c r="F827" s="138">
        <v>19.785165267161567</v>
      </c>
      <c r="G827" s="138">
        <v>-1945.9052330556042</v>
      </c>
      <c r="H827" s="138">
        <v>7.4418055396108684E-2</v>
      </c>
      <c r="N827" s="138"/>
      <c r="O827" s="138"/>
      <c r="P827" s="138"/>
      <c r="R827">
        <v>293.19414469170539</v>
      </c>
      <c r="S827">
        <v>60.744878669856469</v>
      </c>
      <c r="T827">
        <v>257.39600944929714</v>
      </c>
      <c r="U827">
        <v>79.485317970747332</v>
      </c>
      <c r="X827">
        <v>0.76613959268546461</v>
      </c>
      <c r="Y827">
        <v>0.86992680310517545</v>
      </c>
      <c r="Z827">
        <v>0.65794311827160756</v>
      </c>
      <c r="AA827">
        <v>0.6985241699929623</v>
      </c>
      <c r="AB827">
        <v>0.64308653901403989</v>
      </c>
      <c r="AC827">
        <v>0.68587764778714122</v>
      </c>
      <c r="AD827">
        <v>0.72788329895078663</v>
      </c>
      <c r="AE827">
        <v>0.65915378770903099</v>
      </c>
      <c r="AH827">
        <v>2.5187808608474471E-2</v>
      </c>
      <c r="AI827">
        <v>0.22321105069629987</v>
      </c>
      <c r="AJ827">
        <v>0.19606601356466535</v>
      </c>
      <c r="AK827">
        <v>0.26004041129860322</v>
      </c>
      <c r="AL827">
        <v>0.23759689644307536</v>
      </c>
      <c r="AM827">
        <v>0.11079192340552046</v>
      </c>
      <c r="AN827">
        <v>8.9769804886211779E-2</v>
      </c>
      <c r="AO827">
        <v>4.2400260168605541E-2</v>
      </c>
      <c r="AR827">
        <v>8.3452268572272272E-4</v>
      </c>
      <c r="AS827">
        <v>4.3603322832345848E-3</v>
      </c>
      <c r="AT827">
        <v>9.9882147989864972E-2</v>
      </c>
      <c r="AU827">
        <v>1.9047562921477752E-3</v>
      </c>
      <c r="AV827">
        <v>1.9075631990877339E-3</v>
      </c>
      <c r="AW827">
        <v>3.3528154083673884E-3</v>
      </c>
      <c r="AX827">
        <v>5.3995705618625767E-4</v>
      </c>
      <c r="AY827">
        <v>4.2847091015816647E-4</v>
      </c>
      <c r="BB827">
        <v>4.6399623381880244E-2</v>
      </c>
      <c r="BC827">
        <v>6.8010289268197188E-2</v>
      </c>
      <c r="BE827">
        <v>31809.150819504535</v>
      </c>
      <c r="BF827">
        <v>19.859583322557675</v>
      </c>
      <c r="BG827">
        <v>33755.05605256014</v>
      </c>
      <c r="BH827">
        <v>19.785165267161567</v>
      </c>
    </row>
    <row r="828" spans="3:60" x14ac:dyDescent="0.2">
      <c r="C828" s="138">
        <v>31306.731681312842</v>
      </c>
      <c r="D828">
        <v>20.369906444553795</v>
      </c>
      <c r="E828" s="138">
        <v>33251.630424876115</v>
      </c>
      <c r="F828" s="138">
        <v>20.313479149283406</v>
      </c>
      <c r="G828" s="138">
        <v>-1944.8987435632735</v>
      </c>
      <c r="H828" s="138">
        <v>5.6427295270388811E-2</v>
      </c>
      <c r="N828" s="138"/>
      <c r="O828" s="138"/>
      <c r="P828" s="138"/>
      <c r="R828">
        <v>213.48186923685046</v>
      </c>
      <c r="S828">
        <v>56.088607583783848</v>
      </c>
      <c r="T828">
        <v>226.85710874447068</v>
      </c>
      <c r="U828">
        <v>96.193132014184741</v>
      </c>
      <c r="X828">
        <v>0.84204064625774611</v>
      </c>
      <c r="Y828">
        <v>0.88818995060132577</v>
      </c>
      <c r="Z828">
        <v>0.7950737739499536</v>
      </c>
      <c r="AA828">
        <v>0.75930523639627578</v>
      </c>
      <c r="AB828">
        <v>0.56259331542396751</v>
      </c>
      <c r="AC828">
        <v>0.59668424405017451</v>
      </c>
      <c r="AD828">
        <v>0.84886844800893235</v>
      </c>
      <c r="AE828">
        <v>0.7251173581386503</v>
      </c>
      <c r="AH828">
        <v>0.18596807244155256</v>
      </c>
      <c r="AI828">
        <v>0.11193232977567691</v>
      </c>
      <c r="AJ828">
        <v>0.23729230565994774</v>
      </c>
      <c r="AK828">
        <v>9.1478493984457065E-2</v>
      </c>
      <c r="AL828">
        <v>0.10792451250335611</v>
      </c>
      <c r="AM828">
        <v>7.8346829432827891E-2</v>
      </c>
      <c r="AN828">
        <v>4.8732339281690518E-2</v>
      </c>
      <c r="AO828">
        <v>0.13787075604754062</v>
      </c>
      <c r="AR828">
        <v>9.0633731868483558E-4</v>
      </c>
      <c r="AS828">
        <v>4.4277877318470429E-3</v>
      </c>
      <c r="AT828">
        <v>9.8696722362749872E-2</v>
      </c>
      <c r="AU828">
        <v>1.9674735389585171E-3</v>
      </c>
      <c r="AV828">
        <v>1.9162943038171965E-3</v>
      </c>
      <c r="AW828">
        <v>3.4947091714004896E-3</v>
      </c>
      <c r="AX828">
        <v>4.7640259370096416E-4</v>
      </c>
      <c r="AY828">
        <v>4.8103113860475943E-4</v>
      </c>
      <c r="BB828">
        <v>5.3328806152932673E-2</v>
      </c>
      <c r="BC828">
        <v>4.5401936295791118E-2</v>
      </c>
      <c r="BE828">
        <v>31306.731681312842</v>
      </c>
      <c r="BF828">
        <v>20.369906444553795</v>
      </c>
      <c r="BG828">
        <v>33251.630424876115</v>
      </c>
      <c r="BH828">
        <v>20.313479149283406</v>
      </c>
    </row>
    <row r="829" spans="3:60" x14ac:dyDescent="0.2">
      <c r="C829" s="138">
        <v>27784.367128594542</v>
      </c>
      <c r="D829">
        <v>20.094662347544439</v>
      </c>
      <c r="E829" s="138">
        <v>29591.300602064843</v>
      </c>
      <c r="F829" s="138">
        <v>20.060412515028222</v>
      </c>
      <c r="G829" s="138">
        <v>-1806.9334734703007</v>
      </c>
      <c r="H829" s="138">
        <v>3.4249832516216827E-2</v>
      </c>
      <c r="N829" s="138"/>
      <c r="O829" s="138"/>
      <c r="P829" s="138"/>
      <c r="R829">
        <v>70.714145584073066</v>
      </c>
      <c r="S829">
        <v>60.039715573186257</v>
      </c>
      <c r="T829">
        <v>230.6816795802628</v>
      </c>
      <c r="U829">
        <v>101.86290048393838</v>
      </c>
      <c r="X829">
        <v>0.90691849330802365</v>
      </c>
      <c r="Y829">
        <v>0.54574151175961416</v>
      </c>
      <c r="Z829">
        <v>0.9597974607232429</v>
      </c>
      <c r="AA829">
        <v>0.73820134962621997</v>
      </c>
      <c r="AB829">
        <v>0.67795378037623666</v>
      </c>
      <c r="AC829">
        <v>0.74837386540591444</v>
      </c>
      <c r="AD829">
        <v>0.9273688233643842</v>
      </c>
      <c r="AE829">
        <v>0.63918649230761893</v>
      </c>
      <c r="AH829">
        <v>7.2960529643680827E-2</v>
      </c>
      <c r="AI829">
        <v>0.31325365541200856</v>
      </c>
      <c r="AJ829">
        <v>6.9707283481534654E-2</v>
      </c>
      <c r="AK829">
        <v>0.17434886359002166</v>
      </c>
      <c r="AL829">
        <v>0.14153994221102251</v>
      </c>
      <c r="AM829">
        <v>0.11979447411038069</v>
      </c>
      <c r="AN829">
        <v>0.15349256325891414</v>
      </c>
      <c r="AO829">
        <v>0.1472067515668446</v>
      </c>
      <c r="AR829">
        <v>8.5407384450653242E-4</v>
      </c>
      <c r="AS829">
        <v>4.7009095459906725E-3</v>
      </c>
      <c r="AT829">
        <v>9.819322782981095E-2</v>
      </c>
      <c r="AU829">
        <v>1.8676976566557018E-3</v>
      </c>
      <c r="AV829">
        <v>1.9776219217311286E-3</v>
      </c>
      <c r="AW829">
        <v>3.2079737495866564E-3</v>
      </c>
      <c r="AX829">
        <v>3.9731395659203805E-4</v>
      </c>
      <c r="AY829">
        <v>4.1965672470383445E-4</v>
      </c>
      <c r="BB829">
        <v>4.8902574760316959E-2</v>
      </c>
      <c r="BC829">
        <v>3.7598010071175934E-2</v>
      </c>
      <c r="BE829">
        <v>27784.367128594542</v>
      </c>
      <c r="BF829">
        <v>20.094662347544439</v>
      </c>
      <c r="BG829">
        <v>29591.300602064843</v>
      </c>
      <c r="BH829">
        <v>20.060412515028222</v>
      </c>
    </row>
    <row r="830" spans="3:60" x14ac:dyDescent="0.2">
      <c r="C830" s="138">
        <v>29208.240771613717</v>
      </c>
      <c r="D830">
        <v>21.414294609562344</v>
      </c>
      <c r="E830" s="138">
        <v>31031.141299921892</v>
      </c>
      <c r="F830" s="138">
        <v>21.396520259580729</v>
      </c>
      <c r="G830" s="138">
        <v>-1822.9005283081751</v>
      </c>
      <c r="H830" s="138">
        <v>1.7774349981614534E-2</v>
      </c>
      <c r="N830" s="138"/>
      <c r="O830" s="138"/>
      <c r="P830" s="138"/>
      <c r="R830">
        <v>358.99554634736859</v>
      </c>
      <c r="S830">
        <v>66.99474390627789</v>
      </c>
      <c r="T830">
        <v>296.69821691078164</v>
      </c>
      <c r="U830">
        <v>95.47441179770054</v>
      </c>
      <c r="X830">
        <v>0.62310428876338619</v>
      </c>
      <c r="Y830">
        <v>0.72893218576927787</v>
      </c>
      <c r="Z830">
        <v>0.81560276085590999</v>
      </c>
      <c r="AA830">
        <v>0.60520366034700668</v>
      </c>
      <c r="AB830">
        <v>0.82248611157368612</v>
      </c>
      <c r="AC830">
        <v>0.75534758853764117</v>
      </c>
      <c r="AD830">
        <v>0.89471965352952432</v>
      </c>
      <c r="AE830">
        <v>0.81148651077144685</v>
      </c>
      <c r="AH830">
        <v>0.10573895251623489</v>
      </c>
      <c r="AI830">
        <v>4.3535362576420877E-2</v>
      </c>
      <c r="AJ830">
        <v>8.2708705356995815E-2</v>
      </c>
      <c r="AK830">
        <v>5.4080616040669938E-2</v>
      </c>
      <c r="AL830">
        <v>8.1021018128259792E-2</v>
      </c>
      <c r="AM830">
        <v>3.603839538357545E-2</v>
      </c>
      <c r="AN830">
        <v>8.2438608936107105E-2</v>
      </c>
      <c r="AO830">
        <v>0.10951504214414443</v>
      </c>
      <c r="AR830">
        <v>9.8566893215712437E-4</v>
      </c>
      <c r="AS830">
        <v>4.3991157004323817E-3</v>
      </c>
      <c r="AT830">
        <v>9.8897343609913327E-2</v>
      </c>
      <c r="AU830">
        <v>1.9579447392306312E-3</v>
      </c>
      <c r="AV830">
        <v>2.0934396883063311E-3</v>
      </c>
      <c r="AW830">
        <v>3.1210837351132999E-3</v>
      </c>
      <c r="AX830">
        <v>4.3493830423002589E-4</v>
      </c>
      <c r="AY830">
        <v>4.1093139465935165E-4</v>
      </c>
      <c r="BB830">
        <v>5.222222712233926E-2</v>
      </c>
      <c r="BC830">
        <v>4.1637732884046638E-2</v>
      </c>
      <c r="BE830">
        <v>29208.240771613717</v>
      </c>
      <c r="BF830">
        <v>21.414294609562344</v>
      </c>
      <c r="BG830">
        <v>31031.141299921892</v>
      </c>
      <c r="BH830">
        <v>21.396520259580729</v>
      </c>
    </row>
    <row r="831" spans="3:60" x14ac:dyDescent="0.2">
      <c r="C831" s="138">
        <v>27541.856280854456</v>
      </c>
      <c r="D831">
        <v>20.292806845551855</v>
      </c>
      <c r="E831" s="138">
        <v>29932.424381417452</v>
      </c>
      <c r="F831" s="138">
        <v>20.225218414528914</v>
      </c>
      <c r="G831" s="138">
        <v>-2390.5681005629958</v>
      </c>
      <c r="H831" s="138">
        <v>6.7588431022940654E-2</v>
      </c>
      <c r="N831" s="138"/>
      <c r="O831" s="138"/>
      <c r="P831" s="138"/>
      <c r="R831">
        <v>125.60464514774661</v>
      </c>
      <c r="S831">
        <v>48.500447865909713</v>
      </c>
      <c r="T831">
        <v>251.28873620983566</v>
      </c>
      <c r="U831">
        <v>106.21618237345544</v>
      </c>
      <c r="X831">
        <v>0.85433715765200779</v>
      </c>
      <c r="Y831">
        <v>0.73735557544431829</v>
      </c>
      <c r="Z831">
        <v>0.66759999127542724</v>
      </c>
      <c r="AA831">
        <v>0.55502716769630411</v>
      </c>
      <c r="AB831">
        <v>0.62409880917684712</v>
      </c>
      <c r="AC831">
        <v>0.41853354625356559</v>
      </c>
      <c r="AD831">
        <v>0.68658958384306756</v>
      </c>
      <c r="AE831">
        <v>0.92858930697334396</v>
      </c>
      <c r="AH831">
        <v>0.24959333797416505</v>
      </c>
      <c r="AI831">
        <v>0.10627345118738729</v>
      </c>
      <c r="AJ831">
        <v>0.20504951945717487</v>
      </c>
      <c r="AK831">
        <v>0.17088544066785316</v>
      </c>
      <c r="AL831">
        <v>1.6606676772100259E-2</v>
      </c>
      <c r="AM831">
        <v>3.6124168427516312E-2</v>
      </c>
      <c r="AN831">
        <v>0.13310732381584911</v>
      </c>
      <c r="AO831">
        <v>9.8565665874190911E-2</v>
      </c>
      <c r="AR831">
        <v>8.9385025895383219E-4</v>
      </c>
      <c r="AS831">
        <v>4.3891344815424867E-3</v>
      </c>
      <c r="AT831">
        <v>9.981749048385001E-2</v>
      </c>
      <c r="AU831">
        <v>1.7370454626237919E-3</v>
      </c>
      <c r="AV831">
        <v>2.0431970497216678E-3</v>
      </c>
      <c r="AW831">
        <v>3.2564300954073325E-3</v>
      </c>
      <c r="AX831">
        <v>3.5924896184142275E-4</v>
      </c>
      <c r="AY831">
        <v>2.9248062547670674E-4</v>
      </c>
      <c r="BB831">
        <v>4.8465048780372139E-2</v>
      </c>
      <c r="BC831">
        <v>6.2113338681778596E-2</v>
      </c>
      <c r="BE831">
        <v>27541.856280854456</v>
      </c>
      <c r="BF831">
        <v>20.292806845551855</v>
      </c>
      <c r="BG831">
        <v>29932.424381417452</v>
      </c>
      <c r="BH831">
        <v>20.225218414528914</v>
      </c>
    </row>
    <row r="832" spans="3:60" x14ac:dyDescent="0.2">
      <c r="C832" s="138">
        <v>31623.473609380926</v>
      </c>
      <c r="D832">
        <v>21.21211997644135</v>
      </c>
      <c r="E832" s="138">
        <v>33813.49255169565</v>
      </c>
      <c r="F832" s="138">
        <v>21.192327171523615</v>
      </c>
      <c r="G832" s="138">
        <v>-2190.018942314724</v>
      </c>
      <c r="H832" s="138">
        <v>1.9792804917734941E-2</v>
      </c>
      <c r="N832" s="138"/>
      <c r="O832" s="138"/>
      <c r="P832" s="138"/>
      <c r="R832">
        <v>171.3034223109573</v>
      </c>
      <c r="S832">
        <v>65.643556029157693</v>
      </c>
      <c r="T832">
        <v>231.41875306367959</v>
      </c>
      <c r="U832">
        <v>89.264282633579882</v>
      </c>
      <c r="X832">
        <v>0.77745540229229815</v>
      </c>
      <c r="Y832">
        <v>0.92071895779951274</v>
      </c>
      <c r="Z832">
        <v>0.52136203559915917</v>
      </c>
      <c r="AA832">
        <v>0.76772753703379526</v>
      </c>
      <c r="AB832">
        <v>0.73119782034210867</v>
      </c>
      <c r="AC832">
        <v>0.73952107936766831</v>
      </c>
      <c r="AD832">
        <v>0.92074810743490687</v>
      </c>
      <c r="AE832">
        <v>0.80817205480730381</v>
      </c>
      <c r="AH832">
        <v>8.3213767480956657E-2</v>
      </c>
      <c r="AI832">
        <v>7.4806190429276942E-2</v>
      </c>
      <c r="AJ832">
        <v>5.8877330846167197E-2</v>
      </c>
      <c r="AK832">
        <v>0.1579646233346429</v>
      </c>
      <c r="AL832">
        <v>9.1577779566737627E-2</v>
      </c>
      <c r="AM832">
        <v>0.11740626394374276</v>
      </c>
      <c r="AN832">
        <v>0.24625974267667694</v>
      </c>
      <c r="AO832">
        <v>0.12391480246138475</v>
      </c>
      <c r="AR832">
        <v>8.1160055580533079E-4</v>
      </c>
      <c r="AS832">
        <v>4.7547535877848768E-3</v>
      </c>
      <c r="AT832">
        <v>0.10008953836068157</v>
      </c>
      <c r="AU832">
        <v>2.1326535296868343E-3</v>
      </c>
      <c r="AV832">
        <v>1.7483096773237684E-3</v>
      </c>
      <c r="AW832">
        <v>3.8410803349389067E-3</v>
      </c>
      <c r="AX832">
        <v>5.1782719955684176E-4</v>
      </c>
      <c r="AY832">
        <v>4.1447362450842479E-4</v>
      </c>
      <c r="BB832">
        <v>4.7274354847013672E-2</v>
      </c>
      <c r="BC832">
        <v>2.7073023673517594E-2</v>
      </c>
      <c r="BE832">
        <v>31623.473609380926</v>
      </c>
      <c r="BF832">
        <v>21.21211997644135</v>
      </c>
      <c r="BG832">
        <v>33813.49255169565</v>
      </c>
      <c r="BH832">
        <v>21.192327171523615</v>
      </c>
    </row>
    <row r="833" spans="3:60" x14ac:dyDescent="0.2">
      <c r="C833" s="138">
        <v>33723.140892536925</v>
      </c>
      <c r="D833">
        <v>21.030694858550238</v>
      </c>
      <c r="E833" s="138">
        <v>35584.418233774479</v>
      </c>
      <c r="F833" s="138">
        <v>20.985005649254902</v>
      </c>
      <c r="G833" s="138">
        <v>-1861.2773412375536</v>
      </c>
      <c r="H833" s="138">
        <v>4.5689209295336042E-2</v>
      </c>
      <c r="N833" s="138"/>
      <c r="O833" s="138"/>
      <c r="P833" s="138"/>
      <c r="R833">
        <v>346.94978862155403</v>
      </c>
      <c r="S833">
        <v>60.387115753525805</v>
      </c>
      <c r="T833">
        <v>286.88028956180159</v>
      </c>
      <c r="U833">
        <v>87.137047551303468</v>
      </c>
      <c r="X833">
        <v>0.57008787928975801</v>
      </c>
      <c r="Y833">
        <v>0.5501144482724265</v>
      </c>
      <c r="Z833">
        <v>0.87315530221936044</v>
      </c>
      <c r="AA833">
        <v>0.77034243889453125</v>
      </c>
      <c r="AB833">
        <v>0.67267086001749365</v>
      </c>
      <c r="AC833">
        <v>0.9337202669527187</v>
      </c>
      <c r="AD833">
        <v>0.91462908312467739</v>
      </c>
      <c r="AE833">
        <v>0.85198781136261581</v>
      </c>
      <c r="AH833">
        <v>6.4831710460299563E-2</v>
      </c>
      <c r="AI833">
        <v>7.6188582455895215E-2</v>
      </c>
      <c r="AJ833">
        <v>4.4749295293779356E-2</v>
      </c>
      <c r="AK833">
        <v>8.8473502295740358E-2</v>
      </c>
      <c r="AL833">
        <v>7.6514283040478359E-2</v>
      </c>
      <c r="AM833">
        <v>4.5825213332096104E-2</v>
      </c>
      <c r="AN833">
        <v>0.21889088849837612</v>
      </c>
      <c r="AO833">
        <v>0.31505523851687067</v>
      </c>
      <c r="AR833">
        <v>7.9087454650890357E-4</v>
      </c>
      <c r="AS833">
        <v>4.6786735867484497E-3</v>
      </c>
      <c r="AT833">
        <v>9.7635455776983779E-2</v>
      </c>
      <c r="AU833">
        <v>1.832604622170322E-3</v>
      </c>
      <c r="AV833">
        <v>2.1115082048067668E-3</v>
      </c>
      <c r="AW833">
        <v>3.2942055180933461E-3</v>
      </c>
      <c r="AX833">
        <v>4.4077648455720375E-4</v>
      </c>
      <c r="AY833">
        <v>4.3943635269157806E-4</v>
      </c>
      <c r="BB833">
        <v>5.5680098149362367E-2</v>
      </c>
      <c r="BC833">
        <v>4.1852857168282673E-2</v>
      </c>
      <c r="BE833">
        <v>33723.140892536925</v>
      </c>
      <c r="BF833">
        <v>21.030694858550238</v>
      </c>
      <c r="BG833">
        <v>35584.418233774479</v>
      </c>
      <c r="BH833">
        <v>20.985005649254902</v>
      </c>
    </row>
    <row r="834" spans="3:60" x14ac:dyDescent="0.2">
      <c r="C834" s="138">
        <v>33772.359922401105</v>
      </c>
      <c r="D834">
        <v>21.091377753423448</v>
      </c>
      <c r="E834" s="138">
        <v>36094.691434456261</v>
      </c>
      <c r="F834" s="138">
        <v>21.084844442280723</v>
      </c>
      <c r="G834" s="138">
        <v>-2322.3315120551561</v>
      </c>
      <c r="H834" s="138">
        <v>6.5333111427250401E-3</v>
      </c>
      <c r="N834" s="138"/>
      <c r="O834" s="138"/>
      <c r="P834" s="138"/>
      <c r="R834">
        <v>235.06059532009851</v>
      </c>
      <c r="S834">
        <v>63.350520319735317</v>
      </c>
      <c r="T834">
        <v>269.43021545104273</v>
      </c>
      <c r="U834">
        <v>109.73452640908864</v>
      </c>
      <c r="X834">
        <v>0.65628323278943745</v>
      </c>
      <c r="Y834">
        <v>0.77705994254180044</v>
      </c>
      <c r="Z834">
        <v>0.73499378449042252</v>
      </c>
      <c r="AA834">
        <v>0.65440838922789402</v>
      </c>
      <c r="AB834">
        <v>0.6603649692000253</v>
      </c>
      <c r="AC834">
        <v>0.7706461330233173</v>
      </c>
      <c r="AD834">
        <v>0.92000747491928792</v>
      </c>
      <c r="AE834">
        <v>0.85250609742255679</v>
      </c>
      <c r="AH834">
        <v>0.16546455815064931</v>
      </c>
      <c r="AI834">
        <v>0.15332386783843188</v>
      </c>
      <c r="AJ834">
        <v>6.7658693375715395E-2</v>
      </c>
      <c r="AK834">
        <v>0.26681838233409128</v>
      </c>
      <c r="AL834">
        <v>3.5558955150412075E-2</v>
      </c>
      <c r="AM834">
        <v>0.25351399662899776</v>
      </c>
      <c r="AN834">
        <v>0.17247589300152355</v>
      </c>
      <c r="AO834">
        <v>0.25609649896690789</v>
      </c>
      <c r="AR834">
        <v>7.5275370415070529E-4</v>
      </c>
      <c r="AS834">
        <v>4.814182085250196E-3</v>
      </c>
      <c r="AT834">
        <v>9.9934231900524598E-2</v>
      </c>
      <c r="AU834">
        <v>2.1868581322457281E-3</v>
      </c>
      <c r="AV834">
        <v>1.8595458624786989E-3</v>
      </c>
      <c r="AW834">
        <v>3.5202895577978177E-3</v>
      </c>
      <c r="AX834">
        <v>2.7891366017872087E-4</v>
      </c>
      <c r="AY834">
        <v>3.1439422405641216E-4</v>
      </c>
      <c r="BB834">
        <v>4.2881861072788137E-2</v>
      </c>
      <c r="BC834">
        <v>3.8320314844515806E-2</v>
      </c>
      <c r="BE834">
        <v>33772.359922401105</v>
      </c>
      <c r="BF834">
        <v>21.091377753423448</v>
      </c>
      <c r="BG834">
        <v>36094.691434456261</v>
      </c>
      <c r="BH834">
        <v>21.084844442280723</v>
      </c>
    </row>
    <row r="835" spans="3:60" x14ac:dyDescent="0.2">
      <c r="C835" s="138">
        <v>28472.817421224747</v>
      </c>
      <c r="D835">
        <v>21.32156652788229</v>
      </c>
      <c r="E835" s="138">
        <v>30653.454442091774</v>
      </c>
      <c r="F835" s="138">
        <v>21.324012929008745</v>
      </c>
      <c r="G835" s="138">
        <v>-2180.6370208670269</v>
      </c>
      <c r="H835" s="138">
        <v>-2.4464011264555552E-3</v>
      </c>
      <c r="N835" s="138"/>
      <c r="O835" s="138"/>
      <c r="P835" s="138"/>
      <c r="R835">
        <v>96.23009136020022</v>
      </c>
      <c r="S835">
        <v>66.481277130159853</v>
      </c>
      <c r="T835">
        <v>251.13491783327905</v>
      </c>
      <c r="U835">
        <v>83.872303834870891</v>
      </c>
      <c r="X835">
        <v>0.81057216529065346</v>
      </c>
      <c r="Y835">
        <v>0.85317402109311913</v>
      </c>
      <c r="Z835">
        <v>0.67281079551392797</v>
      </c>
      <c r="AA835">
        <v>0.56385259165903845</v>
      </c>
      <c r="AB835">
        <v>0.6550520850780438</v>
      </c>
      <c r="AC835">
        <v>0.70069844544651083</v>
      </c>
      <c r="AD835">
        <v>0.70005737431029647</v>
      </c>
      <c r="AE835">
        <v>0.87795285943200785</v>
      </c>
      <c r="AH835">
        <v>0.21737716826761788</v>
      </c>
      <c r="AI835">
        <v>4.1600736948515515E-2</v>
      </c>
      <c r="AJ835">
        <v>0.11498042599263858</v>
      </c>
      <c r="AK835">
        <v>0.15080414919857832</v>
      </c>
      <c r="AL835">
        <v>9.6999380072216201E-2</v>
      </c>
      <c r="AM835">
        <v>0.20251929088267395</v>
      </c>
      <c r="AN835">
        <v>0.10366861325287302</v>
      </c>
      <c r="AO835">
        <v>4.8020421701547189E-2</v>
      </c>
      <c r="AR835">
        <v>9.38017683410175E-4</v>
      </c>
      <c r="AS835">
        <v>4.7127064130866314E-3</v>
      </c>
      <c r="AT835">
        <v>0.10124133558148385</v>
      </c>
      <c r="AU835">
        <v>2.0913478813952002E-3</v>
      </c>
      <c r="AV835">
        <v>2.0501011009004255E-3</v>
      </c>
      <c r="AW835">
        <v>3.1641553300826293E-3</v>
      </c>
      <c r="AX835">
        <v>3.283421948149803E-4</v>
      </c>
      <c r="AY835">
        <v>4.815584626278735E-4</v>
      </c>
      <c r="BB835">
        <v>4.6836684669931433E-2</v>
      </c>
      <c r="BC835">
        <v>3.8472006590958126E-2</v>
      </c>
      <c r="BE835">
        <v>28472.817421224747</v>
      </c>
      <c r="BF835">
        <v>21.32156652788229</v>
      </c>
      <c r="BG835">
        <v>30653.454442091774</v>
      </c>
      <c r="BH835">
        <v>21.324012929008745</v>
      </c>
    </row>
    <row r="836" spans="3:60" x14ac:dyDescent="0.2">
      <c r="C836" s="138">
        <v>36290.94073449025</v>
      </c>
      <c r="D836">
        <v>21.348985596379613</v>
      </c>
      <c r="E836" s="138">
        <v>38407.967667542405</v>
      </c>
      <c r="F836" s="138">
        <v>21.344640497415494</v>
      </c>
      <c r="G836" s="138">
        <v>-2117.0269330521551</v>
      </c>
      <c r="H836" s="138">
        <v>4.3450989641193871E-3</v>
      </c>
      <c r="N836" s="138"/>
      <c r="O836" s="138"/>
      <c r="P836" s="138"/>
      <c r="R836">
        <v>393.05515319628495</v>
      </c>
      <c r="S836">
        <v>64.222943282995431</v>
      </c>
      <c r="T836">
        <v>256.23724269712187</v>
      </c>
      <c r="U836">
        <v>98.5160964901292</v>
      </c>
      <c r="X836">
        <v>0.56963793178116595</v>
      </c>
      <c r="Y836">
        <v>0.65126563078072142</v>
      </c>
      <c r="Z836">
        <v>0.8541068716700273</v>
      </c>
      <c r="AA836">
        <v>0.67510214070028662</v>
      </c>
      <c r="AB836">
        <v>0.27416925357654687</v>
      </c>
      <c r="AC836">
        <v>0.91720778167733741</v>
      </c>
      <c r="AD836">
        <v>0.86249712067298101</v>
      </c>
      <c r="AE836">
        <v>0.7930709409133293</v>
      </c>
      <c r="AH836">
        <v>8.8003772736759078E-2</v>
      </c>
      <c r="AI836">
        <v>5.0824401459917512E-2</v>
      </c>
      <c r="AJ836">
        <v>0.11071763860487449</v>
      </c>
      <c r="AK836">
        <v>6.7652948484402509E-2</v>
      </c>
      <c r="AL836">
        <v>0.12533003666578779</v>
      </c>
      <c r="AM836">
        <v>8.1015158554575195E-2</v>
      </c>
      <c r="AN836">
        <v>0.18295721849399205</v>
      </c>
      <c r="AO836">
        <v>9.6494301305288355E-2</v>
      </c>
      <c r="AR836">
        <v>8.0951939783596998E-4</v>
      </c>
      <c r="AS836">
        <v>4.1126332173143957E-3</v>
      </c>
      <c r="AT836">
        <v>0.10092147185720435</v>
      </c>
      <c r="AU836">
        <v>1.8426353160771222E-3</v>
      </c>
      <c r="AV836">
        <v>2.0220108181561169E-3</v>
      </c>
      <c r="AW836">
        <v>3.5331140175915987E-3</v>
      </c>
      <c r="AX836">
        <v>4.1356884907595148E-4</v>
      </c>
      <c r="AY836">
        <v>3.6638421251644258E-4</v>
      </c>
      <c r="BB836">
        <v>5.567674026470304E-2</v>
      </c>
      <c r="BC836">
        <v>3.0536227989598607E-2</v>
      </c>
      <c r="BE836">
        <v>36290.94073449025</v>
      </c>
      <c r="BF836">
        <v>21.348985596379613</v>
      </c>
      <c r="BG836">
        <v>38407.967667542405</v>
      </c>
      <c r="BH836">
        <v>21.344640497415494</v>
      </c>
    </row>
    <row r="837" spans="3:60" x14ac:dyDescent="0.2">
      <c r="C837" s="138">
        <v>32361.246784949326</v>
      </c>
      <c r="D837">
        <v>21.037528514877071</v>
      </c>
      <c r="E837" s="138">
        <v>34283.874379658104</v>
      </c>
      <c r="F837" s="138">
        <v>21.002412929225738</v>
      </c>
      <c r="G837" s="138">
        <v>-1922.6275947087779</v>
      </c>
      <c r="H837" s="138">
        <v>3.5115585651332992E-2</v>
      </c>
      <c r="N837" s="138"/>
      <c r="O837" s="138"/>
      <c r="P837" s="138"/>
      <c r="R837">
        <v>299.23231392501873</v>
      </c>
      <c r="S837">
        <v>62.219834173014846</v>
      </c>
      <c r="T837">
        <v>307.23492506788244</v>
      </c>
      <c r="U837">
        <v>95.82030215558224</v>
      </c>
      <c r="X837">
        <v>0.91043258261439264</v>
      </c>
      <c r="Y837">
        <v>0.83767984138980611</v>
      </c>
      <c r="Z837">
        <v>0.86430252803069407</v>
      </c>
      <c r="AA837">
        <v>0.70105124184579681</v>
      </c>
      <c r="AB837">
        <v>0.55146255095995311</v>
      </c>
      <c r="AC837">
        <v>0.59744160485460474</v>
      </c>
      <c r="AD837">
        <v>0.56715624119115671</v>
      </c>
      <c r="AE837">
        <v>0.70363889814753633</v>
      </c>
      <c r="AH837">
        <v>0.18713662537319065</v>
      </c>
      <c r="AI837">
        <v>0.10965702459644533</v>
      </c>
      <c r="AJ837">
        <v>5.733457046121837E-2</v>
      </c>
      <c r="AK837">
        <v>7.3703367984534807E-2</v>
      </c>
      <c r="AL837">
        <v>0.18638920944248083</v>
      </c>
      <c r="AM837">
        <v>6.7525299561610685E-2</v>
      </c>
      <c r="AN837">
        <v>0.12307053458665884</v>
      </c>
      <c r="AO837">
        <v>0.12922661926277235</v>
      </c>
      <c r="AR837">
        <v>7.3092281382992755E-4</v>
      </c>
      <c r="AS837">
        <v>4.3300649186592561E-3</v>
      </c>
      <c r="AT837">
        <v>0.10012716144476486</v>
      </c>
      <c r="AU837">
        <v>1.9785079626038131E-3</v>
      </c>
      <c r="AV837">
        <v>2.4472389891661006E-3</v>
      </c>
      <c r="AW837">
        <v>3.4968333861267187E-3</v>
      </c>
      <c r="AX837">
        <v>6.0579567414442703E-4</v>
      </c>
      <c r="AY837">
        <v>5.6214801896992128E-4</v>
      </c>
      <c r="BB837">
        <v>6.0618582911553864E-2</v>
      </c>
      <c r="BC837">
        <v>5.376096873689129E-2</v>
      </c>
      <c r="BE837">
        <v>32361.246784949326</v>
      </c>
      <c r="BF837">
        <v>21.037528514877071</v>
      </c>
      <c r="BG837">
        <v>34283.874379658104</v>
      </c>
      <c r="BH837">
        <v>21.002412929225738</v>
      </c>
    </row>
    <row r="838" spans="3:60" x14ac:dyDescent="0.2">
      <c r="C838" s="138">
        <v>31585.991042978516</v>
      </c>
      <c r="D838">
        <v>20.14612956776973</v>
      </c>
      <c r="E838" s="138">
        <v>33507.098973035325</v>
      </c>
      <c r="F838" s="138">
        <v>20.098447139636896</v>
      </c>
      <c r="G838" s="138">
        <v>-1921.107930056809</v>
      </c>
      <c r="H838" s="138">
        <v>4.7682428132834076E-2</v>
      </c>
      <c r="N838" s="138"/>
      <c r="O838" s="138"/>
      <c r="P838" s="138"/>
      <c r="R838">
        <v>204.00924570250237</v>
      </c>
      <c r="S838">
        <v>63.60176700219354</v>
      </c>
      <c r="T838">
        <v>243.82780552275051</v>
      </c>
      <c r="U838">
        <v>105.61575067124673</v>
      </c>
      <c r="X838">
        <v>0.56167100745014353</v>
      </c>
      <c r="Y838">
        <v>0.62848707715653629</v>
      </c>
      <c r="Z838">
        <v>0.5833867118422561</v>
      </c>
      <c r="AA838">
        <v>0.47700559536655379</v>
      </c>
      <c r="AB838">
        <v>0.85880592905465469</v>
      </c>
      <c r="AC838">
        <v>0.53647920735223664</v>
      </c>
      <c r="AD838">
        <v>0.71892440201601138</v>
      </c>
      <c r="AE838">
        <v>0.84680568840208492</v>
      </c>
      <c r="AH838">
        <v>7.8372721557107061E-2</v>
      </c>
      <c r="AI838">
        <v>0.23619460134855996</v>
      </c>
      <c r="AJ838">
        <v>9.4929407528516419E-2</v>
      </c>
      <c r="AK838">
        <v>0.14480144714188259</v>
      </c>
      <c r="AL838">
        <v>0.15842577873206776</v>
      </c>
      <c r="AM838">
        <v>0.17466915523881288</v>
      </c>
      <c r="AN838">
        <v>0.2057213535924024</v>
      </c>
      <c r="AO838">
        <v>7.1274369316700836E-2</v>
      </c>
      <c r="AR838">
        <v>1.0245585268584545E-3</v>
      </c>
      <c r="AS838">
        <v>4.7387986705287322E-3</v>
      </c>
      <c r="AT838">
        <v>0.10007414399151271</v>
      </c>
      <c r="AU838">
        <v>1.8702284528685597E-3</v>
      </c>
      <c r="AV838">
        <v>2.086958526513083E-3</v>
      </c>
      <c r="AW838">
        <v>3.5897986850091934E-3</v>
      </c>
      <c r="AX838">
        <v>4.5030377403931787E-4</v>
      </c>
      <c r="AY838">
        <v>5.3489836485665077E-4</v>
      </c>
      <c r="BB838">
        <v>5.8221799950699871E-2</v>
      </c>
      <c r="BC838">
        <v>4.5631549849434905E-2</v>
      </c>
      <c r="BE838">
        <v>31585.991042978516</v>
      </c>
      <c r="BF838">
        <v>20.14612956776973</v>
      </c>
      <c r="BG838">
        <v>33507.098973035325</v>
      </c>
      <c r="BH838">
        <v>20.098447139636896</v>
      </c>
    </row>
    <row r="839" spans="3:60" x14ac:dyDescent="0.2">
      <c r="C839" s="138">
        <v>30574.507036834711</v>
      </c>
      <c r="D839">
        <v>21.509387277602499</v>
      </c>
      <c r="E839" s="138">
        <v>32538.211269956038</v>
      </c>
      <c r="F839" s="138">
        <v>21.538475566044177</v>
      </c>
      <c r="G839" s="138">
        <v>-1963.704233121327</v>
      </c>
      <c r="H839" s="138">
        <v>-2.9088288441677435E-2</v>
      </c>
      <c r="N839" s="138"/>
      <c r="O839" s="138"/>
      <c r="P839" s="138"/>
      <c r="R839">
        <v>72.692488016630818</v>
      </c>
      <c r="S839">
        <v>62.234102574701957</v>
      </c>
      <c r="T839">
        <v>216.35672376465971</v>
      </c>
      <c r="U839">
        <v>103.90565562721474</v>
      </c>
      <c r="X839">
        <v>0.76669939396385756</v>
      </c>
      <c r="Y839">
        <v>0.72492955357594802</v>
      </c>
      <c r="Z839">
        <v>0.60974573569909341</v>
      </c>
      <c r="AA839">
        <v>0.94177513482108277</v>
      </c>
      <c r="AB839">
        <v>0.80899045134355685</v>
      </c>
      <c r="AC839">
        <v>0.83545101775944053</v>
      </c>
      <c r="AD839">
        <v>0.8701638137079285</v>
      </c>
      <c r="AE839">
        <v>0.40775665588125753</v>
      </c>
      <c r="AH839">
        <v>0.11068060778739297</v>
      </c>
      <c r="AI839">
        <v>6.8062581987286208E-2</v>
      </c>
      <c r="AJ839">
        <v>5.5148956884237377E-2</v>
      </c>
      <c r="AK839">
        <v>7.4823661108026407E-2</v>
      </c>
      <c r="AL839">
        <v>7.7325296623359518E-2</v>
      </c>
      <c r="AM839">
        <v>0.23341037600278902</v>
      </c>
      <c r="AN839">
        <v>0.10516761445708334</v>
      </c>
      <c r="AO839">
        <v>0.12887032720541958</v>
      </c>
      <c r="AR839">
        <v>9.2612549319248672E-4</v>
      </c>
      <c r="AS839">
        <v>4.741137337558099E-3</v>
      </c>
      <c r="AT839">
        <v>9.9117260254759601E-2</v>
      </c>
      <c r="AU839">
        <v>2.0337180075783445E-3</v>
      </c>
      <c r="AV839">
        <v>1.9678185372702436E-3</v>
      </c>
      <c r="AW839">
        <v>3.4834543935343687E-3</v>
      </c>
      <c r="AX839">
        <v>4.2752946061408448E-4</v>
      </c>
      <c r="AY839">
        <v>4.0078564939898285E-4</v>
      </c>
      <c r="BB839">
        <v>4.4168787957172363E-2</v>
      </c>
      <c r="BC839">
        <v>2.7237840635772417E-2</v>
      </c>
      <c r="BE839">
        <v>30574.507036834711</v>
      </c>
      <c r="BF839">
        <v>21.509387277602499</v>
      </c>
      <c r="BG839">
        <v>32538.211269956038</v>
      </c>
      <c r="BH839">
        <v>21.538475566044177</v>
      </c>
    </row>
    <row r="840" spans="3:60" x14ac:dyDescent="0.2">
      <c r="C840" s="138">
        <v>33011.782675454524</v>
      </c>
      <c r="D840">
        <v>20.948356425118707</v>
      </c>
      <c r="E840" s="138">
        <v>35455.074454032118</v>
      </c>
      <c r="F840" s="138">
        <v>20.910304210975703</v>
      </c>
      <c r="G840" s="138">
        <v>-2443.2917785775935</v>
      </c>
      <c r="H840" s="138">
        <v>3.8052214143004193E-2</v>
      </c>
      <c r="N840" s="138"/>
      <c r="O840" s="138"/>
      <c r="P840" s="138"/>
      <c r="R840">
        <v>108.4777125278469</v>
      </c>
      <c r="S840">
        <v>65.908539947865933</v>
      </c>
      <c r="T840">
        <v>222.25280500432942</v>
      </c>
      <c r="U840">
        <v>93.833327097507265</v>
      </c>
      <c r="X840">
        <v>0.95963038572894899</v>
      </c>
      <c r="Y840">
        <v>0.51121786368469513</v>
      </c>
      <c r="Z840">
        <v>0.76915143149037746</v>
      </c>
      <c r="AA840">
        <v>0.55442813240804101</v>
      </c>
      <c r="AB840">
        <v>0.86402767910020972</v>
      </c>
      <c r="AC840">
        <v>0.91808937028621962</v>
      </c>
      <c r="AD840">
        <v>0.71383493084877625</v>
      </c>
      <c r="AE840">
        <v>0.77982797231230128</v>
      </c>
      <c r="AH840">
        <v>0.14059111713710581</v>
      </c>
      <c r="AI840">
        <v>3.8484820884997273E-2</v>
      </c>
      <c r="AJ840">
        <v>0.10608327950272045</v>
      </c>
      <c r="AK840">
        <v>8.738859993531034E-2</v>
      </c>
      <c r="AL840">
        <v>3.7114614426388748E-2</v>
      </c>
      <c r="AM840">
        <v>0.11158719339572698</v>
      </c>
      <c r="AN840">
        <v>0.1248451993289047</v>
      </c>
      <c r="AO840">
        <v>0.11083756419134616</v>
      </c>
      <c r="AR840">
        <v>8.8100135464404738E-4</v>
      </c>
      <c r="AS840">
        <v>4.4442143252567661E-3</v>
      </c>
      <c r="AT840">
        <v>0.1001437511884502</v>
      </c>
      <c r="AU840">
        <v>1.8738859813554741E-3</v>
      </c>
      <c r="AV840">
        <v>1.7137952570939845E-3</v>
      </c>
      <c r="AW840">
        <v>3.3967941983705646E-3</v>
      </c>
      <c r="AX840">
        <v>3.9346245505660386E-4</v>
      </c>
      <c r="AY840">
        <v>5.0165892800435596E-4</v>
      </c>
      <c r="BB840">
        <v>5.171339854068735E-2</v>
      </c>
      <c r="BC840">
        <v>1.8505859694481552E-2</v>
      </c>
      <c r="BE840">
        <v>33011.782675454524</v>
      </c>
      <c r="BF840">
        <v>20.948356425118707</v>
      </c>
      <c r="BG840">
        <v>35455.074454032118</v>
      </c>
      <c r="BH840">
        <v>20.910304210975703</v>
      </c>
    </row>
    <row r="841" spans="3:60" x14ac:dyDescent="0.2">
      <c r="C841" s="138">
        <v>36483.403348533691</v>
      </c>
      <c r="D841">
        <v>21.533997199696831</v>
      </c>
      <c r="E841" s="138">
        <v>38289.241979007005</v>
      </c>
      <c r="F841" s="138">
        <v>21.574041906828874</v>
      </c>
      <c r="G841" s="138">
        <v>-1805.838630473314</v>
      </c>
      <c r="H841" s="138">
        <v>-4.0044707132043555E-2</v>
      </c>
      <c r="N841" s="138"/>
      <c r="O841" s="138"/>
      <c r="P841" s="138"/>
      <c r="R841">
        <v>292.18462826969574</v>
      </c>
      <c r="S841">
        <v>59.93386494419844</v>
      </c>
      <c r="T841">
        <v>283.2444474943083</v>
      </c>
      <c r="U841">
        <v>103.67523195509752</v>
      </c>
      <c r="X841">
        <v>0.90248964522027175</v>
      </c>
      <c r="Y841">
        <v>0.77828012080094189</v>
      </c>
      <c r="Z841">
        <v>0.64919310371854522</v>
      </c>
      <c r="AA841">
        <v>0.83581492255387624</v>
      </c>
      <c r="AB841">
        <v>0.61512811649762811</v>
      </c>
      <c r="AC841">
        <v>0.56871840385171868</v>
      </c>
      <c r="AD841">
        <v>0.90346527877427785</v>
      </c>
      <c r="AE841">
        <v>0.80967007052091766</v>
      </c>
      <c r="AH841">
        <v>0.26736251108665365</v>
      </c>
      <c r="AI841">
        <v>4.1440168998576499E-2</v>
      </c>
      <c r="AJ841">
        <v>0.2138834030405905</v>
      </c>
      <c r="AK841">
        <v>0.14200875863691842</v>
      </c>
      <c r="AL841">
        <v>0.17136247241347624</v>
      </c>
      <c r="AM841">
        <v>5.2791716485380613E-2</v>
      </c>
      <c r="AN841">
        <v>0.1202342613653008</v>
      </c>
      <c r="AO841">
        <v>6.0054027330274096E-3</v>
      </c>
      <c r="AR841">
        <v>8.1637182986983299E-4</v>
      </c>
      <c r="AS841">
        <v>4.3221680672614216E-3</v>
      </c>
      <c r="AT841">
        <v>0.10232870887967027</v>
      </c>
      <c r="AU841">
        <v>2.1665869384596137E-3</v>
      </c>
      <c r="AV841">
        <v>1.7325576263554159E-3</v>
      </c>
      <c r="AW841">
        <v>3.7261407919705336E-3</v>
      </c>
      <c r="AX841">
        <v>4.7312273501343149E-4</v>
      </c>
      <c r="AY841">
        <v>4.9384937623053737E-4</v>
      </c>
      <c r="BB841">
        <v>4.7809925467321171E-2</v>
      </c>
      <c r="BC841">
        <v>5.1524527428732814E-2</v>
      </c>
      <c r="BE841">
        <v>36483.403348533691</v>
      </c>
      <c r="BF841">
        <v>21.533997199696831</v>
      </c>
      <c r="BG841">
        <v>38289.241979007005</v>
      </c>
      <c r="BH841">
        <v>21.574041906828874</v>
      </c>
    </row>
    <row r="842" spans="3:60" x14ac:dyDescent="0.2">
      <c r="C842" s="138">
        <v>34937.069303751989</v>
      </c>
      <c r="D842">
        <v>21.571202579953731</v>
      </c>
      <c r="E842" s="138">
        <v>36842.780563015258</v>
      </c>
      <c r="F842" s="138">
        <v>21.554305597329751</v>
      </c>
      <c r="G842" s="138">
        <v>-1905.7112592632693</v>
      </c>
      <c r="H842" s="138">
        <v>1.689698262397954E-2</v>
      </c>
      <c r="N842" s="138"/>
      <c r="O842" s="138"/>
      <c r="P842" s="138"/>
      <c r="R842">
        <v>370.33253690872408</v>
      </c>
      <c r="S842">
        <v>49.49450615654699</v>
      </c>
      <c r="T842">
        <v>254.63016279121061</v>
      </c>
      <c r="U842">
        <v>88.235635898102629</v>
      </c>
      <c r="X842">
        <v>0.63642140590094032</v>
      </c>
      <c r="Y842">
        <v>0.61688165210126222</v>
      </c>
      <c r="Z842">
        <v>0.87376790322122788</v>
      </c>
      <c r="AA842">
        <v>0.82353111374941967</v>
      </c>
      <c r="AB842">
        <v>0.88502392400601182</v>
      </c>
      <c r="AC842">
        <v>0.84219436498055855</v>
      </c>
      <c r="AD842">
        <v>0.69760934038833189</v>
      </c>
      <c r="AE842">
        <v>0.94693042293373964</v>
      </c>
      <c r="AH842">
        <v>0.17737576312560766</v>
      </c>
      <c r="AI842">
        <v>0.21596698234118761</v>
      </c>
      <c r="AJ842">
        <v>0.11197951505528192</v>
      </c>
      <c r="AK842">
        <v>0.18240821573443156</v>
      </c>
      <c r="AL842">
        <v>0.14273176928441844</v>
      </c>
      <c r="AM842">
        <v>0.13307459258196963</v>
      </c>
      <c r="AN842">
        <v>0.17825137163935567</v>
      </c>
      <c r="AO842">
        <v>8.0389745893813869E-2</v>
      </c>
      <c r="AR842">
        <v>9.5096512779246911E-4</v>
      </c>
      <c r="AS842">
        <v>4.5516135622395426E-3</v>
      </c>
      <c r="AT842">
        <v>9.9670443300146974E-2</v>
      </c>
      <c r="AU842">
        <v>2.1818134813119672E-3</v>
      </c>
      <c r="AV842">
        <v>1.8518458076545539E-3</v>
      </c>
      <c r="AW842">
        <v>3.3940238824740603E-3</v>
      </c>
      <c r="AX842">
        <v>4.2173997268835084E-4</v>
      </c>
      <c r="AY842">
        <v>4.736452974490879E-4</v>
      </c>
      <c r="BB842">
        <v>5.0009807881498558E-2</v>
      </c>
      <c r="BC842">
        <v>5.7701075970340021E-2</v>
      </c>
      <c r="BE842">
        <v>34937.069303751989</v>
      </c>
      <c r="BF842">
        <v>21.571202579953731</v>
      </c>
      <c r="BG842">
        <v>36842.780563015258</v>
      </c>
      <c r="BH842">
        <v>21.554305597329751</v>
      </c>
    </row>
    <row r="843" spans="3:60" x14ac:dyDescent="0.2">
      <c r="C843" s="138">
        <v>32179.843434179642</v>
      </c>
      <c r="D843">
        <v>21.257679753107741</v>
      </c>
      <c r="E843" s="138">
        <v>34465.325511505784</v>
      </c>
      <c r="F843" s="138">
        <v>21.236981829900941</v>
      </c>
      <c r="G843" s="138">
        <v>-2285.4820773261417</v>
      </c>
      <c r="H843" s="138">
        <v>2.0697923206800084E-2</v>
      </c>
      <c r="N843" s="138"/>
      <c r="O843" s="138"/>
      <c r="P843" s="138"/>
      <c r="R843">
        <v>174.64636577954002</v>
      </c>
      <c r="S843">
        <v>57.665839944288841</v>
      </c>
      <c r="T843">
        <v>261.49779033232494</v>
      </c>
      <c r="U843">
        <v>101.83259857964896</v>
      </c>
      <c r="X843">
        <v>0.44965605274960196</v>
      </c>
      <c r="Y843">
        <v>0.65326538882934515</v>
      </c>
      <c r="Z843">
        <v>0.91362041346045431</v>
      </c>
      <c r="AA843">
        <v>0.83620271650178846</v>
      </c>
      <c r="AB843">
        <v>0.90710582571789389</v>
      </c>
      <c r="AC843">
        <v>0.81729283105750883</v>
      </c>
      <c r="AD843">
        <v>0.87684237292717593</v>
      </c>
      <c r="AE843">
        <v>0.91065181263947026</v>
      </c>
      <c r="AH843">
        <v>0.17858259139690891</v>
      </c>
      <c r="AI843">
        <v>6.088742743677189E-2</v>
      </c>
      <c r="AJ843">
        <v>6.7989152808558106E-2</v>
      </c>
      <c r="AK843">
        <v>8.4986791302813391E-2</v>
      </c>
      <c r="AL843">
        <v>6.5860671772008939E-3</v>
      </c>
      <c r="AM843">
        <v>0.11138611717831959</v>
      </c>
      <c r="AN843">
        <v>0.10865392845265476</v>
      </c>
      <c r="AO843">
        <v>0.26221040176045662</v>
      </c>
      <c r="AR843">
        <v>9.1778545527232414E-4</v>
      </c>
      <c r="AS843">
        <v>4.4693343108436192E-3</v>
      </c>
      <c r="AT843">
        <v>9.9148553321980484E-2</v>
      </c>
      <c r="AU843">
        <v>2.1196409425928708E-3</v>
      </c>
      <c r="AV843">
        <v>1.9726781685981713E-3</v>
      </c>
      <c r="AW843">
        <v>3.5555025728677414E-3</v>
      </c>
      <c r="AX843">
        <v>5.4604161771398818E-4</v>
      </c>
      <c r="AY843">
        <v>5.0736294256026326E-4</v>
      </c>
      <c r="BB843">
        <v>4.263728553612911E-2</v>
      </c>
      <c r="BC843">
        <v>2.1250404200957911E-2</v>
      </c>
      <c r="BE843">
        <v>32179.843434179642</v>
      </c>
      <c r="BF843">
        <v>21.257679753107741</v>
      </c>
      <c r="BG843">
        <v>34465.325511505784</v>
      </c>
      <c r="BH843">
        <v>21.236981829900941</v>
      </c>
    </row>
    <row r="844" spans="3:60" x14ac:dyDescent="0.2">
      <c r="C844" s="138">
        <v>29455.748963334667</v>
      </c>
      <c r="D844">
        <v>20.337717349465155</v>
      </c>
      <c r="E844" s="138">
        <v>31366.184916782233</v>
      </c>
      <c r="F844" s="138">
        <v>20.286322225599722</v>
      </c>
      <c r="G844" s="138">
        <v>-1910.4359534475661</v>
      </c>
      <c r="H844" s="138">
        <v>5.1395123865432879E-2</v>
      </c>
      <c r="N844" s="138"/>
      <c r="O844" s="138"/>
      <c r="P844" s="138"/>
      <c r="R844">
        <v>158.88970771886073</v>
      </c>
      <c r="S844">
        <v>62.631401317324226</v>
      </c>
      <c r="T844">
        <v>252.34226817773956</v>
      </c>
      <c r="U844">
        <v>87.943459280215507</v>
      </c>
      <c r="X844">
        <v>0.56770247097042381</v>
      </c>
      <c r="Y844">
        <v>0.55192301115984654</v>
      </c>
      <c r="Z844">
        <v>0.60626027108414693</v>
      </c>
      <c r="AA844">
        <v>0.69541951572978233</v>
      </c>
      <c r="AB844">
        <v>0.85808331849752106</v>
      </c>
      <c r="AC844">
        <v>0.86755518074002413</v>
      </c>
      <c r="AD844">
        <v>0.56202316092229632</v>
      </c>
      <c r="AE844">
        <v>0.79531706401166835</v>
      </c>
      <c r="AH844">
        <v>9.8195196124824413E-2</v>
      </c>
      <c r="AI844">
        <v>9.9541803211383284E-2</v>
      </c>
      <c r="AJ844">
        <v>0.21320054169173663</v>
      </c>
      <c r="AK844">
        <v>1.585740156619353E-2</v>
      </c>
      <c r="AL844">
        <v>0.18460190586158276</v>
      </c>
      <c r="AM844">
        <v>6.8148685646660212E-2</v>
      </c>
      <c r="AN844">
        <v>0.26444613484908208</v>
      </c>
      <c r="AO844">
        <v>0.13401946384034069</v>
      </c>
      <c r="AR844">
        <v>8.5201837737547881E-4</v>
      </c>
      <c r="AS844">
        <v>4.5770027500646737E-3</v>
      </c>
      <c r="AT844">
        <v>9.9088079369164569E-2</v>
      </c>
      <c r="AU844">
        <v>1.7232748590433943E-3</v>
      </c>
      <c r="AV844">
        <v>1.8256703690450796E-3</v>
      </c>
      <c r="AW844">
        <v>3.5580972569653202E-3</v>
      </c>
      <c r="AX844">
        <v>3.3042066577140399E-4</v>
      </c>
      <c r="AY844">
        <v>4.2908305007108419E-4</v>
      </c>
      <c r="BB844">
        <v>5.5724704022149352E-2</v>
      </c>
      <c r="BC844">
        <v>5.7950556802576658E-2</v>
      </c>
      <c r="BE844">
        <v>29455.748963334667</v>
      </c>
      <c r="BF844">
        <v>20.337717349465155</v>
      </c>
      <c r="BG844">
        <v>31366.184916782233</v>
      </c>
      <c r="BH844">
        <v>20.286322225599722</v>
      </c>
    </row>
    <row r="845" spans="3:60" x14ac:dyDescent="0.2">
      <c r="C845" s="138">
        <v>31324.795426730878</v>
      </c>
      <c r="D845">
        <v>21.74217127897866</v>
      </c>
      <c r="E845" s="138">
        <v>33836.967903108736</v>
      </c>
      <c r="F845" s="138">
        <v>21.722657084507965</v>
      </c>
      <c r="G845" s="138">
        <v>-2512.1724763778584</v>
      </c>
      <c r="H845" s="138">
        <v>1.951419447069469E-2</v>
      </c>
      <c r="N845" s="138"/>
      <c r="O845" s="138"/>
      <c r="P845" s="138"/>
      <c r="R845">
        <v>76.6723899133126</v>
      </c>
      <c r="S845">
        <v>50.338536603645792</v>
      </c>
      <c r="T845">
        <v>219.68069685691685</v>
      </c>
      <c r="U845">
        <v>101.2729109266382</v>
      </c>
      <c r="X845">
        <v>0.85438048808712752</v>
      </c>
      <c r="Y845">
        <v>0.85084606289404963</v>
      </c>
      <c r="Z845">
        <v>0.88597565364376452</v>
      </c>
      <c r="AA845">
        <v>0.62461326407577167</v>
      </c>
      <c r="AB845">
        <v>0.67228396514620126</v>
      </c>
      <c r="AC845">
        <v>0.53444274548022019</v>
      </c>
      <c r="AD845">
        <v>0.6695644323091724</v>
      </c>
      <c r="AE845">
        <v>0.60658056233627822</v>
      </c>
      <c r="AH845">
        <v>0.21436833037483338</v>
      </c>
      <c r="AI845">
        <v>4.5234228540672605E-2</v>
      </c>
      <c r="AJ845">
        <v>0.2203432758528564</v>
      </c>
      <c r="AK845">
        <v>4.661465774697604E-2</v>
      </c>
      <c r="AL845">
        <v>0.24803062905097961</v>
      </c>
      <c r="AM845">
        <v>0.18361893856328237</v>
      </c>
      <c r="AN845">
        <v>0.10118225130217073</v>
      </c>
      <c r="AO845">
        <v>0.15077643693570519</v>
      </c>
      <c r="AR845">
        <v>1.2034043331357047E-3</v>
      </c>
      <c r="AS845">
        <v>4.7482158734727387E-3</v>
      </c>
      <c r="AT845">
        <v>0.10004145682648702</v>
      </c>
      <c r="AU845">
        <v>2.1041673375277181E-3</v>
      </c>
      <c r="AV845">
        <v>1.8135451779212242E-3</v>
      </c>
      <c r="AW845">
        <v>3.5656602884148736E-3</v>
      </c>
      <c r="AX845">
        <v>4.1990506488753798E-4</v>
      </c>
      <c r="AY845">
        <v>5.2120397278154762E-4</v>
      </c>
      <c r="BB845">
        <v>4.5217983150303238E-2</v>
      </c>
      <c r="BC845">
        <v>6.5570286298073599E-2</v>
      </c>
      <c r="BE845">
        <v>31324.795426730878</v>
      </c>
      <c r="BF845">
        <v>21.74217127897866</v>
      </c>
      <c r="BG845">
        <v>33836.967903108736</v>
      </c>
      <c r="BH845">
        <v>21.722657084507965</v>
      </c>
    </row>
    <row r="846" spans="3:60" x14ac:dyDescent="0.2">
      <c r="C846" s="138">
        <v>33028.303760560244</v>
      </c>
      <c r="D846">
        <v>20.772611959656526</v>
      </c>
      <c r="E846" s="138">
        <v>35614.270905732752</v>
      </c>
      <c r="F846" s="138">
        <v>20.705831212298662</v>
      </c>
      <c r="G846" s="138">
        <v>-2585.967145172508</v>
      </c>
      <c r="H846" s="138">
        <v>6.6780747357864101E-2</v>
      </c>
      <c r="N846" s="138"/>
      <c r="O846" s="138"/>
      <c r="P846" s="138"/>
      <c r="R846">
        <v>272.5858499751518</v>
      </c>
      <c r="S846">
        <v>60.732972372945731</v>
      </c>
      <c r="T846">
        <v>245.45413308777898</v>
      </c>
      <c r="U846">
        <v>118.4325546841192</v>
      </c>
      <c r="X846">
        <v>0.86600907327743515</v>
      </c>
      <c r="Y846">
        <v>0.88962519738705859</v>
      </c>
      <c r="Z846">
        <v>0.85386340306480368</v>
      </c>
      <c r="AA846">
        <v>0.43970846825395743</v>
      </c>
      <c r="AB846">
        <v>0.78397826978311447</v>
      </c>
      <c r="AC846">
        <v>0.70660735672254216</v>
      </c>
      <c r="AD846">
        <v>0.80814321128009914</v>
      </c>
      <c r="AE846">
        <v>0.74775659242215931</v>
      </c>
      <c r="AH846">
        <v>0.1072012760128418</v>
      </c>
      <c r="AI846">
        <v>4.2227456264527619E-2</v>
      </c>
      <c r="AJ846">
        <v>0.2246794348758826</v>
      </c>
      <c r="AK846">
        <v>3.4849984801830436E-2</v>
      </c>
      <c r="AL846">
        <v>0.10441443450215893</v>
      </c>
      <c r="AM846">
        <v>0.13895819796024567</v>
      </c>
      <c r="AN846">
        <v>0.25882473521927241</v>
      </c>
      <c r="AO846">
        <v>8.0415555645230286E-2</v>
      </c>
      <c r="AR846">
        <v>8.5810061960148686E-4</v>
      </c>
      <c r="AS846">
        <v>4.795029897823655E-3</v>
      </c>
      <c r="AT846">
        <v>0.10025421452203542</v>
      </c>
      <c r="AU846">
        <v>1.8442396172024048E-3</v>
      </c>
      <c r="AV846">
        <v>1.8959983366965963E-3</v>
      </c>
      <c r="AW846">
        <v>3.1814987678364035E-3</v>
      </c>
      <c r="AX846">
        <v>4.0976452481089609E-4</v>
      </c>
      <c r="AY846">
        <v>5.0118161873313749E-4</v>
      </c>
      <c r="BB846">
        <v>4.6612590280410787E-2</v>
      </c>
      <c r="BC846">
        <v>0.10352627871350517</v>
      </c>
      <c r="BE846">
        <v>33028.303760560244</v>
      </c>
      <c r="BF846">
        <v>20.772611959656526</v>
      </c>
      <c r="BG846">
        <v>35614.270905732752</v>
      </c>
      <c r="BH846">
        <v>20.705831212298662</v>
      </c>
    </row>
    <row r="847" spans="3:60" x14ac:dyDescent="0.2">
      <c r="C847" s="138">
        <v>28282.184283152681</v>
      </c>
      <c r="D847">
        <v>19.857708831963805</v>
      </c>
      <c r="E847" s="138">
        <v>30054.934382987609</v>
      </c>
      <c r="F847" s="138">
        <v>19.806279149006585</v>
      </c>
      <c r="G847" s="138">
        <v>-1772.7500998349278</v>
      </c>
      <c r="H847" s="138">
        <v>5.142968295722028E-2</v>
      </c>
      <c r="N847" s="138"/>
      <c r="O847" s="138"/>
      <c r="P847" s="138"/>
      <c r="R847">
        <v>296.63665754142676</v>
      </c>
      <c r="S847">
        <v>61.711399612511613</v>
      </c>
      <c r="T847">
        <v>225.58654070774782</v>
      </c>
      <c r="U847">
        <v>99.477574306503143</v>
      </c>
      <c r="X847">
        <v>0.56628630803717894</v>
      </c>
      <c r="Y847">
        <v>0.77604723220600413</v>
      </c>
      <c r="Z847">
        <v>0.65823076932389835</v>
      </c>
      <c r="AA847">
        <v>0.85040873119466986</v>
      </c>
      <c r="AB847">
        <v>0.57162985262573329</v>
      </c>
      <c r="AC847">
        <v>0.68969727657745072</v>
      </c>
      <c r="AD847">
        <v>0.86231085441386313</v>
      </c>
      <c r="AE847">
        <v>0.71795859029287301</v>
      </c>
      <c r="AH847">
        <v>8.849153655852493E-2</v>
      </c>
      <c r="AI847">
        <v>2.9653185480250643E-2</v>
      </c>
      <c r="AJ847">
        <v>0.19692873658840793</v>
      </c>
      <c r="AK847">
        <v>0.13026153552834863</v>
      </c>
      <c r="AL847">
        <v>7.6471441748320323E-2</v>
      </c>
      <c r="AM847">
        <v>4.0087943538089088E-2</v>
      </c>
      <c r="AN847">
        <v>4.3703963689403436E-2</v>
      </c>
      <c r="AO847">
        <v>2.1857056660062657E-2</v>
      </c>
      <c r="AR847">
        <v>8.8261576829159485E-4</v>
      </c>
      <c r="AS847">
        <v>4.3187435957155644E-3</v>
      </c>
      <c r="AT847">
        <v>0.10009707124775069</v>
      </c>
      <c r="AU847">
        <v>2.0672878701984976E-3</v>
      </c>
      <c r="AV847">
        <v>1.9988637223254946E-3</v>
      </c>
      <c r="AW847">
        <v>3.3293986424450519E-3</v>
      </c>
      <c r="AX847">
        <v>4.5274274861373254E-4</v>
      </c>
      <c r="AY847">
        <v>3.8707898552512625E-4</v>
      </c>
      <c r="BB847">
        <v>5.7203386564384839E-2</v>
      </c>
      <c r="BC847">
        <v>9.6335657636224203E-2</v>
      </c>
      <c r="BE847">
        <v>28282.184283152681</v>
      </c>
      <c r="BF847">
        <v>19.857708831963805</v>
      </c>
      <c r="BG847">
        <v>30054.934382987609</v>
      </c>
      <c r="BH847">
        <v>19.806279149006585</v>
      </c>
    </row>
    <row r="848" spans="3:60" x14ac:dyDescent="0.2">
      <c r="C848" s="138">
        <v>25650.725948122014</v>
      </c>
      <c r="D848">
        <v>21.157275086663194</v>
      </c>
      <c r="E848" s="138">
        <v>27591.754668426631</v>
      </c>
      <c r="F848" s="138">
        <v>21.142068814597991</v>
      </c>
      <c r="G848" s="138">
        <v>-1941.0287203046173</v>
      </c>
      <c r="H848" s="138">
        <v>1.5206272065203308E-2</v>
      </c>
      <c r="N848" s="138"/>
      <c r="O848" s="138"/>
      <c r="P848" s="138"/>
      <c r="R848">
        <v>201.98295932958339</v>
      </c>
      <c r="S848">
        <v>60.16403244485123</v>
      </c>
      <c r="T848">
        <v>231.81298214896103</v>
      </c>
      <c r="U848">
        <v>92.548517069785191</v>
      </c>
      <c r="X848">
        <v>0.38769833802838938</v>
      </c>
      <c r="Y848">
        <v>0.73215453748150117</v>
      </c>
      <c r="Z848">
        <v>0.58038224487069734</v>
      </c>
      <c r="AA848">
        <v>0.77070148678268224</v>
      </c>
      <c r="AB848">
        <v>0.93170724791490622</v>
      </c>
      <c r="AC848">
        <v>0.89737714044458405</v>
      </c>
      <c r="AD848">
        <v>0.58422401332213503</v>
      </c>
      <c r="AE848">
        <v>0.63970147007131284</v>
      </c>
      <c r="AH848">
        <v>0.19877098032481832</v>
      </c>
      <c r="AI848">
        <v>0.11160948125103665</v>
      </c>
      <c r="AJ848">
        <v>8.1528143398601483E-2</v>
      </c>
      <c r="AK848">
        <v>9.9482076862231983E-2</v>
      </c>
      <c r="AL848">
        <v>0.20711500357805401</v>
      </c>
      <c r="AM848">
        <v>0.17486687668667744</v>
      </c>
      <c r="AN848">
        <v>0.15185437232630716</v>
      </c>
      <c r="AO848">
        <v>0.12165207918129239</v>
      </c>
      <c r="AR848">
        <v>9.7901673317302151E-4</v>
      </c>
      <c r="AS848">
        <v>4.4076333695706269E-3</v>
      </c>
      <c r="AT848">
        <v>9.9891483818831908E-2</v>
      </c>
      <c r="AU848">
        <v>2.113520838639027E-3</v>
      </c>
      <c r="AV848">
        <v>2.2442084662251949E-3</v>
      </c>
      <c r="AW848">
        <v>3.3686072465089886E-3</v>
      </c>
      <c r="AX848">
        <v>3.6268467127710199E-4</v>
      </c>
      <c r="AY848">
        <v>3.6356716569517711E-4</v>
      </c>
      <c r="BB848">
        <v>5.1989732197628369E-2</v>
      </c>
      <c r="BC848">
        <v>5.7287914260740425E-2</v>
      </c>
      <c r="BE848">
        <v>25650.725948122014</v>
      </c>
      <c r="BF848">
        <v>21.157275086663194</v>
      </c>
      <c r="BG848">
        <v>27591.754668426631</v>
      </c>
      <c r="BH848">
        <v>21.142068814597991</v>
      </c>
    </row>
    <row r="849" spans="3:60" x14ac:dyDescent="0.2">
      <c r="C849" s="138">
        <v>34080.288725933598</v>
      </c>
      <c r="D849">
        <v>19.735432510547422</v>
      </c>
      <c r="E849" s="138">
        <v>36283.13440220675</v>
      </c>
      <c r="F849" s="138">
        <v>19.664064003048502</v>
      </c>
      <c r="G849" s="138">
        <v>-2202.8456762731512</v>
      </c>
      <c r="H849" s="138">
        <v>7.1368507498920764E-2</v>
      </c>
      <c r="N849" s="138"/>
      <c r="O849" s="138"/>
      <c r="P849" s="138"/>
      <c r="R849">
        <v>256.27024145583533</v>
      </c>
      <c r="S849">
        <v>76.946924833813341</v>
      </c>
      <c r="T849">
        <v>198.8329018749306</v>
      </c>
      <c r="U849">
        <v>82.626786019479695</v>
      </c>
      <c r="X849">
        <v>0.71540625435364646</v>
      </c>
      <c r="Y849">
        <v>0.56637357818280276</v>
      </c>
      <c r="Z849">
        <v>0.72548828183122038</v>
      </c>
      <c r="AA849">
        <v>0.820060894325503</v>
      </c>
      <c r="AB849">
        <v>0.69439386585417084</v>
      </c>
      <c r="AC849">
        <v>0.93241813272214547</v>
      </c>
      <c r="AD849">
        <v>0.84366294537628583</v>
      </c>
      <c r="AE849">
        <v>0.85365081725627645</v>
      </c>
      <c r="AH849">
        <v>7.1011771834311066E-2</v>
      </c>
      <c r="AI849">
        <v>9.727309951887142E-2</v>
      </c>
      <c r="AJ849">
        <v>0.16021313273432658</v>
      </c>
      <c r="AK849">
        <v>5.7867097551069557E-2</v>
      </c>
      <c r="AL849">
        <v>6.3480855820551962E-2</v>
      </c>
      <c r="AM849">
        <v>8.5856521904891459E-2</v>
      </c>
      <c r="AN849">
        <v>4.7822576283940377E-2</v>
      </c>
      <c r="AO849">
        <v>0.23389882298201614</v>
      </c>
      <c r="AR849">
        <v>8.5917334821880359E-4</v>
      </c>
      <c r="AS849">
        <v>4.6055838030643059E-3</v>
      </c>
      <c r="AT849">
        <v>9.8846322548816798E-2</v>
      </c>
      <c r="AU849">
        <v>1.7561565836425304E-3</v>
      </c>
      <c r="AV849">
        <v>2.1322407489990924E-3</v>
      </c>
      <c r="AW849">
        <v>3.3956335294126699E-3</v>
      </c>
      <c r="AX849">
        <v>4.4231581520015606E-4</v>
      </c>
      <c r="AY849">
        <v>4.4365281966366892E-4</v>
      </c>
      <c r="BB849">
        <v>4.2814472392205961E-2</v>
      </c>
      <c r="BC849">
        <v>5.0235958450669194E-2</v>
      </c>
      <c r="BE849">
        <v>34080.288725933598</v>
      </c>
      <c r="BF849">
        <v>19.735432510547422</v>
      </c>
      <c r="BG849">
        <v>36283.13440220675</v>
      </c>
      <c r="BH849">
        <v>19.664064003048502</v>
      </c>
    </row>
    <row r="850" spans="3:60" x14ac:dyDescent="0.2">
      <c r="C850" s="138">
        <v>27690.271090096405</v>
      </c>
      <c r="D850">
        <v>21.016437009681834</v>
      </c>
      <c r="E850" s="138">
        <v>30096.708013634398</v>
      </c>
      <c r="F850" s="138">
        <v>20.99458080694151</v>
      </c>
      <c r="G850" s="138">
        <v>-2406.4369235379927</v>
      </c>
      <c r="H850" s="138">
        <v>2.1856202740323738E-2</v>
      </c>
      <c r="N850" s="138"/>
      <c r="O850" s="138"/>
      <c r="P850" s="138"/>
      <c r="R850">
        <v>309.29318232444399</v>
      </c>
      <c r="S850">
        <v>63.126616998340154</v>
      </c>
      <c r="T850">
        <v>230.74887831844913</v>
      </c>
      <c r="U850">
        <v>94.036485810013431</v>
      </c>
      <c r="X850">
        <v>0.60172922644151206</v>
      </c>
      <c r="Y850">
        <v>0.95808327713128683</v>
      </c>
      <c r="Z850">
        <v>0.63725152612272062</v>
      </c>
      <c r="AA850">
        <v>0.76088305035462112</v>
      </c>
      <c r="AB850">
        <v>0.75843645758364409</v>
      </c>
      <c r="AC850">
        <v>0.91329787742707791</v>
      </c>
      <c r="AD850">
        <v>0.85775027509878299</v>
      </c>
      <c r="AE850">
        <v>0.66969343874791498</v>
      </c>
      <c r="AH850">
        <v>9.4232372054012359E-2</v>
      </c>
      <c r="AI850">
        <v>0.16102913845637423</v>
      </c>
      <c r="AJ850">
        <v>0.21292328240550928</v>
      </c>
      <c r="AK850">
        <v>9.4161319849006664E-2</v>
      </c>
      <c r="AL850">
        <v>7.2971349738658597E-2</v>
      </c>
      <c r="AM850">
        <v>8.229370796237534E-3</v>
      </c>
      <c r="AN850">
        <v>0.14165962772619323</v>
      </c>
      <c r="AO850">
        <v>0.16255297067975216</v>
      </c>
      <c r="AR850">
        <v>8.6016137140490414E-4</v>
      </c>
      <c r="AS850">
        <v>4.5306833556353343E-3</v>
      </c>
      <c r="AT850">
        <v>0.10091467409045807</v>
      </c>
      <c r="AU850">
        <v>2.1596477191340169E-3</v>
      </c>
      <c r="AV850">
        <v>2.064330165780448E-3</v>
      </c>
      <c r="AW850">
        <v>3.4061908977808366E-3</v>
      </c>
      <c r="AX850">
        <v>3.7374576630942957E-4</v>
      </c>
      <c r="AY850">
        <v>4.1889013781978824E-4</v>
      </c>
      <c r="BB850">
        <v>5.0905047327958197E-2</v>
      </c>
      <c r="BC850">
        <v>6.3461923927202402E-2</v>
      </c>
      <c r="BE850">
        <v>27690.271090096405</v>
      </c>
      <c r="BF850">
        <v>21.016437009681834</v>
      </c>
      <c r="BG850">
        <v>30096.708013634398</v>
      </c>
      <c r="BH850">
        <v>20.99458080694151</v>
      </c>
    </row>
    <row r="851" spans="3:60" x14ac:dyDescent="0.2">
      <c r="C851" s="138">
        <v>37079.093847656099</v>
      </c>
      <c r="D851">
        <v>21.170907743652741</v>
      </c>
      <c r="E851" s="138">
        <v>38989.20920049816</v>
      </c>
      <c r="F851" s="138">
        <v>21.161943299518693</v>
      </c>
      <c r="G851" s="138">
        <v>-1910.1153528420618</v>
      </c>
      <c r="H851" s="138">
        <v>8.9644441340475112E-3</v>
      </c>
      <c r="N851" s="138"/>
      <c r="O851" s="138"/>
      <c r="P851" s="138"/>
      <c r="R851">
        <v>399.39990579372335</v>
      </c>
      <c r="S851">
        <v>74.787849035956157</v>
      </c>
      <c r="T851">
        <v>250.75315609994672</v>
      </c>
      <c r="U851">
        <v>111.48774420176872</v>
      </c>
      <c r="X851">
        <v>0.50241883284791478</v>
      </c>
      <c r="Y851">
        <v>0.56411919217773476</v>
      </c>
      <c r="Z851">
        <v>0.7810628858155666</v>
      </c>
      <c r="AA851">
        <v>0.73717701913388556</v>
      </c>
      <c r="AB851">
        <v>0.49772053490144974</v>
      </c>
      <c r="AC851">
        <v>0.92133678600296631</v>
      </c>
      <c r="AD851">
        <v>0.81150705261820866</v>
      </c>
      <c r="AE851">
        <v>0.56754372767619266</v>
      </c>
      <c r="AH851">
        <v>0.11361658841350386</v>
      </c>
      <c r="AI851">
        <v>1.8410614481332743E-2</v>
      </c>
      <c r="AJ851">
        <v>0.20922765892307471</v>
      </c>
      <c r="AK851">
        <v>4.8267489821238629E-2</v>
      </c>
      <c r="AL851">
        <v>0.37827206582508721</v>
      </c>
      <c r="AM851">
        <v>0.18862898883401236</v>
      </c>
      <c r="AN851">
        <v>3.8566431485673847E-2</v>
      </c>
      <c r="AO851">
        <v>0.1691606326389864</v>
      </c>
      <c r="AR851">
        <v>8.8407648198749551E-4</v>
      </c>
      <c r="AS851">
        <v>4.5375629219307489E-3</v>
      </c>
      <c r="AT851">
        <v>9.9519782700902573E-2</v>
      </c>
      <c r="AU851">
        <v>2.1974224081906524E-3</v>
      </c>
      <c r="AV851">
        <v>1.8482184270243868E-3</v>
      </c>
      <c r="AW851">
        <v>3.2853437915882021E-3</v>
      </c>
      <c r="AX851">
        <v>3.7762046973480569E-4</v>
      </c>
      <c r="AY851">
        <v>4.9268412056646671E-4</v>
      </c>
      <c r="BB851">
        <v>4.801752748147773E-2</v>
      </c>
      <c r="BC851">
        <v>3.2371147895552808E-2</v>
      </c>
      <c r="BE851">
        <v>37079.093847656099</v>
      </c>
      <c r="BF851">
        <v>21.170907743652741</v>
      </c>
      <c r="BG851">
        <v>38989.20920049816</v>
      </c>
      <c r="BH851">
        <v>21.161943299518693</v>
      </c>
    </row>
    <row r="852" spans="3:60" x14ac:dyDescent="0.2">
      <c r="C852" s="138">
        <v>35833.779430571529</v>
      </c>
      <c r="D852">
        <v>21.096066698235838</v>
      </c>
      <c r="E852" s="138">
        <v>38324.077832868417</v>
      </c>
      <c r="F852" s="138">
        <v>21.072916632036847</v>
      </c>
      <c r="G852" s="138">
        <v>-2490.2984022968885</v>
      </c>
      <c r="H852" s="138">
        <v>2.3150066198990515E-2</v>
      </c>
      <c r="N852" s="138"/>
      <c r="O852" s="138"/>
      <c r="P852" s="138"/>
      <c r="R852">
        <v>330.96676739033319</v>
      </c>
      <c r="S852">
        <v>79.462634853341314</v>
      </c>
      <c r="T852">
        <v>261.61021204477936</v>
      </c>
      <c r="U852">
        <v>90.616651108919513</v>
      </c>
      <c r="X852">
        <v>0.48436724849422008</v>
      </c>
      <c r="Y852">
        <v>0.73145296397002491</v>
      </c>
      <c r="Z852">
        <v>0.29055748254685032</v>
      </c>
      <c r="AA852">
        <v>0.89361928758484255</v>
      </c>
      <c r="AB852">
        <v>0.81967615428419505</v>
      </c>
      <c r="AC852">
        <v>0.81685620462508468</v>
      </c>
      <c r="AD852">
        <v>0.77787345472066161</v>
      </c>
      <c r="AE852">
        <v>0.71409276270737698</v>
      </c>
      <c r="AH852">
        <v>0.12019353585186943</v>
      </c>
      <c r="AI852">
        <v>1.6984319428108297E-3</v>
      </c>
      <c r="AJ852">
        <v>0.22643604109001836</v>
      </c>
      <c r="AK852">
        <v>0.16276848121887122</v>
      </c>
      <c r="AL852">
        <v>0.16471518883316705</v>
      </c>
      <c r="AM852">
        <v>0.11432462032227664</v>
      </c>
      <c r="AN852">
        <v>2.6771101727843472E-2</v>
      </c>
      <c r="AO852">
        <v>2.8506938680215921E-2</v>
      </c>
      <c r="AR852">
        <v>8.2511067698764877E-4</v>
      </c>
      <c r="AS852">
        <v>4.3991028748159161E-3</v>
      </c>
      <c r="AT852">
        <v>9.9471228888572225E-2</v>
      </c>
      <c r="AU852">
        <v>2.1676030355676223E-3</v>
      </c>
      <c r="AV852">
        <v>2.1214331842951406E-3</v>
      </c>
      <c r="AW852">
        <v>3.3306042523694192E-3</v>
      </c>
      <c r="AX852">
        <v>3.9953615232835027E-4</v>
      </c>
      <c r="AY852">
        <v>5.0492997039131016E-4</v>
      </c>
      <c r="BB852">
        <v>4.8570391435805445E-2</v>
      </c>
      <c r="BC852">
        <v>3.7770810003675305E-2</v>
      </c>
      <c r="BE852">
        <v>35833.779430571529</v>
      </c>
      <c r="BF852">
        <v>21.096066698235838</v>
      </c>
      <c r="BG852">
        <v>38324.077832868417</v>
      </c>
      <c r="BH852">
        <v>21.072916632036847</v>
      </c>
    </row>
    <row r="853" spans="3:60" x14ac:dyDescent="0.2">
      <c r="C853" s="138">
        <v>32268.50518970699</v>
      </c>
      <c r="D853">
        <v>20.092051447022321</v>
      </c>
      <c r="E853" s="138">
        <v>34485.769231840779</v>
      </c>
      <c r="F853" s="138">
        <v>20.095800816585022</v>
      </c>
      <c r="G853" s="138">
        <v>-2217.2640421337892</v>
      </c>
      <c r="H853" s="138">
        <v>-3.7493695627013324E-3</v>
      </c>
      <c r="N853" s="138"/>
      <c r="O853" s="138"/>
      <c r="P853" s="138"/>
      <c r="R853">
        <v>261.77312714621002</v>
      </c>
      <c r="S853">
        <v>67.795808158129972</v>
      </c>
      <c r="T853">
        <v>286.47754403739202</v>
      </c>
      <c r="U853">
        <v>106.60603602850088</v>
      </c>
      <c r="X853">
        <v>0.58657878026702936</v>
      </c>
      <c r="Y853">
        <v>0.64576489846459517</v>
      </c>
      <c r="Z853">
        <v>0.78546114698516178</v>
      </c>
      <c r="AA853">
        <v>0.50330637207095719</v>
      </c>
      <c r="AB853">
        <v>0.75654217750107933</v>
      </c>
      <c r="AC853">
        <v>0.47084753944493873</v>
      </c>
      <c r="AD853">
        <v>0.41388091177856817</v>
      </c>
      <c r="AE853">
        <v>0.67220822596911289</v>
      </c>
      <c r="AH853">
        <v>7.2401078073064395E-2</v>
      </c>
      <c r="AI853">
        <v>7.7006395300954211E-2</v>
      </c>
      <c r="AJ853">
        <v>0.12716140015709176</v>
      </c>
      <c r="AK853">
        <v>0.37280545882915517</v>
      </c>
      <c r="AL853">
        <v>0.25420804485373083</v>
      </c>
      <c r="AM853">
        <v>0.21249951034379677</v>
      </c>
      <c r="AN853">
        <v>8.4753733134443121E-2</v>
      </c>
      <c r="AO853">
        <v>0.26001794308204718</v>
      </c>
      <c r="AR853">
        <v>9.7009998989339152E-4</v>
      </c>
      <c r="AS853">
        <v>4.7012467439129235E-3</v>
      </c>
      <c r="AT853">
        <v>0.10054417467348875</v>
      </c>
      <c r="AU853">
        <v>1.7466936590279426E-3</v>
      </c>
      <c r="AV853">
        <v>1.9935411911158351E-3</v>
      </c>
      <c r="AW853">
        <v>2.9605553720468861E-3</v>
      </c>
      <c r="AX853">
        <v>3.5694265004145584E-4</v>
      </c>
      <c r="AY853">
        <v>4.7098419118696278E-4</v>
      </c>
      <c r="BB853">
        <v>5.5639956291622439E-2</v>
      </c>
      <c r="BC853">
        <v>2.4278114181037067E-2</v>
      </c>
      <c r="BE853">
        <v>32268.50518970699</v>
      </c>
      <c r="BF853">
        <v>20.092051447022321</v>
      </c>
      <c r="BG853">
        <v>34485.769231840779</v>
      </c>
      <c r="BH853">
        <v>20.095800816585022</v>
      </c>
    </row>
    <row r="854" spans="3:60" x14ac:dyDescent="0.2">
      <c r="C854" s="138">
        <v>26200.72535497549</v>
      </c>
      <c r="D854">
        <v>21.50368037935748</v>
      </c>
      <c r="E854" s="138">
        <v>28091.491812468696</v>
      </c>
      <c r="F854" s="138">
        <v>21.484885193219352</v>
      </c>
      <c r="G854" s="138">
        <v>-1890.766457493206</v>
      </c>
      <c r="H854" s="138">
        <v>1.8795186138127917E-2</v>
      </c>
      <c r="N854" s="138"/>
      <c r="O854" s="138"/>
      <c r="P854" s="138"/>
      <c r="R854">
        <v>229.61492643617066</v>
      </c>
      <c r="S854">
        <v>63.463452238027926</v>
      </c>
      <c r="T854">
        <v>223.51025056005767</v>
      </c>
      <c r="U854">
        <v>93.745152561229418</v>
      </c>
      <c r="X854">
        <v>0.52515262963773113</v>
      </c>
      <c r="Y854">
        <v>0.58905982133436974</v>
      </c>
      <c r="Z854">
        <v>0.83782558076763458</v>
      </c>
      <c r="AA854">
        <v>0.43378852111012622</v>
      </c>
      <c r="AB854">
        <v>0.88875431729217613</v>
      </c>
      <c r="AC854">
        <v>0.89220468780870377</v>
      </c>
      <c r="AD854">
        <v>0.76133827353927952</v>
      </c>
      <c r="AE854">
        <v>0.74758700375007747</v>
      </c>
      <c r="AH854">
        <v>6.316308415780636E-2</v>
      </c>
      <c r="AI854">
        <v>4.7727811784934904E-2</v>
      </c>
      <c r="AJ854">
        <v>1.1390069147813042E-2</v>
      </c>
      <c r="AK854">
        <v>5.6458673426650008E-2</v>
      </c>
      <c r="AL854">
        <v>6.0949843169662454E-2</v>
      </c>
      <c r="AM854">
        <v>2.8489165163125607E-2</v>
      </c>
      <c r="AN854">
        <v>0.17696729587048288</v>
      </c>
      <c r="AO854">
        <v>7.9995938445384218E-2</v>
      </c>
      <c r="AR854">
        <v>8.8357251747462045E-4</v>
      </c>
      <c r="AS854">
        <v>4.4827597617356253E-3</v>
      </c>
      <c r="AT854">
        <v>9.9393880775942647E-2</v>
      </c>
      <c r="AU854">
        <v>2.118481007146622E-3</v>
      </c>
      <c r="AV854">
        <v>2.0491538506756113E-3</v>
      </c>
      <c r="AW854">
        <v>3.4844363287048763E-3</v>
      </c>
      <c r="AX854">
        <v>3.949110671827585E-4</v>
      </c>
      <c r="AY854">
        <v>3.5697451594311655E-4</v>
      </c>
      <c r="BB854">
        <v>5.7558107128962255E-2</v>
      </c>
      <c r="BC854">
        <v>3.1695161649823188E-2</v>
      </c>
      <c r="BE854">
        <v>26200.72535497549</v>
      </c>
      <c r="BF854">
        <v>21.50368037935748</v>
      </c>
      <c r="BG854">
        <v>28091.491812468696</v>
      </c>
      <c r="BH854">
        <v>21.484885193219352</v>
      </c>
    </row>
    <row r="855" spans="3:60" x14ac:dyDescent="0.2">
      <c r="C855" s="138">
        <v>36962.09914999966</v>
      </c>
      <c r="D855">
        <v>21.0052677852911</v>
      </c>
      <c r="E855" s="138">
        <v>39565.761268437382</v>
      </c>
      <c r="F855" s="138">
        <v>20.969471845854319</v>
      </c>
      <c r="G855" s="138">
        <v>-2603.6621184377218</v>
      </c>
      <c r="H855" s="138">
        <v>3.5795939436781055E-2</v>
      </c>
      <c r="N855" s="138"/>
      <c r="O855" s="138"/>
      <c r="P855" s="138"/>
      <c r="R855">
        <v>300.194747972031</v>
      </c>
      <c r="S855">
        <v>59.978450332866984</v>
      </c>
      <c r="T855">
        <v>273.93810278310372</v>
      </c>
      <c r="U855">
        <v>76.469897431104442</v>
      </c>
      <c r="X855">
        <v>0.60162444621570899</v>
      </c>
      <c r="Y855">
        <v>0.73874148791274452</v>
      </c>
      <c r="Z855">
        <v>0.6848283885346268</v>
      </c>
      <c r="AA855">
        <v>0.67832600640410035</v>
      </c>
      <c r="AB855">
        <v>0.5938059405707562</v>
      </c>
      <c r="AC855">
        <v>0.72062796030976128</v>
      </c>
      <c r="AD855">
        <v>0.77060113289089716</v>
      </c>
      <c r="AE855">
        <v>0.67752703582070684</v>
      </c>
      <c r="AH855">
        <v>0.14527521787810771</v>
      </c>
      <c r="AI855">
        <v>6.3579598956729155E-2</v>
      </c>
      <c r="AJ855">
        <v>0.10187275566055409</v>
      </c>
      <c r="AK855">
        <v>2.9088656620731568E-2</v>
      </c>
      <c r="AL855">
        <v>4.7351637191051399E-2</v>
      </c>
      <c r="AM855">
        <v>9.7550529340368231E-2</v>
      </c>
      <c r="AN855">
        <v>0.24739132661656216</v>
      </c>
      <c r="AO855">
        <v>3.5166629639324931E-2</v>
      </c>
      <c r="AR855">
        <v>9.3236183864975342E-4</v>
      </c>
      <c r="AS855">
        <v>4.2898604980710275E-3</v>
      </c>
      <c r="AT855">
        <v>0.10076657006121881</v>
      </c>
      <c r="AU855">
        <v>2.059724190299983E-3</v>
      </c>
      <c r="AV855">
        <v>1.8506489345937493E-3</v>
      </c>
      <c r="AW855">
        <v>3.5377396232699754E-3</v>
      </c>
      <c r="AX855">
        <v>3.9006959000790922E-4</v>
      </c>
      <c r="AY855">
        <v>4.2713599580918813E-4</v>
      </c>
      <c r="BB855">
        <v>4.643146667775163E-2</v>
      </c>
      <c r="BC855">
        <v>3.9539235102682861E-2</v>
      </c>
      <c r="BE855">
        <v>36962.09914999966</v>
      </c>
      <c r="BF855">
        <v>21.0052677852911</v>
      </c>
      <c r="BG855">
        <v>39565.761268437382</v>
      </c>
      <c r="BH855">
        <v>20.969471845854319</v>
      </c>
    </row>
    <row r="856" spans="3:60" x14ac:dyDescent="0.2">
      <c r="C856" s="138">
        <v>36106.561715143427</v>
      </c>
      <c r="D856">
        <v>21.513351366135097</v>
      </c>
      <c r="E856" s="138">
        <v>38347.0320988885</v>
      </c>
      <c r="F856" s="138">
        <v>21.498094916601858</v>
      </c>
      <c r="G856" s="138">
        <v>-2240.4703837450725</v>
      </c>
      <c r="H856" s="138">
        <v>1.5256449533239902E-2</v>
      </c>
      <c r="N856" s="138"/>
      <c r="O856" s="138"/>
      <c r="P856" s="138"/>
      <c r="R856">
        <v>244.67711837534932</v>
      </c>
      <c r="S856">
        <v>57.680645413543637</v>
      </c>
      <c r="T856">
        <v>252.26192596428837</v>
      </c>
      <c r="U856">
        <v>79.942859746151456</v>
      </c>
      <c r="X856">
        <v>0.87354537598626647</v>
      </c>
      <c r="Y856">
        <v>0.77248075323238008</v>
      </c>
      <c r="Z856">
        <v>0.80871102912279613</v>
      </c>
      <c r="AA856">
        <v>0.88263130329155792</v>
      </c>
      <c r="AB856">
        <v>0.92244446377576272</v>
      </c>
      <c r="AC856">
        <v>0.81304198204617306</v>
      </c>
      <c r="AD856">
        <v>0.96909805100208324</v>
      </c>
      <c r="AE856">
        <v>0.66643797012408301</v>
      </c>
      <c r="AH856">
        <v>0.10724874621619307</v>
      </c>
      <c r="AI856">
        <v>4.5775066025319333E-2</v>
      </c>
      <c r="AJ856">
        <v>4.6587709584829717E-2</v>
      </c>
      <c r="AK856">
        <v>6.8675556680156791E-2</v>
      </c>
      <c r="AL856">
        <v>3.7064712917256104E-2</v>
      </c>
      <c r="AM856">
        <v>8.1630875429264727E-2</v>
      </c>
      <c r="AN856">
        <v>0.12304030079438966</v>
      </c>
      <c r="AO856">
        <v>9.0092426089188771E-2</v>
      </c>
      <c r="AR856">
        <v>1.047985899698789E-3</v>
      </c>
      <c r="AS856">
        <v>4.1150154312036636E-3</v>
      </c>
      <c r="AT856">
        <v>9.9424716422031087E-2</v>
      </c>
      <c r="AU856">
        <v>1.9914567093632066E-3</v>
      </c>
      <c r="AV856">
        <v>1.8737588433675723E-3</v>
      </c>
      <c r="AW856">
        <v>3.364479372382908E-3</v>
      </c>
      <c r="AX856">
        <v>4.8504259653003867E-4</v>
      </c>
      <c r="AY856">
        <v>3.6794827568959398E-4</v>
      </c>
      <c r="BB856">
        <v>4.7531754325334213E-2</v>
      </c>
      <c r="BC856">
        <v>4.7907560598892562E-2</v>
      </c>
      <c r="BE856">
        <v>36106.561715143427</v>
      </c>
      <c r="BF856">
        <v>21.513351366135097</v>
      </c>
      <c r="BG856">
        <v>38347.0320988885</v>
      </c>
      <c r="BH856">
        <v>21.498094916601858</v>
      </c>
    </row>
    <row r="857" spans="3:60" x14ac:dyDescent="0.2">
      <c r="C857" s="138">
        <v>32689.646357701775</v>
      </c>
      <c r="D857">
        <v>21.663404293990094</v>
      </c>
      <c r="E857" s="138">
        <v>34965.620970933058</v>
      </c>
      <c r="F857" s="138">
        <v>21.669067754219164</v>
      </c>
      <c r="G857" s="138">
        <v>-2275.974613231283</v>
      </c>
      <c r="H857" s="138">
        <v>-5.6634602290692726E-3</v>
      </c>
      <c r="N857" s="138"/>
      <c r="O857" s="138"/>
      <c r="P857" s="138"/>
      <c r="R857">
        <v>329.79462991522536</v>
      </c>
      <c r="S857">
        <v>54.535895938760163</v>
      </c>
      <c r="T857">
        <v>295.2628950316851</v>
      </c>
      <c r="U857">
        <v>86.95624932586729</v>
      </c>
      <c r="X857">
        <v>0.96351772840459415</v>
      </c>
      <c r="Y857">
        <v>0.3502534875129239</v>
      </c>
      <c r="Z857">
        <v>0.80092035149212815</v>
      </c>
      <c r="AA857">
        <v>0.7338564483106772</v>
      </c>
      <c r="AB857">
        <v>0.71595993678229652</v>
      </c>
      <c r="AC857">
        <v>0.61222933238841892</v>
      </c>
      <c r="AD857">
        <v>0.50132915935501865</v>
      </c>
      <c r="AE857">
        <v>0.60658281826424898</v>
      </c>
      <c r="AH857">
        <v>8.2258650458083116E-2</v>
      </c>
      <c r="AI857">
        <v>0.16234827737249669</v>
      </c>
      <c r="AJ857">
        <v>0.17034410782530829</v>
      </c>
      <c r="AK857">
        <v>0.17518193421449246</v>
      </c>
      <c r="AL857">
        <v>0.14234629135945331</v>
      </c>
      <c r="AM857">
        <v>0.13534022714132599</v>
      </c>
      <c r="AN857">
        <v>0.10505083154129835</v>
      </c>
      <c r="AO857">
        <v>0.23750741870744752</v>
      </c>
      <c r="AR857">
        <v>9.361428715355391E-4</v>
      </c>
      <c r="AS857">
        <v>4.3868760934008761E-3</v>
      </c>
      <c r="AT857">
        <v>9.99897017428866E-2</v>
      </c>
      <c r="AU857">
        <v>2.3398157340518422E-3</v>
      </c>
      <c r="AV857">
        <v>1.9154522769060812E-3</v>
      </c>
      <c r="AW857">
        <v>3.2227406443684306E-3</v>
      </c>
      <c r="AX857">
        <v>3.7848099095471027E-4</v>
      </c>
      <c r="AY857">
        <v>3.7209376593152636E-4</v>
      </c>
      <c r="BB857">
        <v>5.7243539411863664E-2</v>
      </c>
      <c r="BC857">
        <v>4.4570714224853439E-2</v>
      </c>
      <c r="BE857">
        <v>32689.646357701775</v>
      </c>
      <c r="BF857">
        <v>21.663404293990094</v>
      </c>
      <c r="BG857">
        <v>34965.620970933058</v>
      </c>
      <c r="BH857">
        <v>21.669067754219164</v>
      </c>
    </row>
    <row r="858" spans="3:60" x14ac:dyDescent="0.2">
      <c r="C858" s="138">
        <v>35346.977840207357</v>
      </c>
      <c r="D858">
        <v>20.988343781006513</v>
      </c>
      <c r="E858" s="138">
        <v>37318.673675781552</v>
      </c>
      <c r="F858" s="138">
        <v>20.962255485612236</v>
      </c>
      <c r="G858" s="138">
        <v>-1971.6958355741954</v>
      </c>
      <c r="H858" s="138">
        <v>2.6088295394277594E-2</v>
      </c>
      <c r="N858" s="138"/>
      <c r="O858" s="138"/>
      <c r="P858" s="138"/>
      <c r="R858">
        <v>244.06361622323345</v>
      </c>
      <c r="S858">
        <v>55.198569656535604</v>
      </c>
      <c r="T858">
        <v>257.37664130900305</v>
      </c>
      <c r="U858">
        <v>101.28796337487799</v>
      </c>
      <c r="X858">
        <v>0.72167133346148971</v>
      </c>
      <c r="Y858">
        <v>0.59347989757955555</v>
      </c>
      <c r="Z858">
        <v>0.64320175227539345</v>
      </c>
      <c r="AA858">
        <v>0.7912015197381812</v>
      </c>
      <c r="AB858">
        <v>0.91173838577527966</v>
      </c>
      <c r="AC858">
        <v>0.39024819493101115</v>
      </c>
      <c r="AD858">
        <v>0.7222654472381459</v>
      </c>
      <c r="AE858">
        <v>0.47667860757482922</v>
      </c>
      <c r="AH858">
        <v>7.7430857042796175E-2</v>
      </c>
      <c r="AI858">
        <v>6.1740737300186255E-2</v>
      </c>
      <c r="AJ858">
        <v>0.13241708579419853</v>
      </c>
      <c r="AK858">
        <v>5.7201158220363979E-2</v>
      </c>
      <c r="AL858">
        <v>0.16453644001646806</v>
      </c>
      <c r="AM858">
        <v>0.17597456880141127</v>
      </c>
      <c r="AN858">
        <v>0.11107935668048241</v>
      </c>
      <c r="AO858">
        <v>4.5328796756137324E-2</v>
      </c>
      <c r="AR858">
        <v>8.8697105167834245E-4</v>
      </c>
      <c r="AS858">
        <v>4.3723547616359125E-3</v>
      </c>
      <c r="AT858">
        <v>0.10026447415913187</v>
      </c>
      <c r="AU858">
        <v>2.2004681729157483E-3</v>
      </c>
      <c r="AV858">
        <v>1.9912303865463354E-3</v>
      </c>
      <c r="AW858">
        <v>3.332438031030002E-3</v>
      </c>
      <c r="AX858">
        <v>3.2907001890550454E-4</v>
      </c>
      <c r="AY858">
        <v>4.7393550964280884E-4</v>
      </c>
      <c r="BB858">
        <v>5.0525251198944909E-2</v>
      </c>
      <c r="BC858">
        <v>3.3211451847530833E-2</v>
      </c>
      <c r="BE858">
        <v>35346.977840207357</v>
      </c>
      <c r="BF858">
        <v>20.988343781006513</v>
      </c>
      <c r="BG858">
        <v>37318.673675781552</v>
      </c>
      <c r="BH858">
        <v>20.962255485612236</v>
      </c>
    </row>
    <row r="859" spans="3:60" x14ac:dyDescent="0.2">
      <c r="C859" s="138">
        <v>29830.173455593176</v>
      </c>
      <c r="D859">
        <v>21.202082769649838</v>
      </c>
      <c r="E859" s="138">
        <v>31687.376784891672</v>
      </c>
      <c r="F859" s="138">
        <v>21.179331137789426</v>
      </c>
      <c r="G859" s="138">
        <v>-1857.2033292984961</v>
      </c>
      <c r="H859" s="138">
        <v>2.2751631860412402E-2</v>
      </c>
      <c r="N859" s="138"/>
      <c r="O859" s="138"/>
      <c r="P859" s="138"/>
      <c r="R859">
        <v>249.88749154104244</v>
      </c>
      <c r="S859">
        <v>57.303271251941425</v>
      </c>
      <c r="T859">
        <v>250.69455086550519</v>
      </c>
      <c r="U859">
        <v>89.470825890960953</v>
      </c>
      <c r="X859">
        <v>0.79159796352382394</v>
      </c>
      <c r="Y859">
        <v>0.69521024140186161</v>
      </c>
      <c r="Z859">
        <v>0.56333643350729379</v>
      </c>
      <c r="AA859">
        <v>0.74057199621248493</v>
      </c>
      <c r="AB859">
        <v>0.59177333497995221</v>
      </c>
      <c r="AC859">
        <v>0.90262610513049224</v>
      </c>
      <c r="AD859">
        <v>0.68212006414409032</v>
      </c>
      <c r="AE859">
        <v>0.55449295633039375</v>
      </c>
      <c r="AH859">
        <v>5.1567053136375218E-2</v>
      </c>
      <c r="AI859">
        <v>0.27772621427563626</v>
      </c>
      <c r="AJ859">
        <v>5.75498042930358E-2</v>
      </c>
      <c r="AK859">
        <v>3.094462871374315E-2</v>
      </c>
      <c r="AL859">
        <v>7.9876147405412046E-2</v>
      </c>
      <c r="AM859">
        <v>9.4962940787137406E-2</v>
      </c>
      <c r="AN859">
        <v>0.21254320526159298</v>
      </c>
      <c r="AO859">
        <v>0.19835278843007376</v>
      </c>
      <c r="AR859">
        <v>8.1935160798985915E-4</v>
      </c>
      <c r="AS859">
        <v>4.4237707593435963E-3</v>
      </c>
      <c r="AT859">
        <v>9.9687228478246431E-2</v>
      </c>
      <c r="AU859">
        <v>2.0257624443309474E-3</v>
      </c>
      <c r="AV859">
        <v>1.917669974114002E-3</v>
      </c>
      <c r="AW859">
        <v>3.3846078759583024E-3</v>
      </c>
      <c r="AX859">
        <v>4.5778124508111251E-4</v>
      </c>
      <c r="AY859">
        <v>5.1190286544022801E-4</v>
      </c>
      <c r="BB859">
        <v>4.259638469237767E-2</v>
      </c>
      <c r="BC859">
        <v>6.7368279249163332E-2</v>
      </c>
      <c r="BE859">
        <v>29830.173455593176</v>
      </c>
      <c r="BF859">
        <v>21.202082769649838</v>
      </c>
      <c r="BG859">
        <v>31687.376784891672</v>
      </c>
      <c r="BH859">
        <v>21.179331137789426</v>
      </c>
    </row>
    <row r="860" spans="3:60" x14ac:dyDescent="0.2">
      <c r="C860" s="138">
        <v>29357.607156380127</v>
      </c>
      <c r="D860">
        <v>21.343209507808485</v>
      </c>
      <c r="E860" s="138">
        <v>31223.608175945301</v>
      </c>
      <c r="F860" s="138">
        <v>21.337113296102888</v>
      </c>
      <c r="G860" s="138">
        <v>-1866.0010195651739</v>
      </c>
      <c r="H860" s="138">
        <v>6.0962117055964882E-3</v>
      </c>
      <c r="N860" s="138"/>
      <c r="O860" s="138"/>
      <c r="P860" s="138"/>
      <c r="R860">
        <v>182.48668214886632</v>
      </c>
      <c r="S860">
        <v>67.233089012576016</v>
      </c>
      <c r="T860">
        <v>260.61692306584263</v>
      </c>
      <c r="U860">
        <v>102.76981648927688</v>
      </c>
      <c r="X860">
        <v>0.58178163735811073</v>
      </c>
      <c r="Y860">
        <v>0.69212496573876636</v>
      </c>
      <c r="Z860">
        <v>0.97815148999031498</v>
      </c>
      <c r="AA860">
        <v>0.8603344916562331</v>
      </c>
      <c r="AB860">
        <v>0.91976942959463126</v>
      </c>
      <c r="AC860">
        <v>0.74814479146234503</v>
      </c>
      <c r="AD860">
        <v>0.81462500398803617</v>
      </c>
      <c r="AE860">
        <v>0.73453708216720659</v>
      </c>
      <c r="AH860">
        <v>0.18953658037368948</v>
      </c>
      <c r="AI860">
        <v>6.2733793298652363E-2</v>
      </c>
      <c r="AJ860">
        <v>7.1633575845664099E-2</v>
      </c>
      <c r="AK860">
        <v>5.3499356058922087E-2</v>
      </c>
      <c r="AL860">
        <v>0.16679811092036445</v>
      </c>
      <c r="AM860">
        <v>0.28446739380756436</v>
      </c>
      <c r="AN860">
        <v>0.4232631103778246</v>
      </c>
      <c r="AO860">
        <v>3.6122170757751482E-2</v>
      </c>
      <c r="AR860">
        <v>9.8850687339491206E-4</v>
      </c>
      <c r="AS860">
        <v>4.2854107625455665E-3</v>
      </c>
      <c r="AT860">
        <v>9.953369434260706E-2</v>
      </c>
      <c r="AU860">
        <v>2.1574843542029321E-3</v>
      </c>
      <c r="AV860">
        <v>1.7975979017651068E-3</v>
      </c>
      <c r="AW860">
        <v>3.6583414258418712E-3</v>
      </c>
      <c r="AX860">
        <v>3.9252057538649181E-4</v>
      </c>
      <c r="AY860">
        <v>4.2787251886677993E-4</v>
      </c>
      <c r="BB860">
        <v>5.0401519408571849E-2</v>
      </c>
      <c r="BC860">
        <v>8.9910221757800834E-2</v>
      </c>
      <c r="BE860">
        <v>29357.607156380127</v>
      </c>
      <c r="BF860">
        <v>21.343209507808485</v>
      </c>
      <c r="BG860">
        <v>31223.608175945301</v>
      </c>
      <c r="BH860">
        <v>21.337113296102888</v>
      </c>
    </row>
    <row r="861" spans="3:60" x14ac:dyDescent="0.2">
      <c r="C861" s="138">
        <v>32090.793286108787</v>
      </c>
      <c r="D861">
        <v>20.720020794523048</v>
      </c>
      <c r="E861" s="138">
        <v>34452.62737223845</v>
      </c>
      <c r="F861" s="138">
        <v>20.686326728259601</v>
      </c>
      <c r="G861" s="138">
        <v>-2361.8340861296638</v>
      </c>
      <c r="H861" s="138">
        <v>3.3694066263446842E-2</v>
      </c>
      <c r="N861" s="138"/>
      <c r="O861" s="138"/>
      <c r="P861" s="138"/>
      <c r="R861">
        <v>135.77250800751148</v>
      </c>
      <c r="S861">
        <v>68.804301773183383</v>
      </c>
      <c r="T861">
        <v>261.48897671936504</v>
      </c>
      <c r="U861">
        <v>105.19121245384203</v>
      </c>
      <c r="X861">
        <v>0.77371529228466018</v>
      </c>
      <c r="Y861">
        <v>0.78585856830869316</v>
      </c>
      <c r="Z861">
        <v>0.84964612924261096</v>
      </c>
      <c r="AA861">
        <v>0.81374160115231775</v>
      </c>
      <c r="AB861">
        <v>0.64896017294688491</v>
      </c>
      <c r="AC861">
        <v>0.9405589214742377</v>
      </c>
      <c r="AD861">
        <v>0.75405173600633069</v>
      </c>
      <c r="AE861">
        <v>0.68989007192813379</v>
      </c>
      <c r="AH861">
        <v>5.7627798467745572E-2</v>
      </c>
      <c r="AI861">
        <v>9.2499963599111057E-2</v>
      </c>
      <c r="AJ861">
        <v>3.9623272765285766E-2</v>
      </c>
      <c r="AK861">
        <v>0.23117705970049918</v>
      </c>
      <c r="AL861">
        <v>0.16425081397138053</v>
      </c>
      <c r="AM861">
        <v>0.14518592199011793</v>
      </c>
      <c r="AN861">
        <v>2.2691550304024033E-2</v>
      </c>
      <c r="AO861">
        <v>0.25479837455844923</v>
      </c>
      <c r="AR861">
        <v>7.3512753913530207E-4</v>
      </c>
      <c r="AS861">
        <v>4.4685858210408626E-3</v>
      </c>
      <c r="AT861">
        <v>0.10064262256294376</v>
      </c>
      <c r="AU861">
        <v>2.0200309645543868E-3</v>
      </c>
      <c r="AV861">
        <v>1.8773017354036952E-3</v>
      </c>
      <c r="AW861">
        <v>3.4140007497911462E-3</v>
      </c>
      <c r="AX861">
        <v>4.4032429959850461E-4</v>
      </c>
      <c r="AY861">
        <v>3.9446786626163628E-4</v>
      </c>
      <c r="BB861">
        <v>4.1978010185193086E-2</v>
      </c>
      <c r="BC861">
        <v>5.0126830445111903E-2</v>
      </c>
      <c r="BE861">
        <v>32090.793286108787</v>
      </c>
      <c r="BF861">
        <v>20.720020794523048</v>
      </c>
      <c r="BG861">
        <v>34452.62737223845</v>
      </c>
      <c r="BH861">
        <v>20.686326728259601</v>
      </c>
    </row>
    <row r="862" spans="3:60" x14ac:dyDescent="0.2">
      <c r="C862" s="138">
        <v>30818.108177205999</v>
      </c>
      <c r="D862">
        <v>20.6078914279909</v>
      </c>
      <c r="E862" s="138">
        <v>32921.68100433192</v>
      </c>
      <c r="F862" s="138">
        <v>20.598256188622909</v>
      </c>
      <c r="G862" s="138">
        <v>-2103.5728271259213</v>
      </c>
      <c r="H862" s="138">
        <v>9.6352393679914883E-3</v>
      </c>
      <c r="N862" s="138"/>
      <c r="O862" s="138"/>
      <c r="P862" s="138"/>
      <c r="R862">
        <v>347.66522327711675</v>
      </c>
      <c r="S862">
        <v>67.710561265501227</v>
      </c>
      <c r="T862">
        <v>288.66002800939327</v>
      </c>
      <c r="U862">
        <v>106.21477386947237</v>
      </c>
      <c r="X862">
        <v>0.80315258527613087</v>
      </c>
      <c r="Y862">
        <v>0.84739903801803573</v>
      </c>
      <c r="Z862">
        <v>0.84581471265348029</v>
      </c>
      <c r="AA862">
        <v>0.80430767320665197</v>
      </c>
      <c r="AB862">
        <v>0.91133988883339878</v>
      </c>
      <c r="AC862">
        <v>0.55158942621093998</v>
      </c>
      <c r="AD862">
        <v>0.72465812963944276</v>
      </c>
      <c r="AE862">
        <v>0.88837395614692571</v>
      </c>
      <c r="AH862">
        <v>2.524504512122272E-2</v>
      </c>
      <c r="AI862">
        <v>0.22963469795052327</v>
      </c>
      <c r="AJ862">
        <v>6.4615557705911542E-3</v>
      </c>
      <c r="AK862">
        <v>8.6921603294489169E-2</v>
      </c>
      <c r="AL862">
        <v>3.4159469647011553E-2</v>
      </c>
      <c r="AM862">
        <v>4.4715888483845889E-2</v>
      </c>
      <c r="AN862">
        <v>0.14512660750048467</v>
      </c>
      <c r="AO862">
        <v>5.8947625865667375E-2</v>
      </c>
      <c r="AR862">
        <v>9.3938729483145078E-4</v>
      </c>
      <c r="AS862">
        <v>4.5922849713865288E-3</v>
      </c>
      <c r="AT862">
        <v>0.1007353001933925</v>
      </c>
      <c r="AU862">
        <v>2.0862927953839705E-3</v>
      </c>
      <c r="AV862">
        <v>1.9139905667133945E-3</v>
      </c>
      <c r="AW862">
        <v>3.8085906013570758E-3</v>
      </c>
      <c r="AX862">
        <v>2.821273817920354E-4</v>
      </c>
      <c r="AY862">
        <v>4.6365075205323514E-4</v>
      </c>
      <c r="BB862">
        <v>4.5126954886465537E-2</v>
      </c>
      <c r="BC862">
        <v>2.121899982483751E-2</v>
      </c>
      <c r="BE862">
        <v>30818.108177205999</v>
      </c>
      <c r="BF862">
        <v>20.6078914279909</v>
      </c>
      <c r="BG862">
        <v>32921.68100433192</v>
      </c>
      <c r="BH862">
        <v>20.598256188622909</v>
      </c>
    </row>
    <row r="863" spans="3:60" x14ac:dyDescent="0.2">
      <c r="C863" s="138">
        <v>32277.460612734936</v>
      </c>
      <c r="D863">
        <v>21.400986239545318</v>
      </c>
      <c r="E863" s="138">
        <v>34692.631885582254</v>
      </c>
      <c r="F863" s="138">
        <v>21.375119859821549</v>
      </c>
      <c r="G863" s="138">
        <v>-2415.1712728473176</v>
      </c>
      <c r="H863" s="138">
        <v>2.5866379723769484E-2</v>
      </c>
      <c r="N863" s="138"/>
      <c r="O863" s="138"/>
      <c r="P863" s="138"/>
      <c r="R863">
        <v>347.4352129096128</v>
      </c>
      <c r="S863">
        <v>78.418889248524152</v>
      </c>
      <c r="T863">
        <v>219.59741656531193</v>
      </c>
      <c r="U863">
        <v>104.70239348898909</v>
      </c>
      <c r="X863">
        <v>0.77320037644028972</v>
      </c>
      <c r="Y863">
        <v>0.80722446103556611</v>
      </c>
      <c r="Z863">
        <v>0.77604557809376296</v>
      </c>
      <c r="AA863">
        <v>0.83658575022451953</v>
      </c>
      <c r="AB863">
        <v>0.79574918049966914</v>
      </c>
      <c r="AC863">
        <v>0.85593896665696645</v>
      </c>
      <c r="AD863">
        <v>0.90659139119757015</v>
      </c>
      <c r="AE863">
        <v>0.62936791051911234</v>
      </c>
      <c r="AH863">
        <v>0.10503212444614118</v>
      </c>
      <c r="AI863">
        <v>4.4606185243358465E-2</v>
      </c>
      <c r="AJ863">
        <v>0.1213531464655776</v>
      </c>
      <c r="AK863">
        <v>0.31293794874081426</v>
      </c>
      <c r="AL863">
        <v>9.253671937513086E-2</v>
      </c>
      <c r="AM863">
        <v>0.31601798055122132</v>
      </c>
      <c r="AN863">
        <v>4.3902383885144669E-2</v>
      </c>
      <c r="AO863">
        <v>0.22647711468392595</v>
      </c>
      <c r="AR863">
        <v>8.2041357098007375E-4</v>
      </c>
      <c r="AS863">
        <v>4.609165737681109E-3</v>
      </c>
      <c r="AT863">
        <v>0.10057283529574124</v>
      </c>
      <c r="AU863">
        <v>2.1727554754793488E-3</v>
      </c>
      <c r="AV863">
        <v>1.9291109907363234E-3</v>
      </c>
      <c r="AW863">
        <v>3.4045779262230694E-3</v>
      </c>
      <c r="AX863">
        <v>3.779900338982492E-4</v>
      </c>
      <c r="AY863">
        <v>5.8015478537853937E-4</v>
      </c>
      <c r="BB863">
        <v>4.9697597962182337E-2</v>
      </c>
      <c r="BC863">
        <v>0.10235732772386552</v>
      </c>
      <c r="BE863">
        <v>32277.460612734936</v>
      </c>
      <c r="BF863">
        <v>21.400986239545318</v>
      </c>
      <c r="BG863">
        <v>34692.631885582254</v>
      </c>
      <c r="BH863">
        <v>21.375119859821549</v>
      </c>
    </row>
    <row r="864" spans="3:60" x14ac:dyDescent="0.2">
      <c r="C864" s="138">
        <v>24720.339333384771</v>
      </c>
      <c r="D864">
        <v>21.311285535615411</v>
      </c>
      <c r="E864" s="138">
        <v>26656.188740662132</v>
      </c>
      <c r="F864" s="138">
        <v>21.296273348778744</v>
      </c>
      <c r="G864" s="138">
        <v>-1935.849407277361</v>
      </c>
      <c r="H864" s="138">
        <v>1.5012186836667496E-2</v>
      </c>
      <c r="N864" s="138"/>
      <c r="O864" s="138"/>
      <c r="P864" s="138"/>
      <c r="R864">
        <v>197.35319818680992</v>
      </c>
      <c r="S864">
        <v>65.494684406470483</v>
      </c>
      <c r="T864">
        <v>222.73745502247209</v>
      </c>
      <c r="U864">
        <v>103.91460932201191</v>
      </c>
      <c r="X864">
        <v>0.79700223602674924</v>
      </c>
      <c r="Y864">
        <v>0.68978996513155277</v>
      </c>
      <c r="Z864">
        <v>0.78609099377368263</v>
      </c>
      <c r="AA864">
        <v>0.80162102738610841</v>
      </c>
      <c r="AB864">
        <v>0.69833687872601646</v>
      </c>
      <c r="AC864">
        <v>0.86502984576057274</v>
      </c>
      <c r="AD864">
        <v>0.83314513002124857</v>
      </c>
      <c r="AE864">
        <v>0.89811926030601663</v>
      </c>
      <c r="AH864">
        <v>5.5107261903668214E-2</v>
      </c>
      <c r="AI864">
        <v>8.3755072050788582E-2</v>
      </c>
      <c r="AJ864">
        <v>6.9395769447476274E-2</v>
      </c>
      <c r="AK864">
        <v>0.2028255274354348</v>
      </c>
      <c r="AL864">
        <v>5.5259393027545789E-2</v>
      </c>
      <c r="AM864">
        <v>0.17420867385473082</v>
      </c>
      <c r="AN864">
        <v>0.11483000351095951</v>
      </c>
      <c r="AO864">
        <v>0.11859597821703549</v>
      </c>
      <c r="AR864">
        <v>9.2469703776487666E-4</v>
      </c>
      <c r="AS864">
        <v>4.4056574496126304E-3</v>
      </c>
      <c r="AT864">
        <v>9.9975891066056075E-2</v>
      </c>
      <c r="AU864">
        <v>2.2648084013084935E-3</v>
      </c>
      <c r="AV864">
        <v>1.7708783506049303E-3</v>
      </c>
      <c r="AW864">
        <v>3.3436871970434021E-3</v>
      </c>
      <c r="AX864">
        <v>3.9488635512714216E-4</v>
      </c>
      <c r="AY864">
        <v>6.0344334604633953E-4</v>
      </c>
      <c r="BB864">
        <v>5.1019431926408898E-2</v>
      </c>
      <c r="BC864">
        <v>7.7462337908226209E-2</v>
      </c>
      <c r="BE864">
        <v>24720.339333384771</v>
      </c>
      <c r="BF864">
        <v>21.311285535615411</v>
      </c>
      <c r="BG864">
        <v>26656.188740662132</v>
      </c>
      <c r="BH864">
        <v>21.296273348778744</v>
      </c>
    </row>
    <row r="865" spans="3:60" x14ac:dyDescent="0.2">
      <c r="C865" s="138">
        <v>32894.935361571181</v>
      </c>
      <c r="D865">
        <v>21.542208484485709</v>
      </c>
      <c r="E865" s="138">
        <v>34936.234338222319</v>
      </c>
      <c r="F865" s="138">
        <v>21.53056652398099</v>
      </c>
      <c r="G865" s="138">
        <v>-2041.2989766511382</v>
      </c>
      <c r="H865" s="138">
        <v>1.164196050471844E-2</v>
      </c>
      <c r="N865" s="138"/>
      <c r="O865" s="138"/>
      <c r="P865" s="138"/>
      <c r="R865">
        <v>140.94098902303708</v>
      </c>
      <c r="S865">
        <v>58.834779517851651</v>
      </c>
      <c r="T865">
        <v>272.12929729651506</v>
      </c>
      <c r="U865">
        <v>92.496228295229798</v>
      </c>
      <c r="X865">
        <v>0.92467373585980983</v>
      </c>
      <c r="Y865">
        <v>0.61932244512417256</v>
      </c>
      <c r="Z865">
        <v>0.88885696294995953</v>
      </c>
      <c r="AA865">
        <v>0.8045345898184415</v>
      </c>
      <c r="AB865">
        <v>0.68262548378900922</v>
      </c>
      <c r="AC865">
        <v>0.71272334823821237</v>
      </c>
      <c r="AD865">
        <v>0.74831751487947507</v>
      </c>
      <c r="AE865">
        <v>0.61119705462017604</v>
      </c>
      <c r="AH865">
        <v>0.14421677950885925</v>
      </c>
      <c r="AI865">
        <v>8.4690438194360063E-2</v>
      </c>
      <c r="AJ865">
        <v>0.33845485578405199</v>
      </c>
      <c r="AK865">
        <v>0.10953660746820948</v>
      </c>
      <c r="AL865">
        <v>0.21362133173058695</v>
      </c>
      <c r="AM865">
        <v>9.1125481720829571E-3</v>
      </c>
      <c r="AN865">
        <v>1.6639326500231477E-2</v>
      </c>
      <c r="AO865">
        <v>0.13123465014310343</v>
      </c>
      <c r="AR865">
        <v>8.6241664737288085E-4</v>
      </c>
      <c r="AS865">
        <v>4.4534803226542194E-3</v>
      </c>
      <c r="AT865">
        <v>9.9401563535889248E-2</v>
      </c>
      <c r="AU865">
        <v>1.9915879924625123E-3</v>
      </c>
      <c r="AV865">
        <v>2.2265855244275601E-3</v>
      </c>
      <c r="AW865">
        <v>3.2000295990010949E-3</v>
      </c>
      <c r="AX865">
        <v>3.9963284145894118E-4</v>
      </c>
      <c r="AY865">
        <v>4.2115302071517644E-4</v>
      </c>
      <c r="BB865">
        <v>6.117609200379992E-2</v>
      </c>
      <c r="BC865">
        <v>3.4339443197798046E-2</v>
      </c>
      <c r="BE865">
        <v>32894.935361571181</v>
      </c>
      <c r="BF865">
        <v>21.542208484485709</v>
      </c>
      <c r="BG865">
        <v>34936.234338222319</v>
      </c>
      <c r="BH865">
        <v>21.53056652398099</v>
      </c>
    </row>
    <row r="866" spans="3:60" x14ac:dyDescent="0.2">
      <c r="C866" s="138">
        <v>33285.707521063567</v>
      </c>
      <c r="D866">
        <v>20.990506543529133</v>
      </c>
      <c r="E866" s="138">
        <v>35419.961786976244</v>
      </c>
      <c r="F866" s="138">
        <v>20.958031780331975</v>
      </c>
      <c r="G866" s="138">
        <v>-2134.2542659126775</v>
      </c>
      <c r="H866" s="138">
        <v>3.2474763197157586E-2</v>
      </c>
      <c r="N866" s="138"/>
      <c r="O866" s="138"/>
      <c r="P866" s="138"/>
      <c r="R866">
        <v>229.71785977168472</v>
      </c>
      <c r="S866">
        <v>58.65219527802126</v>
      </c>
      <c r="T866">
        <v>272.73159753669034</v>
      </c>
      <c r="U866">
        <v>99.19354628279028</v>
      </c>
      <c r="X866">
        <v>0.81421108014188848</v>
      </c>
      <c r="Y866">
        <v>0.95692215450880957</v>
      </c>
      <c r="Z866">
        <v>0.58970012961756646</v>
      </c>
      <c r="AA866">
        <v>0.68416039827162445</v>
      </c>
      <c r="AB866">
        <v>0.80250706161234653</v>
      </c>
      <c r="AC866">
        <v>0.91511956825932761</v>
      </c>
      <c r="AD866">
        <v>0.94476120910765027</v>
      </c>
      <c r="AE866">
        <v>0.70592468497425476</v>
      </c>
      <c r="AH866">
        <v>0.18027465430806699</v>
      </c>
      <c r="AI866">
        <v>0.10085686594016663</v>
      </c>
      <c r="AJ866">
        <v>0.22218666187401614</v>
      </c>
      <c r="AK866">
        <v>0.1066073067906772</v>
      </c>
      <c r="AL866">
        <v>0.18003371426364945</v>
      </c>
      <c r="AM866">
        <v>0.24762020946137253</v>
      </c>
      <c r="AN866">
        <v>9.107359620261879E-2</v>
      </c>
      <c r="AO866">
        <v>3.0219538051736938E-2</v>
      </c>
      <c r="AR866">
        <v>1.0079579262407545E-3</v>
      </c>
      <c r="AS866">
        <v>4.4044155222564612E-3</v>
      </c>
      <c r="AT866">
        <v>9.9749829826014921E-2</v>
      </c>
      <c r="AU866">
        <v>2.0515605851689767E-3</v>
      </c>
      <c r="AV866">
        <v>2.1623498564600219E-3</v>
      </c>
      <c r="AW866">
        <v>3.2498265140044301E-3</v>
      </c>
      <c r="AX866">
        <v>4.9083482730216677E-4</v>
      </c>
      <c r="AY866">
        <v>4.0247549070075408E-4</v>
      </c>
      <c r="BB866">
        <v>4.6702932804262437E-2</v>
      </c>
      <c r="BC866">
        <v>5.8377694286369297E-2</v>
      </c>
      <c r="BE866">
        <v>33285.707521063567</v>
      </c>
      <c r="BF866">
        <v>20.990506543529133</v>
      </c>
      <c r="BG866">
        <v>35419.961786976244</v>
      </c>
      <c r="BH866">
        <v>20.958031780331975</v>
      </c>
    </row>
    <row r="867" spans="3:60" x14ac:dyDescent="0.2">
      <c r="C867" s="138">
        <v>33411.272553803188</v>
      </c>
      <c r="D867">
        <v>20.69813362109717</v>
      </c>
      <c r="E867" s="138">
        <v>35670.198458617335</v>
      </c>
      <c r="F867" s="138">
        <v>20.662058672267321</v>
      </c>
      <c r="G867" s="138">
        <v>-2258.9259048141466</v>
      </c>
      <c r="H867" s="138">
        <v>3.6074948829849518E-2</v>
      </c>
      <c r="N867" s="138"/>
      <c r="O867" s="138"/>
      <c r="P867" s="138"/>
      <c r="R867">
        <v>283.14662689396226</v>
      </c>
      <c r="S867">
        <v>53.847604595347832</v>
      </c>
      <c r="T867">
        <v>259.72215812122471</v>
      </c>
      <c r="U867">
        <v>92.840050977746117</v>
      </c>
      <c r="X867">
        <v>0.89139758420124593</v>
      </c>
      <c r="Y867">
        <v>0.724546307811202</v>
      </c>
      <c r="Z867">
        <v>0.66363983201513066</v>
      </c>
      <c r="AA867">
        <v>0.63020300664900819</v>
      </c>
      <c r="AB867">
        <v>0.8802158150504531</v>
      </c>
      <c r="AC867">
        <v>0.85876500961817259</v>
      </c>
      <c r="AD867">
        <v>0.84111913946490069</v>
      </c>
      <c r="AE867">
        <v>0.66928996787619699</v>
      </c>
      <c r="AH867">
        <v>9.9210011128783027E-2</v>
      </c>
      <c r="AI867">
        <v>0.17850446850967783</v>
      </c>
      <c r="AJ867">
        <v>0.24879721036256897</v>
      </c>
      <c r="AK867">
        <v>9.8545620300379388E-2</v>
      </c>
      <c r="AL867">
        <v>0.20143059273328601</v>
      </c>
      <c r="AM867">
        <v>4.9274776949970178E-2</v>
      </c>
      <c r="AN867">
        <v>0.20784005015097562</v>
      </c>
      <c r="AO867">
        <v>8.2045861915398532E-2</v>
      </c>
      <c r="AR867">
        <v>8.4137366893660551E-4</v>
      </c>
      <c r="AS867">
        <v>4.4961663536178791E-3</v>
      </c>
      <c r="AT867">
        <v>9.9771737684379663E-2</v>
      </c>
      <c r="AU867">
        <v>2.1977214282470348E-3</v>
      </c>
      <c r="AV867">
        <v>2.1123067362007752E-3</v>
      </c>
      <c r="AW867">
        <v>2.9737408234181066E-3</v>
      </c>
      <c r="AX867">
        <v>4.1614877103246517E-4</v>
      </c>
      <c r="AY867">
        <v>4.9111078127395125E-4</v>
      </c>
      <c r="BB867">
        <v>5.4833656814620602E-2</v>
      </c>
      <c r="BC867">
        <v>8.3252041149415312E-2</v>
      </c>
      <c r="BE867">
        <v>33411.272553803188</v>
      </c>
      <c r="BF867">
        <v>20.69813362109717</v>
      </c>
      <c r="BG867">
        <v>35670.198458617335</v>
      </c>
      <c r="BH867">
        <v>20.662058672267321</v>
      </c>
    </row>
    <row r="868" spans="3:60" x14ac:dyDescent="0.2">
      <c r="C868" s="138">
        <v>28693.627233094638</v>
      </c>
      <c r="D868">
        <v>21.1569062491089</v>
      </c>
      <c r="E868" s="138">
        <v>30376.140129957184</v>
      </c>
      <c r="F868" s="138">
        <v>21.159864137646714</v>
      </c>
      <c r="G868" s="138">
        <v>-1682.5128968625468</v>
      </c>
      <c r="H868" s="138">
        <v>-2.9578885378143127E-3</v>
      </c>
      <c r="N868" s="138"/>
      <c r="O868" s="138"/>
      <c r="P868" s="138"/>
      <c r="R868">
        <v>348.57750723361437</v>
      </c>
      <c r="S868">
        <v>64.330899530515396</v>
      </c>
      <c r="T868">
        <v>236.11246896162768</v>
      </c>
      <c r="U868">
        <v>108.76773293123696</v>
      </c>
      <c r="X868">
        <v>0.88582995466623438</v>
      </c>
      <c r="Y868">
        <v>0.68955704426307718</v>
      </c>
      <c r="Z868">
        <v>0.55927556202186934</v>
      </c>
      <c r="AA868">
        <v>0.73646814790881376</v>
      </c>
      <c r="AB868">
        <v>0.76679390505137246</v>
      </c>
      <c r="AC868">
        <v>0.90626198838686145</v>
      </c>
      <c r="AD868">
        <v>0.91712883822847613</v>
      </c>
      <c r="AE868">
        <v>0.79179609458317401</v>
      </c>
      <c r="AH868">
        <v>8.4479507104401219E-2</v>
      </c>
      <c r="AI868">
        <v>8.087426115777252E-2</v>
      </c>
      <c r="AJ868">
        <v>0.28497007486465986</v>
      </c>
      <c r="AK868">
        <v>0.11256212289118783</v>
      </c>
      <c r="AL868">
        <v>2.6801805084626817E-2</v>
      </c>
      <c r="AM868">
        <v>0.19476618396283718</v>
      </c>
      <c r="AN868">
        <v>0.1136083211286355</v>
      </c>
      <c r="AO868">
        <v>0.15230676982904634</v>
      </c>
      <c r="AR868">
        <v>8.0031349549152257E-4</v>
      </c>
      <c r="AS868">
        <v>3.9188907816954215E-3</v>
      </c>
      <c r="AT868">
        <v>0.1006706983103508</v>
      </c>
      <c r="AU868">
        <v>2.0987834526343674E-3</v>
      </c>
      <c r="AV868">
        <v>2.1577614415934088E-3</v>
      </c>
      <c r="AW868">
        <v>3.4590979781420339E-3</v>
      </c>
      <c r="AX868">
        <v>3.8106479476183693E-4</v>
      </c>
      <c r="AY868">
        <v>5.0624303796342751E-4</v>
      </c>
      <c r="BB868">
        <v>5.3812126920299685E-2</v>
      </c>
      <c r="BC868">
        <v>8.7357135922253804E-2</v>
      </c>
      <c r="BE868">
        <v>28693.627233094638</v>
      </c>
      <c r="BF868">
        <v>21.1569062491089</v>
      </c>
      <c r="BG868">
        <v>30376.140129957184</v>
      </c>
      <c r="BH868">
        <v>21.159864137646714</v>
      </c>
    </row>
    <row r="869" spans="3:60" x14ac:dyDescent="0.2">
      <c r="C869" s="138">
        <v>33239.4486330324</v>
      </c>
      <c r="D869">
        <v>20.631771713047904</v>
      </c>
      <c r="E869" s="138">
        <v>35671.566182887123</v>
      </c>
      <c r="F869" s="138">
        <v>20.584757077596393</v>
      </c>
      <c r="G869" s="138">
        <v>-2432.1175498547236</v>
      </c>
      <c r="H869" s="138">
        <v>4.7014635451510856E-2</v>
      </c>
      <c r="N869" s="138"/>
      <c r="O869" s="138"/>
      <c r="P869" s="138"/>
      <c r="R869">
        <v>204.67213373457503</v>
      </c>
      <c r="S869">
        <v>66.543987959275313</v>
      </c>
      <c r="T869">
        <v>235.11532779518151</v>
      </c>
      <c r="U869">
        <v>88.676579974731439</v>
      </c>
      <c r="X869">
        <v>0.80211183008136333</v>
      </c>
      <c r="Y869">
        <v>0.83867049364190582</v>
      </c>
      <c r="Z869">
        <v>0.7114332600670884</v>
      </c>
      <c r="AA869">
        <v>0.75978387638996936</v>
      </c>
      <c r="AB869">
        <v>0.72502126617088769</v>
      </c>
      <c r="AC869">
        <v>0.79216536815487371</v>
      </c>
      <c r="AD869">
        <v>0.82020059578629478</v>
      </c>
      <c r="AE869">
        <v>0.92921623292719491</v>
      </c>
      <c r="AH869">
        <v>0.2115829212678465</v>
      </c>
      <c r="AI869">
        <v>0.20898616729925601</v>
      </c>
      <c r="AJ869">
        <v>3.1555145534052143E-2</v>
      </c>
      <c r="AK869">
        <v>4.5508994558941529E-2</v>
      </c>
      <c r="AL869">
        <v>0.22512405983358252</v>
      </c>
      <c r="AM869">
        <v>0.15779501701416687</v>
      </c>
      <c r="AN869">
        <v>0.10739885754253553</v>
      </c>
      <c r="AO869">
        <v>0.132304373056502</v>
      </c>
      <c r="AR869">
        <v>9.3061792127724363E-4</v>
      </c>
      <c r="AS869">
        <v>4.7810813018954734E-3</v>
      </c>
      <c r="AT869">
        <v>9.9891036836217376E-2</v>
      </c>
      <c r="AU869">
        <v>1.9984238316655967E-3</v>
      </c>
      <c r="AV869">
        <v>2.1847103933991807E-3</v>
      </c>
      <c r="AW869">
        <v>3.2705538590722242E-3</v>
      </c>
      <c r="AX869">
        <v>3.0527812955315865E-4</v>
      </c>
      <c r="AY869">
        <v>4.5184476505266691E-4</v>
      </c>
      <c r="BB869">
        <v>5.5569970657926349E-2</v>
      </c>
      <c r="BC869">
        <v>4.1546763352940316E-2</v>
      </c>
      <c r="BE869">
        <v>33239.4486330324</v>
      </c>
      <c r="BF869">
        <v>20.631771713047904</v>
      </c>
      <c r="BG869">
        <v>35671.566182887123</v>
      </c>
      <c r="BH869">
        <v>20.584757077596393</v>
      </c>
    </row>
    <row r="870" spans="3:60" x14ac:dyDescent="0.2">
      <c r="C870" s="138">
        <v>35206.401064192258</v>
      </c>
      <c r="D870">
        <v>20.542590792521743</v>
      </c>
      <c r="E870" s="138">
        <v>37718.365695552209</v>
      </c>
      <c r="F870" s="138">
        <v>20.480285295213072</v>
      </c>
      <c r="G870" s="138">
        <v>-2511.9646313599515</v>
      </c>
      <c r="H870" s="138">
        <v>6.2305497308670965E-2</v>
      </c>
      <c r="N870" s="138"/>
      <c r="O870" s="138"/>
      <c r="P870" s="138"/>
      <c r="R870">
        <v>124.32088452089089</v>
      </c>
      <c r="S870">
        <v>58.783499359183502</v>
      </c>
      <c r="T870">
        <v>262.00671429408612</v>
      </c>
      <c r="U870">
        <v>101.80339831285357</v>
      </c>
      <c r="X870">
        <v>0.5551340692994492</v>
      </c>
      <c r="Y870">
        <v>0.74924326878437186</v>
      </c>
      <c r="Z870">
        <v>0.84998194479917721</v>
      </c>
      <c r="AA870">
        <v>0.88635026923594051</v>
      </c>
      <c r="AB870">
        <v>0.72630986101510531</v>
      </c>
      <c r="AC870">
        <v>0.65216991988421058</v>
      </c>
      <c r="AD870">
        <v>0.67902782241188508</v>
      </c>
      <c r="AE870">
        <v>0.78309637407798904</v>
      </c>
      <c r="AH870">
        <v>1.5463484662278315E-2</v>
      </c>
      <c r="AI870">
        <v>0.16119939619431567</v>
      </c>
      <c r="AJ870">
        <v>4.3702551631825237E-2</v>
      </c>
      <c r="AK870">
        <v>8.349530405642458E-3</v>
      </c>
      <c r="AL870">
        <v>0.25733544708568334</v>
      </c>
      <c r="AM870">
        <v>5.9855325303526552E-2</v>
      </c>
      <c r="AN870">
        <v>0.10471522255303967</v>
      </c>
      <c r="AO870">
        <v>4.9723631118768319E-2</v>
      </c>
      <c r="AR870">
        <v>1.019282748913497E-3</v>
      </c>
      <c r="AS870">
        <v>4.6137038797643415E-3</v>
      </c>
      <c r="AT870">
        <v>0.10078171245389234</v>
      </c>
      <c r="AU870">
        <v>2.1009136992878874E-3</v>
      </c>
      <c r="AV870">
        <v>2.2866122736679984E-3</v>
      </c>
      <c r="AW870">
        <v>3.1932301727672879E-3</v>
      </c>
      <c r="AX870">
        <v>4.1449221418587978E-4</v>
      </c>
      <c r="AY870">
        <v>5.6556856228495711E-4</v>
      </c>
      <c r="BB870">
        <v>5.1475264457398584E-2</v>
      </c>
      <c r="BC870">
        <v>4.0807283645535673E-2</v>
      </c>
      <c r="BE870">
        <v>35206.401064192258</v>
      </c>
      <c r="BF870">
        <v>20.542590792521743</v>
      </c>
      <c r="BG870">
        <v>37718.365695552209</v>
      </c>
      <c r="BH870">
        <v>20.480285295213072</v>
      </c>
    </row>
    <row r="871" spans="3:60" x14ac:dyDescent="0.2">
      <c r="C871" s="138">
        <v>29907.04689981246</v>
      </c>
      <c r="D871">
        <v>21.746846673774598</v>
      </c>
      <c r="E871" s="138">
        <v>31503.662340880557</v>
      </c>
      <c r="F871" s="138">
        <v>21.730975882416573</v>
      </c>
      <c r="G871" s="138">
        <v>-1596.6154410680974</v>
      </c>
      <c r="H871" s="138">
        <v>1.5870791358025826E-2</v>
      </c>
      <c r="N871" s="138"/>
      <c r="O871" s="138"/>
      <c r="P871" s="138"/>
      <c r="R871">
        <v>385.93863926947279</v>
      </c>
      <c r="S871">
        <v>63.295475260567514</v>
      </c>
      <c r="T871">
        <v>265.90424815653444</v>
      </c>
      <c r="U871">
        <v>96.390188267333343</v>
      </c>
      <c r="X871">
        <v>0.77205003785529069</v>
      </c>
      <c r="Y871">
        <v>0.95095641375703699</v>
      </c>
      <c r="Z871">
        <v>0.78298696246231692</v>
      </c>
      <c r="AA871">
        <v>0.58760909057639754</v>
      </c>
      <c r="AB871">
        <v>0.63840143055269494</v>
      </c>
      <c r="AC871">
        <v>0.78326050820279425</v>
      </c>
      <c r="AD871">
        <v>0.70797707249281716</v>
      </c>
      <c r="AE871">
        <v>0.85026888780801202</v>
      </c>
      <c r="AH871">
        <v>3.0400415053630003E-2</v>
      </c>
      <c r="AI871">
        <v>0.19700304334889973</v>
      </c>
      <c r="AJ871">
        <v>0.28195240532093391</v>
      </c>
      <c r="AK871">
        <v>3.9494263142569208E-2</v>
      </c>
      <c r="AL871">
        <v>9.3754508846258355E-2</v>
      </c>
      <c r="AM871">
        <v>3.0872207350345127E-2</v>
      </c>
      <c r="AN871">
        <v>0.15770685925428052</v>
      </c>
      <c r="AO871">
        <v>0.17269512131880549</v>
      </c>
      <c r="AR871">
        <v>9.2293601913562284E-4</v>
      </c>
      <c r="AS871">
        <v>4.1575656876864939E-3</v>
      </c>
      <c r="AT871">
        <v>0.10112610830140378</v>
      </c>
      <c r="AU871">
        <v>2.0433837535682731E-3</v>
      </c>
      <c r="AV871">
        <v>1.7265098739870123E-3</v>
      </c>
      <c r="AW871">
        <v>3.2451491142366125E-3</v>
      </c>
      <c r="AX871">
        <v>4.0170932580918528E-4</v>
      </c>
      <c r="AY871">
        <v>4.6633061915279939E-4</v>
      </c>
      <c r="BB871">
        <v>5.1516590307052246E-2</v>
      </c>
      <c r="BC871">
        <v>6.3043524613041191E-2</v>
      </c>
      <c r="BE871">
        <v>29907.04689981246</v>
      </c>
      <c r="BF871">
        <v>21.746846673774598</v>
      </c>
      <c r="BG871">
        <v>31503.662340880557</v>
      </c>
      <c r="BH871">
        <v>21.730975882416573</v>
      </c>
    </row>
    <row r="872" spans="3:60" x14ac:dyDescent="0.2">
      <c r="C872" s="138">
        <v>39395.913850502315</v>
      </c>
      <c r="D872">
        <v>21.014614708664926</v>
      </c>
      <c r="E872" s="138">
        <v>41917.22874009941</v>
      </c>
      <c r="F872" s="138">
        <v>20.983868490362926</v>
      </c>
      <c r="G872" s="138">
        <v>-2521.3148895970953</v>
      </c>
      <c r="H872" s="138">
        <v>3.0746218301999306E-2</v>
      </c>
      <c r="N872" s="138"/>
      <c r="O872" s="138"/>
      <c r="P872" s="138"/>
      <c r="R872">
        <v>345.16003459314442</v>
      </c>
      <c r="S872">
        <v>58.189178993834517</v>
      </c>
      <c r="T872">
        <v>203.51760232822028</v>
      </c>
      <c r="U872">
        <v>104.14655111080387</v>
      </c>
      <c r="X872">
        <v>0.77138947330686669</v>
      </c>
      <c r="Y872">
        <v>0.40181686853017384</v>
      </c>
      <c r="Z872">
        <v>0.8801676228833637</v>
      </c>
      <c r="AA872">
        <v>0.85454542623351737</v>
      </c>
      <c r="AB872">
        <v>0.83581827010809739</v>
      </c>
      <c r="AC872">
        <v>0.84074331043243133</v>
      </c>
      <c r="AD872">
        <v>0.70812627476335566</v>
      </c>
      <c r="AE872">
        <v>0.79388010189552483</v>
      </c>
      <c r="AH872">
        <v>7.342668413772524E-2</v>
      </c>
      <c r="AI872">
        <v>5.0824947168268464E-2</v>
      </c>
      <c r="AJ872">
        <v>6.8074127619437985E-2</v>
      </c>
      <c r="AK872">
        <v>0.11929051375408761</v>
      </c>
      <c r="AL872">
        <v>8.2801040708202933E-2</v>
      </c>
      <c r="AM872">
        <v>1.3422954657293484E-2</v>
      </c>
      <c r="AN872">
        <v>0.2195503942584901</v>
      </c>
      <c r="AO872">
        <v>9.9974295674848612E-2</v>
      </c>
      <c r="AR872">
        <v>9.5308915305492015E-4</v>
      </c>
      <c r="AS872">
        <v>4.4320990692580282E-3</v>
      </c>
      <c r="AT872">
        <v>9.966572016603352E-2</v>
      </c>
      <c r="AU872">
        <v>2.2935938251045229E-3</v>
      </c>
      <c r="AV872">
        <v>1.9520484692575426E-3</v>
      </c>
      <c r="AW872">
        <v>3.2975872106623988E-3</v>
      </c>
      <c r="AX872">
        <v>3.9794568990036971E-4</v>
      </c>
      <c r="AY872">
        <v>3.6994200246207552E-4</v>
      </c>
      <c r="BB872">
        <v>4.6013839487972746E-2</v>
      </c>
      <c r="BC872">
        <v>5.0932391585545522E-2</v>
      </c>
      <c r="BE872">
        <v>39395.913850502315</v>
      </c>
      <c r="BF872">
        <v>21.014614708664926</v>
      </c>
      <c r="BG872">
        <v>41917.22874009941</v>
      </c>
      <c r="BH872">
        <v>20.983868490362926</v>
      </c>
    </row>
    <row r="873" spans="3:60" x14ac:dyDescent="0.2">
      <c r="C873" s="138">
        <v>33420.393384066563</v>
      </c>
      <c r="D873">
        <v>21.635155926336999</v>
      </c>
      <c r="E873" s="138">
        <v>35458.062018900222</v>
      </c>
      <c r="F873" s="138">
        <v>21.630421469132724</v>
      </c>
      <c r="G873" s="138">
        <v>-2037.6686348336589</v>
      </c>
      <c r="H873" s="138">
        <v>4.7344572042753441E-3</v>
      </c>
      <c r="N873" s="138"/>
      <c r="O873" s="138"/>
      <c r="P873" s="138"/>
      <c r="R873">
        <v>149.17154777679963</v>
      </c>
      <c r="S873">
        <v>64.078449514062029</v>
      </c>
      <c r="T873">
        <v>288.27701905035383</v>
      </c>
      <c r="U873">
        <v>80.760655866382805</v>
      </c>
      <c r="X873">
        <v>0.42108729675594719</v>
      </c>
      <c r="Y873">
        <v>0.80373273080569929</v>
      </c>
      <c r="Z873">
        <v>0.95199999292906035</v>
      </c>
      <c r="AA873">
        <v>0.86378302917702832</v>
      </c>
      <c r="AB873">
        <v>0.92181937914451595</v>
      </c>
      <c r="AC873">
        <v>0.68677535661881861</v>
      </c>
      <c r="AD873">
        <v>0.65741817947187509</v>
      </c>
      <c r="AE873">
        <v>0.5633418850717502</v>
      </c>
      <c r="AH873">
        <v>2.7918177157333468E-2</v>
      </c>
      <c r="AI873">
        <v>7.9836624930980316E-2</v>
      </c>
      <c r="AJ873">
        <v>0.12927709996603776</v>
      </c>
      <c r="AK873">
        <v>0.17692731290634878</v>
      </c>
      <c r="AL873">
        <v>9.1296507553644934E-2</v>
      </c>
      <c r="AM873">
        <v>8.4836001758400004E-2</v>
      </c>
      <c r="AN873">
        <v>0.13104440265387785</v>
      </c>
      <c r="AO873">
        <v>0.13009357179762737</v>
      </c>
      <c r="AR873">
        <v>8.986800040687859E-4</v>
      </c>
      <c r="AS873">
        <v>4.4885608441107916E-3</v>
      </c>
      <c r="AT873">
        <v>9.9504478042625646E-2</v>
      </c>
      <c r="AU873">
        <v>1.9016757771103171E-3</v>
      </c>
      <c r="AV873">
        <v>1.9758382414596623E-3</v>
      </c>
      <c r="AW873">
        <v>3.4214956229035032E-3</v>
      </c>
      <c r="AX873">
        <v>4.8408192091620172E-4</v>
      </c>
      <c r="AY873">
        <v>4.8114028018220178E-4</v>
      </c>
      <c r="BB873">
        <v>5.1546110449618987E-2</v>
      </c>
      <c r="BC873">
        <v>4.7781561534259498E-2</v>
      </c>
      <c r="BE873">
        <v>33420.393384066563</v>
      </c>
      <c r="BF873">
        <v>21.635155926336999</v>
      </c>
      <c r="BG873">
        <v>35458.062018900222</v>
      </c>
      <c r="BH873">
        <v>21.630421469132724</v>
      </c>
    </row>
    <row r="874" spans="3:60" x14ac:dyDescent="0.2">
      <c r="C874" s="138">
        <v>32559.480381485024</v>
      </c>
      <c r="D874">
        <v>21.175751507384071</v>
      </c>
      <c r="E874" s="138">
        <v>34671.385634807339</v>
      </c>
      <c r="F874" s="138">
        <v>21.147784831583127</v>
      </c>
      <c r="G874" s="138">
        <v>-2111.9052533223148</v>
      </c>
      <c r="H874" s="138">
        <v>2.7966675800943364E-2</v>
      </c>
      <c r="N874" s="138"/>
      <c r="O874" s="138"/>
      <c r="P874" s="138"/>
      <c r="R874">
        <v>389.88875696711375</v>
      </c>
      <c r="S874">
        <v>58.47690664709117</v>
      </c>
      <c r="T874">
        <v>207.08664669994877</v>
      </c>
      <c r="U874">
        <v>118.10899201905869</v>
      </c>
      <c r="X874">
        <v>0.79071812906510075</v>
      </c>
      <c r="Y874">
        <v>0.75507498376640725</v>
      </c>
      <c r="Z874">
        <v>0.63390361009381135</v>
      </c>
      <c r="AA874">
        <v>0.81618786246964392</v>
      </c>
      <c r="AB874">
        <v>0.78963563358356958</v>
      </c>
      <c r="AC874">
        <v>0.68921347749326978</v>
      </c>
      <c r="AD874">
        <v>0.64361501595347714</v>
      </c>
      <c r="AE874">
        <v>0.7845217918916727</v>
      </c>
      <c r="AH874">
        <v>5.8642573580553359E-2</v>
      </c>
      <c r="AI874">
        <v>0.21677055986159222</v>
      </c>
      <c r="AJ874">
        <v>0.38504374644182637</v>
      </c>
      <c r="AK874">
        <v>3.0990804436721753E-2</v>
      </c>
      <c r="AL874">
        <v>0.12632978041920839</v>
      </c>
      <c r="AM874">
        <v>0.19038326872575417</v>
      </c>
      <c r="AN874">
        <v>0.39512850041638081</v>
      </c>
      <c r="AO874">
        <v>0.19919088389045259</v>
      </c>
      <c r="AR874">
        <v>9.869342688226812E-4</v>
      </c>
      <c r="AS874">
        <v>4.846610418366204E-3</v>
      </c>
      <c r="AT874">
        <v>0.10069523714350836</v>
      </c>
      <c r="AU874">
        <v>1.9803956024169989E-3</v>
      </c>
      <c r="AV874">
        <v>2.0952600658117326E-3</v>
      </c>
      <c r="AW874">
        <v>3.5140655069463289E-3</v>
      </c>
      <c r="AX874">
        <v>3.6797140416849715E-4</v>
      </c>
      <c r="AY874">
        <v>5.2586486724104375E-4</v>
      </c>
      <c r="BB874">
        <v>4.5941397732600607E-2</v>
      </c>
      <c r="BC874">
        <v>5.7899428900421213E-2</v>
      </c>
      <c r="BE874">
        <v>32559.480381485024</v>
      </c>
      <c r="BF874">
        <v>21.175751507384071</v>
      </c>
      <c r="BG874">
        <v>34671.385634807339</v>
      </c>
      <c r="BH874">
        <v>21.147784831583127</v>
      </c>
    </row>
    <row r="875" spans="3:60" x14ac:dyDescent="0.2">
      <c r="C875" s="138">
        <v>24133.364464515475</v>
      </c>
      <c r="D875">
        <v>21.15229721292943</v>
      </c>
      <c r="E875" s="138">
        <v>26140.420443718383</v>
      </c>
      <c r="F875" s="138">
        <v>21.140253536502655</v>
      </c>
      <c r="G875" s="138">
        <v>-2007.0559792029089</v>
      </c>
      <c r="H875" s="138">
        <v>1.2043676426774397E-2</v>
      </c>
      <c r="N875" s="138"/>
      <c r="O875" s="138"/>
      <c r="P875" s="138"/>
      <c r="R875">
        <v>265.71604798995946</v>
      </c>
      <c r="S875">
        <v>70.218033306403157</v>
      </c>
      <c r="T875">
        <v>272.35215922700525</v>
      </c>
      <c r="U875">
        <v>104.54092151963647</v>
      </c>
      <c r="X875">
        <v>0.55385892772010004</v>
      </c>
      <c r="Y875">
        <v>0.89504037817013904</v>
      </c>
      <c r="Z875">
        <v>0.76577313793998447</v>
      </c>
      <c r="AA875">
        <v>0.72374354297693144</v>
      </c>
      <c r="AB875">
        <v>0.93447967278251631</v>
      </c>
      <c r="AC875">
        <v>0.82008858324200762</v>
      </c>
      <c r="AD875">
        <v>0.78076708971642583</v>
      </c>
      <c r="AE875">
        <v>0.49402065892719649</v>
      </c>
      <c r="AH875">
        <v>8.9983809098271861E-2</v>
      </c>
      <c r="AI875">
        <v>0.11943003008548436</v>
      </c>
      <c r="AJ875">
        <v>0.22429051691353896</v>
      </c>
      <c r="AK875">
        <v>0.11249215946970981</v>
      </c>
      <c r="AL875">
        <v>9.0849395845619574E-2</v>
      </c>
      <c r="AM875">
        <v>5.9270124484990028E-2</v>
      </c>
      <c r="AN875">
        <v>0.16574521316121438</v>
      </c>
      <c r="AO875">
        <v>0.34844164572198888</v>
      </c>
      <c r="AR875">
        <v>9.3216236731374913E-4</v>
      </c>
      <c r="AS875">
        <v>4.6477740974579795E-3</v>
      </c>
      <c r="AT875">
        <v>0.10054343779830144</v>
      </c>
      <c r="AU875">
        <v>1.8812885258967342E-3</v>
      </c>
      <c r="AV875">
        <v>2.0137612288887441E-3</v>
      </c>
      <c r="AW875">
        <v>3.2246614606343399E-3</v>
      </c>
      <c r="AX875">
        <v>4.660496177752993E-4</v>
      </c>
      <c r="AY875">
        <v>3.5801969686435323E-4</v>
      </c>
      <c r="BB875">
        <v>5.3445270873570316E-2</v>
      </c>
      <c r="BC875">
        <v>6.6367027481046503E-2</v>
      </c>
      <c r="BE875">
        <v>24133.364464515475</v>
      </c>
      <c r="BF875">
        <v>21.15229721292943</v>
      </c>
      <c r="BG875">
        <v>26140.420443718383</v>
      </c>
      <c r="BH875">
        <v>21.140253536502655</v>
      </c>
    </row>
    <row r="876" spans="3:60" x14ac:dyDescent="0.2">
      <c r="C876" s="138">
        <v>30026.145505294957</v>
      </c>
      <c r="D876">
        <v>21.4009971865203</v>
      </c>
      <c r="E876" s="138">
        <v>31845.993201153924</v>
      </c>
      <c r="F876" s="138">
        <v>21.397455146534895</v>
      </c>
      <c r="G876" s="138">
        <v>-1819.8476958589672</v>
      </c>
      <c r="H876" s="138">
        <v>3.5420399854046991E-3</v>
      </c>
      <c r="N876" s="138"/>
      <c r="O876" s="138"/>
      <c r="P876" s="138"/>
      <c r="R876">
        <v>279.79815922301617</v>
      </c>
      <c r="S876">
        <v>69.155176778465844</v>
      </c>
      <c r="T876">
        <v>253.58990696930942</v>
      </c>
      <c r="U876">
        <v>108.8581423343212</v>
      </c>
      <c r="X876">
        <v>0.91114865930571232</v>
      </c>
      <c r="Y876">
        <v>0.78799388849427987</v>
      </c>
      <c r="Z876">
        <v>0.67057112992297474</v>
      </c>
      <c r="AA876">
        <v>0.74285886523239886</v>
      </c>
      <c r="AB876">
        <v>0.94323238747753635</v>
      </c>
      <c r="AC876">
        <v>0.85489210300144525</v>
      </c>
      <c r="AD876">
        <v>0.49761779724180988</v>
      </c>
      <c r="AE876">
        <v>0.7742500318539689</v>
      </c>
      <c r="AH876">
        <v>0.1643072805912229</v>
      </c>
      <c r="AI876">
        <v>3.6627779190156917E-2</v>
      </c>
      <c r="AJ876">
        <v>0.13482808327267504</v>
      </c>
      <c r="AK876">
        <v>0.20776711745984877</v>
      </c>
      <c r="AL876">
        <v>1.0726540295810327E-2</v>
      </c>
      <c r="AM876">
        <v>4.097602310472892E-2</v>
      </c>
      <c r="AN876">
        <v>4.9820278975567511E-2</v>
      </c>
      <c r="AO876">
        <v>2.3895476390507486E-2</v>
      </c>
      <c r="AR876">
        <v>9.1771942708618326E-4</v>
      </c>
      <c r="AS876">
        <v>4.4313228715261209E-3</v>
      </c>
      <c r="AT876">
        <v>9.9742395069142453E-2</v>
      </c>
      <c r="AU876">
        <v>1.9901412155641238E-3</v>
      </c>
      <c r="AV876">
        <v>2.0219078045261574E-3</v>
      </c>
      <c r="AW876">
        <v>3.4250162022757547E-3</v>
      </c>
      <c r="AX876">
        <v>3.9965133553587773E-4</v>
      </c>
      <c r="AY876">
        <v>3.6592558911078757E-4</v>
      </c>
      <c r="BB876">
        <v>4.6659671377199015E-2</v>
      </c>
      <c r="BC876">
        <v>3.1549943797097496E-2</v>
      </c>
      <c r="BE876">
        <v>30026.145505294957</v>
      </c>
      <c r="BF876">
        <v>21.4009971865203</v>
      </c>
      <c r="BG876">
        <v>31845.993201153924</v>
      </c>
      <c r="BH876">
        <v>21.397455146534895</v>
      </c>
    </row>
    <row r="877" spans="3:60" x14ac:dyDescent="0.2">
      <c r="C877" s="138">
        <v>34077.659130597225</v>
      </c>
      <c r="D877">
        <v>21.041700838968104</v>
      </c>
      <c r="E877" s="138">
        <v>36307.843625863978</v>
      </c>
      <c r="F877" s="138">
        <v>21.046220770500025</v>
      </c>
      <c r="G877" s="138">
        <v>-2230.1844952667525</v>
      </c>
      <c r="H877" s="138">
        <v>-4.5199315319202071E-3</v>
      </c>
      <c r="N877" s="138"/>
      <c r="O877" s="138"/>
      <c r="P877" s="138"/>
      <c r="R877">
        <v>265.07777185369224</v>
      </c>
      <c r="S877">
        <v>57.534435968818308</v>
      </c>
      <c r="T877">
        <v>227.62981520628159</v>
      </c>
      <c r="U877">
        <v>97.946248774348021</v>
      </c>
      <c r="X877">
        <v>0.488317670492319</v>
      </c>
      <c r="Y877">
        <v>0.86719970696004389</v>
      </c>
      <c r="Z877">
        <v>0.8558123910126535</v>
      </c>
      <c r="AA877">
        <v>0.78840974765259542</v>
      </c>
      <c r="AB877">
        <v>0.8468345401652162</v>
      </c>
      <c r="AC877">
        <v>0.5356024781163552</v>
      </c>
      <c r="AD877">
        <v>0.66066153658376181</v>
      </c>
      <c r="AE877">
        <v>0.91675378547073372</v>
      </c>
      <c r="AH877">
        <v>0.26613249596528377</v>
      </c>
      <c r="AI877">
        <v>8.1034079790320179E-2</v>
      </c>
      <c r="AJ877">
        <v>0.13582281542290686</v>
      </c>
      <c r="AK877">
        <v>6.4956609574048363E-3</v>
      </c>
      <c r="AL877">
        <v>0.13530587181875875</v>
      </c>
      <c r="AM877">
        <v>0.1830994259737917</v>
      </c>
      <c r="AN877">
        <v>0.13304271105789023</v>
      </c>
      <c r="AO877">
        <v>0.20998236091632194</v>
      </c>
      <c r="AR877">
        <v>7.8219290843242176E-4</v>
      </c>
      <c r="AS877">
        <v>4.5391955276183893E-3</v>
      </c>
      <c r="AT877">
        <v>9.9891242874902253E-2</v>
      </c>
      <c r="AU877">
        <v>1.8849850620790438E-3</v>
      </c>
      <c r="AV877">
        <v>2.0141016290839975E-3</v>
      </c>
      <c r="AW877">
        <v>3.4391762043424201E-3</v>
      </c>
      <c r="AX877">
        <v>4.6068611227378931E-4</v>
      </c>
      <c r="AY877">
        <v>3.6397317550377375E-4</v>
      </c>
      <c r="BB877">
        <v>5.3865223395945794E-2</v>
      </c>
      <c r="BC877">
        <v>4.5698841404558536E-2</v>
      </c>
      <c r="BE877">
        <v>34077.659130597225</v>
      </c>
      <c r="BF877">
        <v>21.041700838968104</v>
      </c>
      <c r="BG877">
        <v>36307.843625863978</v>
      </c>
      <c r="BH877">
        <v>21.046220770500025</v>
      </c>
    </row>
    <row r="878" spans="3:60" x14ac:dyDescent="0.2">
      <c r="C878" s="138">
        <v>30687.967045341498</v>
      </c>
      <c r="D878">
        <v>21.057415619234959</v>
      </c>
      <c r="E878" s="138">
        <v>32844.320311855503</v>
      </c>
      <c r="F878" s="138">
        <v>21.036481068328325</v>
      </c>
      <c r="G878" s="138">
        <v>-2156.3532665140046</v>
      </c>
      <c r="H878" s="138">
        <v>2.0934550906634541E-2</v>
      </c>
      <c r="N878" s="138"/>
      <c r="O878" s="138"/>
      <c r="P878" s="138"/>
      <c r="R878">
        <v>258.50725040552987</v>
      </c>
      <c r="S878">
        <v>62.305043360524238</v>
      </c>
      <c r="T878">
        <v>258.61846886528906</v>
      </c>
      <c r="U878">
        <v>105.23685427119587</v>
      </c>
      <c r="X878">
        <v>0.69386443258845076</v>
      </c>
      <c r="Y878">
        <v>0.74117253828795204</v>
      </c>
      <c r="Z878">
        <v>0.87609358817393812</v>
      </c>
      <c r="AA878">
        <v>0.64756145755716166</v>
      </c>
      <c r="AB878">
        <v>0.97603002487807788</v>
      </c>
      <c r="AC878">
        <v>0.92040182548328597</v>
      </c>
      <c r="AD878">
        <v>0.84338306786533712</v>
      </c>
      <c r="AE878">
        <v>0.90602377954955804</v>
      </c>
      <c r="AH878">
        <v>0.25524436795195327</v>
      </c>
      <c r="AI878">
        <v>0.27014213501567419</v>
      </c>
      <c r="AJ878">
        <v>0.15768876161557011</v>
      </c>
      <c r="AK878">
        <v>5.9924416540936942E-2</v>
      </c>
      <c r="AL878">
        <v>0.2081880004884098</v>
      </c>
      <c r="AM878">
        <v>0.29755386211725732</v>
      </c>
      <c r="AN878">
        <v>0.15880294445205423</v>
      </c>
      <c r="AO878">
        <v>0.24533184454728596</v>
      </c>
      <c r="AR878">
        <v>9.0017524221952527E-4</v>
      </c>
      <c r="AS878">
        <v>4.8027505859291608E-3</v>
      </c>
      <c r="AT878">
        <v>9.9443138810607651E-2</v>
      </c>
      <c r="AU878">
        <v>2.0711730891866953E-3</v>
      </c>
      <c r="AV878">
        <v>1.8904150965140616E-3</v>
      </c>
      <c r="AW878">
        <v>3.2382833557444025E-3</v>
      </c>
      <c r="AX878">
        <v>3.4445116303725255E-4</v>
      </c>
      <c r="AY878">
        <v>4.7678149892083077E-4</v>
      </c>
      <c r="BB878">
        <v>5.0329171452988652E-2</v>
      </c>
      <c r="BC878">
        <v>4.3787852798189919E-2</v>
      </c>
      <c r="BE878">
        <v>30687.967045341498</v>
      </c>
      <c r="BF878">
        <v>21.057415619234959</v>
      </c>
      <c r="BG878">
        <v>32844.320311855503</v>
      </c>
      <c r="BH878">
        <v>21.036481068328325</v>
      </c>
    </row>
    <row r="879" spans="3:60" x14ac:dyDescent="0.2">
      <c r="C879" s="138">
        <v>30161.80981927022</v>
      </c>
      <c r="D879">
        <v>21.026915384935002</v>
      </c>
      <c r="E879" s="138">
        <v>31761.120730498231</v>
      </c>
      <c r="F879" s="138">
        <v>21.020285198388656</v>
      </c>
      <c r="G879" s="138">
        <v>-1599.3109112280108</v>
      </c>
      <c r="H879" s="138">
        <v>6.6301865463458398E-3</v>
      </c>
      <c r="N879" s="138"/>
      <c r="O879" s="138"/>
      <c r="P879" s="138"/>
      <c r="R879">
        <v>261.35650024466042</v>
      </c>
      <c r="S879">
        <v>68.325490086509774</v>
      </c>
      <c r="T879">
        <v>248.63946897734394</v>
      </c>
      <c r="U879">
        <v>105.58639754656009</v>
      </c>
      <c r="X879">
        <v>0.9574093016574986</v>
      </c>
      <c r="Y879">
        <v>0.8643960720011411</v>
      </c>
      <c r="Z879">
        <v>0.78329803202862358</v>
      </c>
      <c r="AA879">
        <v>0.86278303299633108</v>
      </c>
      <c r="AB879">
        <v>0.77711263803261854</v>
      </c>
      <c r="AC879">
        <v>0.69645800215596276</v>
      </c>
      <c r="AD879">
        <v>0.70214775437104715</v>
      </c>
      <c r="AE879">
        <v>0.74848929770110351</v>
      </c>
      <c r="AH879">
        <v>0.10161647460694456</v>
      </c>
      <c r="AI879">
        <v>0.14334819347154082</v>
      </c>
      <c r="AJ879">
        <v>0.17303521451160253</v>
      </c>
      <c r="AK879">
        <v>0.14539459109120145</v>
      </c>
      <c r="AL879">
        <v>0.16638198977115481</v>
      </c>
      <c r="AM879">
        <v>4.9532244515167356E-2</v>
      </c>
      <c r="AN879">
        <v>6.6247560348113188E-2</v>
      </c>
      <c r="AO879">
        <v>0.22769360448832543</v>
      </c>
      <c r="AR879">
        <v>9.1631326925434298E-4</v>
      </c>
      <c r="AS879">
        <v>4.461263016177522E-3</v>
      </c>
      <c r="AT879">
        <v>9.8913041771055171E-2</v>
      </c>
      <c r="AU879">
        <v>1.7868727998034389E-3</v>
      </c>
      <c r="AV879">
        <v>2.1251945923901339E-3</v>
      </c>
      <c r="AW879">
        <v>3.7073750137701644E-3</v>
      </c>
      <c r="AX879">
        <v>4.474551456770115E-4</v>
      </c>
      <c r="AY879">
        <v>4.2625810097787146E-4</v>
      </c>
      <c r="BB879">
        <v>4.2950370269917326E-2</v>
      </c>
      <c r="BC879">
        <v>2.8425119227577192E-2</v>
      </c>
      <c r="BE879">
        <v>30161.80981927022</v>
      </c>
      <c r="BF879">
        <v>21.026915384935002</v>
      </c>
      <c r="BG879">
        <v>31761.120730498231</v>
      </c>
      <c r="BH879">
        <v>21.020285198388656</v>
      </c>
    </row>
    <row r="880" spans="3:60" x14ac:dyDescent="0.2">
      <c r="C880" s="138">
        <v>36433.602450314982</v>
      </c>
      <c r="D880">
        <v>20.197235256812736</v>
      </c>
      <c r="E880" s="138">
        <v>38671.118273958971</v>
      </c>
      <c r="F880" s="138">
        <v>20.162500647908999</v>
      </c>
      <c r="G880" s="138">
        <v>-2237.5158236439893</v>
      </c>
      <c r="H880" s="138">
        <v>3.4734608903736586E-2</v>
      </c>
      <c r="N880" s="138"/>
      <c r="O880" s="138"/>
      <c r="P880" s="138"/>
      <c r="R880">
        <v>235.60755428948229</v>
      </c>
      <c r="S880">
        <v>62.187152311729584</v>
      </c>
      <c r="T880">
        <v>253.62557192269975</v>
      </c>
      <c r="U880">
        <v>114.45302462124567</v>
      </c>
      <c r="X880">
        <v>0.62034500505623769</v>
      </c>
      <c r="Y880">
        <v>0.88459786315130629</v>
      </c>
      <c r="Z880">
        <v>0.72391546619746971</v>
      </c>
      <c r="AA880">
        <v>0.85110267548608753</v>
      </c>
      <c r="AB880">
        <v>0.93939805866891468</v>
      </c>
      <c r="AC880">
        <v>0.65969425560991524</v>
      </c>
      <c r="AD880">
        <v>0.61405398599368366</v>
      </c>
      <c r="AE880">
        <v>0.74444943817388531</v>
      </c>
      <c r="AH880">
        <v>5.0790973046543231E-2</v>
      </c>
      <c r="AI880">
        <v>8.845652345044408E-2</v>
      </c>
      <c r="AJ880">
        <v>0.11231951125908224</v>
      </c>
      <c r="AK880">
        <v>0.24386364961402396</v>
      </c>
      <c r="AL880">
        <v>4.617776705986909E-2</v>
      </c>
      <c r="AM880">
        <v>3.1388199405725237E-2</v>
      </c>
      <c r="AN880">
        <v>4.2581608497031409E-2</v>
      </c>
      <c r="AO880">
        <v>7.7473133588257803E-2</v>
      </c>
      <c r="AR880">
        <v>8.6090365049255456E-4</v>
      </c>
      <c r="AS880">
        <v>4.775650978594892E-3</v>
      </c>
      <c r="AT880">
        <v>9.9939760791178098E-2</v>
      </c>
      <c r="AU880">
        <v>2.0698242750056828E-3</v>
      </c>
      <c r="AV880">
        <v>2.281920920978564E-3</v>
      </c>
      <c r="AW880">
        <v>3.5021007756008693E-3</v>
      </c>
      <c r="AX880">
        <v>3.8502005195603E-4</v>
      </c>
      <c r="AY880">
        <v>4.3241717957392901E-4</v>
      </c>
      <c r="BB880">
        <v>5.2669176339871671E-2</v>
      </c>
      <c r="BC880">
        <v>2.4187392606909233E-2</v>
      </c>
      <c r="BE880">
        <v>36433.602450314982</v>
      </c>
      <c r="BF880">
        <v>20.197235256812736</v>
      </c>
      <c r="BG880">
        <v>38671.118273958971</v>
      </c>
      <c r="BH880">
        <v>20.162500647908999</v>
      </c>
    </row>
    <row r="881" spans="3:60" x14ac:dyDescent="0.2">
      <c r="C881" s="138">
        <v>26702.362785539266</v>
      </c>
      <c r="D881">
        <v>21.129446987379019</v>
      </c>
      <c r="E881" s="138">
        <v>28948.806626484016</v>
      </c>
      <c r="F881" s="138">
        <v>21.127185989077528</v>
      </c>
      <c r="G881" s="138">
        <v>-2246.4438409447503</v>
      </c>
      <c r="H881" s="138">
        <v>2.2609983014909574E-3</v>
      </c>
      <c r="N881" s="138"/>
      <c r="O881" s="138"/>
      <c r="P881" s="138"/>
      <c r="R881">
        <v>129.31192519486885</v>
      </c>
      <c r="S881">
        <v>64.618579496847417</v>
      </c>
      <c r="T881">
        <v>268.30915209992946</v>
      </c>
      <c r="U881">
        <v>95.475290077512796</v>
      </c>
      <c r="X881">
        <v>0.32056067291263024</v>
      </c>
      <c r="Y881">
        <v>0.55039009617726398</v>
      </c>
      <c r="Z881">
        <v>0.45767951267410228</v>
      </c>
      <c r="AA881">
        <v>0.69721485142128015</v>
      </c>
      <c r="AB881">
        <v>0.80977184734535779</v>
      </c>
      <c r="AC881">
        <v>0.53227029543374205</v>
      </c>
      <c r="AD881">
        <v>0.80507618619708776</v>
      </c>
      <c r="AE881">
        <v>0.63107445094344439</v>
      </c>
      <c r="AH881">
        <v>0.10993281977378133</v>
      </c>
      <c r="AI881">
        <v>0.22177282903272455</v>
      </c>
      <c r="AJ881">
        <v>0.15523944649272348</v>
      </c>
      <c r="AK881">
        <v>8.9484195219058704E-2</v>
      </c>
      <c r="AL881">
        <v>4.6064998898031728E-2</v>
      </c>
      <c r="AM881">
        <v>1.0845486589495579E-2</v>
      </c>
      <c r="AN881">
        <v>0.12269014291494296</v>
      </c>
      <c r="AO881">
        <v>0.43230437184198167</v>
      </c>
      <c r="AR881">
        <v>1.0783363352157016E-3</v>
      </c>
      <c r="AS881">
        <v>4.3225265021141317E-3</v>
      </c>
      <c r="AT881">
        <v>0.1002397292440893</v>
      </c>
      <c r="AU881">
        <v>2.2085868704804223E-3</v>
      </c>
      <c r="AV881">
        <v>1.9708097611627505E-3</v>
      </c>
      <c r="AW881">
        <v>3.207628222120327E-3</v>
      </c>
      <c r="AX881">
        <v>3.6862067499990992E-4</v>
      </c>
      <c r="AY881">
        <v>3.7202903407386641E-4</v>
      </c>
      <c r="BB881">
        <v>5.4547397709414303E-2</v>
      </c>
      <c r="BC881">
        <v>0.12165580064948145</v>
      </c>
      <c r="BE881">
        <v>26702.362785539266</v>
      </c>
      <c r="BF881">
        <v>21.129446987379019</v>
      </c>
      <c r="BG881">
        <v>28948.806626484016</v>
      </c>
      <c r="BH881">
        <v>21.127185989077528</v>
      </c>
    </row>
    <row r="882" spans="3:60" x14ac:dyDescent="0.2">
      <c r="C882" s="138">
        <v>33143.378113211627</v>
      </c>
      <c r="D882">
        <v>21.120372742838398</v>
      </c>
      <c r="E882" s="138">
        <v>35483.338075135245</v>
      </c>
      <c r="F882" s="138">
        <v>21.094615080850428</v>
      </c>
      <c r="G882" s="138">
        <v>-2339.9599619236178</v>
      </c>
      <c r="H882" s="138">
        <v>2.5757661987970693E-2</v>
      </c>
      <c r="N882" s="138"/>
      <c r="O882" s="138"/>
      <c r="P882" s="138"/>
      <c r="R882">
        <v>215.72421807937565</v>
      </c>
      <c r="S882">
        <v>60.116209982624241</v>
      </c>
      <c r="T882">
        <v>220.02433432373925</v>
      </c>
      <c r="U882">
        <v>103.4128963366075</v>
      </c>
      <c r="X882">
        <v>0.55941991552704473</v>
      </c>
      <c r="Y882">
        <v>0.8716359321683077</v>
      </c>
      <c r="Z882">
        <v>0.76459023464369291</v>
      </c>
      <c r="AA882">
        <v>0.67539402501287793</v>
      </c>
      <c r="AB882">
        <v>0.80695633249288568</v>
      </c>
      <c r="AC882">
        <v>0.9202938549035985</v>
      </c>
      <c r="AD882">
        <v>0.82395998897459688</v>
      </c>
      <c r="AE882">
        <v>0.86008485707330973</v>
      </c>
      <c r="AH882">
        <v>3.9897783210331106E-2</v>
      </c>
      <c r="AI882">
        <v>0.23035420324386391</v>
      </c>
      <c r="AJ882">
        <v>0.13742079207989044</v>
      </c>
      <c r="AK882">
        <v>4.1088159779172129E-2</v>
      </c>
      <c r="AL882">
        <v>0.12707000406436053</v>
      </c>
      <c r="AM882">
        <v>0.13459581433036782</v>
      </c>
      <c r="AN882">
        <v>0.19725362771545829</v>
      </c>
      <c r="AO882">
        <v>5.9627012757268005E-2</v>
      </c>
      <c r="AR882">
        <v>8.7515052574894156E-4</v>
      </c>
      <c r="AS882">
        <v>4.5623577291715733E-3</v>
      </c>
      <c r="AT882">
        <v>0.10118955307676514</v>
      </c>
      <c r="AU882">
        <v>2.0068675525088953E-3</v>
      </c>
      <c r="AV882">
        <v>1.9103845050815714E-3</v>
      </c>
      <c r="AW882">
        <v>3.2124431311625332E-3</v>
      </c>
      <c r="AX882">
        <v>3.4229865598856761E-4</v>
      </c>
      <c r="AY882">
        <v>4.2621255982226123E-4</v>
      </c>
      <c r="BB882">
        <v>4.3908156233410385E-2</v>
      </c>
      <c r="BC882">
        <v>6.2366765647482003E-2</v>
      </c>
      <c r="BE882">
        <v>33143.378113211627</v>
      </c>
      <c r="BF882">
        <v>21.120372742838398</v>
      </c>
      <c r="BG882">
        <v>35483.338075135245</v>
      </c>
      <c r="BH882">
        <v>21.094615080850428</v>
      </c>
    </row>
    <row r="883" spans="3:60" x14ac:dyDescent="0.2">
      <c r="C883" s="138">
        <v>30129.014555199774</v>
      </c>
      <c r="D883">
        <v>20.870772593711354</v>
      </c>
      <c r="E883" s="138">
        <v>32292.131487803239</v>
      </c>
      <c r="F883" s="138">
        <v>20.825541740880801</v>
      </c>
      <c r="G883" s="138">
        <v>-2163.1169326034651</v>
      </c>
      <c r="H883" s="138">
        <v>4.5230852830552948E-2</v>
      </c>
      <c r="N883" s="138"/>
      <c r="O883" s="138"/>
      <c r="P883" s="138"/>
      <c r="R883">
        <v>213.38249226076783</v>
      </c>
      <c r="S883">
        <v>65.021357531354795</v>
      </c>
      <c r="T883">
        <v>238.33322550225068</v>
      </c>
      <c r="U883">
        <v>91.231901259324047</v>
      </c>
      <c r="X883">
        <v>0.57486226832717868</v>
      </c>
      <c r="Y883">
        <v>0.63393971231965107</v>
      </c>
      <c r="Z883">
        <v>0.59796027283968556</v>
      </c>
      <c r="AA883">
        <v>0.88482697425107804</v>
      </c>
      <c r="AB883">
        <v>0.58985205738342805</v>
      </c>
      <c r="AC883">
        <v>0.95021333791238227</v>
      </c>
      <c r="AD883">
        <v>0.63071180897402679</v>
      </c>
      <c r="AE883">
        <v>0.61398521234816261</v>
      </c>
      <c r="AH883">
        <v>0.24002262949235886</v>
      </c>
      <c r="AI883">
        <v>9.4681326945307398E-2</v>
      </c>
      <c r="AJ883">
        <v>0.22535138671113064</v>
      </c>
      <c r="AK883">
        <v>0.16051373485957643</v>
      </c>
      <c r="AL883">
        <v>9.7644993838767791E-2</v>
      </c>
      <c r="AM883">
        <v>0.28339849553729035</v>
      </c>
      <c r="AN883">
        <v>3.4963583623977335E-2</v>
      </c>
      <c r="AO883">
        <v>9.3321800397473398E-2</v>
      </c>
      <c r="AR883">
        <v>8.9338724961940397E-4</v>
      </c>
      <c r="AS883">
        <v>4.1736223155933935E-3</v>
      </c>
      <c r="AT883">
        <v>0.10111832682578181</v>
      </c>
      <c r="AU883">
        <v>2.0629494982195018E-3</v>
      </c>
      <c r="AV883">
        <v>2.1312484917783703E-3</v>
      </c>
      <c r="AW883">
        <v>3.2458035163352369E-3</v>
      </c>
      <c r="AX883">
        <v>3.7165243461731066E-4</v>
      </c>
      <c r="AY883">
        <v>5.6649802580721609E-4</v>
      </c>
      <c r="BB883">
        <v>6.1707124635520638E-2</v>
      </c>
      <c r="BC883">
        <v>2.6706748589181321E-2</v>
      </c>
      <c r="BE883">
        <v>30129.014555199774</v>
      </c>
      <c r="BF883">
        <v>20.870772593711354</v>
      </c>
      <c r="BG883">
        <v>32292.131487803239</v>
      </c>
      <c r="BH883">
        <v>20.825541740880801</v>
      </c>
    </row>
    <row r="884" spans="3:60" x14ac:dyDescent="0.2">
      <c r="C884" s="138">
        <v>26472.779183471888</v>
      </c>
      <c r="D884">
        <v>21.208951915132364</v>
      </c>
      <c r="E884" s="138">
        <v>28266.724456123924</v>
      </c>
      <c r="F884" s="138">
        <v>21.19782931819497</v>
      </c>
      <c r="G884" s="138">
        <v>-1793.9452726520358</v>
      </c>
      <c r="H884" s="138">
        <v>1.1122596937394036E-2</v>
      </c>
      <c r="N884" s="138"/>
      <c r="O884" s="138"/>
      <c r="P884" s="138"/>
      <c r="R884">
        <v>68.20647197868783</v>
      </c>
      <c r="S884">
        <v>64.439552959006093</v>
      </c>
      <c r="T884">
        <v>250.10645527257182</v>
      </c>
      <c r="U884">
        <v>107.08292527410569</v>
      </c>
      <c r="X884">
        <v>0.97823086048070462</v>
      </c>
      <c r="Y884">
        <v>0.81135276305343584</v>
      </c>
      <c r="Z884">
        <v>0.75236046326806827</v>
      </c>
      <c r="AA884">
        <v>0.91882487756751674</v>
      </c>
      <c r="AB884">
        <v>0.71516091704826767</v>
      </c>
      <c r="AC884">
        <v>0.93513087975406983</v>
      </c>
      <c r="AD884">
        <v>0.6586166275966906</v>
      </c>
      <c r="AE884">
        <v>0.53773543248113176</v>
      </c>
      <c r="AH884">
        <v>0.23201617887940706</v>
      </c>
      <c r="AI884">
        <v>8.410723872234438E-2</v>
      </c>
      <c r="AJ884">
        <v>7.686700096264576E-2</v>
      </c>
      <c r="AK884">
        <v>0.14485403390843254</v>
      </c>
      <c r="AL884">
        <v>0.17579367518250399</v>
      </c>
      <c r="AM884">
        <v>6.436005311523707E-2</v>
      </c>
      <c r="AN884">
        <v>1.7700725020814767E-2</v>
      </c>
      <c r="AO884">
        <v>0.27711770894579835</v>
      </c>
      <c r="AR884">
        <v>1.0348187098588868E-3</v>
      </c>
      <c r="AS884">
        <v>4.2748528762829377E-3</v>
      </c>
      <c r="AT884">
        <v>9.9748156620046699E-2</v>
      </c>
      <c r="AU884">
        <v>2.2179921482852194E-3</v>
      </c>
      <c r="AV884">
        <v>2.0331525145489415E-3</v>
      </c>
      <c r="AW884">
        <v>3.4948163405890131E-3</v>
      </c>
      <c r="AX884">
        <v>4.0090728238451057E-4</v>
      </c>
      <c r="AY884">
        <v>3.8570066588499547E-4</v>
      </c>
      <c r="BB884">
        <v>5.2214087462869818E-2</v>
      </c>
      <c r="BC884">
        <v>4.4566320310230237E-2</v>
      </c>
      <c r="BE884">
        <v>26472.779183471888</v>
      </c>
      <c r="BF884">
        <v>21.208951915132364</v>
      </c>
      <c r="BG884">
        <v>28266.724456123924</v>
      </c>
      <c r="BH884">
        <v>21.19782931819497</v>
      </c>
    </row>
    <row r="885" spans="3:60" x14ac:dyDescent="0.2">
      <c r="C885" s="138">
        <v>29141.087152833221</v>
      </c>
      <c r="D885">
        <v>21.301618742974792</v>
      </c>
      <c r="E885" s="138">
        <v>31317.36824480963</v>
      </c>
      <c r="F885" s="138">
        <v>21.28678825172333</v>
      </c>
      <c r="G885" s="138">
        <v>-2176.2810919764088</v>
      </c>
      <c r="H885" s="138">
        <v>1.4830491251462519E-2</v>
      </c>
      <c r="N885" s="138"/>
      <c r="O885" s="138"/>
      <c r="P885" s="138"/>
      <c r="R885">
        <v>225.99702053103374</v>
      </c>
      <c r="S885">
        <v>54.878681539961832</v>
      </c>
      <c r="T885">
        <v>274.20952685976363</v>
      </c>
      <c r="U885">
        <v>110.30954935661147</v>
      </c>
      <c r="X885">
        <v>0.90322791132525049</v>
      </c>
      <c r="Y885">
        <v>0.73900251757051627</v>
      </c>
      <c r="Z885">
        <v>0.94571301039218247</v>
      </c>
      <c r="AA885">
        <v>0.53872088277804908</v>
      </c>
      <c r="AB885">
        <v>0.9483773969105973</v>
      </c>
      <c r="AC885">
        <v>0.68517980166993697</v>
      </c>
      <c r="AD885">
        <v>0.682964086576206</v>
      </c>
      <c r="AE885">
        <v>0.49838383444742451</v>
      </c>
      <c r="AH885">
        <v>0.17838172675233921</v>
      </c>
      <c r="AI885">
        <v>9.2804503896237511E-2</v>
      </c>
      <c r="AJ885">
        <v>0.12234048162239641</v>
      </c>
      <c r="AK885">
        <v>3.4485458944024439E-2</v>
      </c>
      <c r="AL885">
        <v>4.4410753042715134E-2</v>
      </c>
      <c r="AM885">
        <v>0.13398681838250981</v>
      </c>
      <c r="AN885">
        <v>2.5583345185817175E-2</v>
      </c>
      <c r="AO885">
        <v>4.9991344388986558E-2</v>
      </c>
      <c r="AR885">
        <v>9.5468112516072789E-4</v>
      </c>
      <c r="AS885">
        <v>4.072021351333238E-3</v>
      </c>
      <c r="AT885">
        <v>9.8250544287349792E-2</v>
      </c>
      <c r="AU885">
        <v>1.8285200466482045E-3</v>
      </c>
      <c r="AV885">
        <v>2.2021137589508522E-3</v>
      </c>
      <c r="AW885">
        <v>3.2833057499778604E-3</v>
      </c>
      <c r="AX885">
        <v>4.2118135754987129E-4</v>
      </c>
      <c r="AY885">
        <v>3.7880744151555377E-4</v>
      </c>
      <c r="BB885">
        <v>4.8469511150012828E-2</v>
      </c>
      <c r="BC885">
        <v>4.0632027232704426E-2</v>
      </c>
      <c r="BE885">
        <v>29141.087152833221</v>
      </c>
      <c r="BF885">
        <v>21.301618742974792</v>
      </c>
      <c r="BG885">
        <v>31317.36824480963</v>
      </c>
      <c r="BH885">
        <v>21.28678825172333</v>
      </c>
    </row>
    <row r="886" spans="3:60" x14ac:dyDescent="0.2">
      <c r="C886" s="138">
        <v>27546.546096251372</v>
      </c>
      <c r="D886">
        <v>21.801521795157331</v>
      </c>
      <c r="E886" s="138">
        <v>29650.686743719158</v>
      </c>
      <c r="F886" s="138">
        <v>21.797141686938929</v>
      </c>
      <c r="G886" s="138">
        <v>-2104.140647467786</v>
      </c>
      <c r="H886" s="138">
        <v>4.380108218402512E-3</v>
      </c>
      <c r="N886" s="138"/>
      <c r="O886" s="138"/>
      <c r="P886" s="138"/>
      <c r="R886">
        <v>203.07649300247192</v>
      </c>
      <c r="S886">
        <v>55.68878817477691</v>
      </c>
      <c r="T886">
        <v>249.44749035917451</v>
      </c>
      <c r="U886">
        <v>90.679953302642815</v>
      </c>
      <c r="X886">
        <v>0.77821887678523771</v>
      </c>
      <c r="Y886">
        <v>0.87940299398697441</v>
      </c>
      <c r="Z886">
        <v>0.83349582542933653</v>
      </c>
      <c r="AA886">
        <v>0.82290934981364061</v>
      </c>
      <c r="AB886">
        <v>0.89876341095039924</v>
      </c>
      <c r="AC886">
        <v>0.8931247809769175</v>
      </c>
      <c r="AD886">
        <v>0.74170052878291459</v>
      </c>
      <c r="AE886">
        <v>0.74270969260238251</v>
      </c>
      <c r="AH886">
        <v>0.31262256162481383</v>
      </c>
      <c r="AI886">
        <v>9.060744534135301E-2</v>
      </c>
      <c r="AJ886">
        <v>5.1885496454499469E-2</v>
      </c>
      <c r="AK886">
        <v>0.12028796849330692</v>
      </c>
      <c r="AL886">
        <v>0.43882117506045837</v>
      </c>
      <c r="AM886">
        <v>3.8188472634978821E-2</v>
      </c>
      <c r="AN886">
        <v>0.19858702773630055</v>
      </c>
      <c r="AO886">
        <v>9.6608900060656699E-2</v>
      </c>
      <c r="AR886">
        <v>8.4924377739277771E-4</v>
      </c>
      <c r="AS886">
        <v>4.3298148227812134E-3</v>
      </c>
      <c r="AT886">
        <v>0.10093884391275776</v>
      </c>
      <c r="AU886">
        <v>1.9731905611388941E-3</v>
      </c>
      <c r="AV886">
        <v>2.0668098143798996E-3</v>
      </c>
      <c r="AW886">
        <v>3.5492536278359799E-3</v>
      </c>
      <c r="AX886">
        <v>3.7838690447056618E-4</v>
      </c>
      <c r="AY886">
        <v>3.8819581445300312E-4</v>
      </c>
      <c r="BB886">
        <v>5.0433576264278135E-2</v>
      </c>
      <c r="BC886">
        <v>3.5191063742624575E-2</v>
      </c>
      <c r="BE886">
        <v>27546.546096251372</v>
      </c>
      <c r="BF886">
        <v>21.801521795157331</v>
      </c>
      <c r="BG886">
        <v>29650.686743719158</v>
      </c>
      <c r="BH886">
        <v>21.797141686938929</v>
      </c>
    </row>
    <row r="887" spans="3:60" x14ac:dyDescent="0.2">
      <c r="C887" s="138">
        <v>30947.471467480631</v>
      </c>
      <c r="D887">
        <v>20.94505914349428</v>
      </c>
      <c r="E887" s="138">
        <v>33053.92621551067</v>
      </c>
      <c r="F887" s="138">
        <v>20.915383221455283</v>
      </c>
      <c r="G887" s="138">
        <v>-2106.4547480300389</v>
      </c>
      <c r="H887" s="138">
        <v>2.9675922038997271E-2</v>
      </c>
      <c r="N887" s="138"/>
      <c r="O887" s="138"/>
      <c r="P887" s="138"/>
      <c r="R887">
        <v>134.18500986573116</v>
      </c>
      <c r="S887">
        <v>66.101428533426585</v>
      </c>
      <c r="T887">
        <v>259.26487070426595</v>
      </c>
      <c r="U887">
        <v>78.656200220831835</v>
      </c>
      <c r="X887">
        <v>0.72908456694544743</v>
      </c>
      <c r="Y887">
        <v>0.79740350224915901</v>
      </c>
      <c r="Z887">
        <v>0.78803510351002959</v>
      </c>
      <c r="AA887">
        <v>0.80816167147876439</v>
      </c>
      <c r="AB887">
        <v>0.51413818590118465</v>
      </c>
      <c r="AC887">
        <v>0.75532207529745699</v>
      </c>
      <c r="AD887">
        <v>0.84118083689572143</v>
      </c>
      <c r="AE887">
        <v>0.73680893739506059</v>
      </c>
      <c r="AH887">
        <v>8.8909735868318629E-2</v>
      </c>
      <c r="AI887">
        <v>5.6337027693172392E-2</v>
      </c>
      <c r="AJ887">
        <v>0.21621421175487299</v>
      </c>
      <c r="AK887">
        <v>5.2661678689599034E-2</v>
      </c>
      <c r="AL887">
        <v>5.9942000497259729E-2</v>
      </c>
      <c r="AM887">
        <v>0.19552852195704307</v>
      </c>
      <c r="AN887">
        <v>0.12328002274086347</v>
      </c>
      <c r="AO887">
        <v>0.10743943564996994</v>
      </c>
      <c r="AR887">
        <v>1.0174863656926547E-3</v>
      </c>
      <c r="AS887">
        <v>4.4015762095735919E-3</v>
      </c>
      <c r="AT887">
        <v>9.9932183045875395E-2</v>
      </c>
      <c r="AU887">
        <v>2.0399977079953446E-3</v>
      </c>
      <c r="AV887">
        <v>1.8043786407022609E-3</v>
      </c>
      <c r="AW887">
        <v>3.7701921028435725E-3</v>
      </c>
      <c r="AX887">
        <v>3.3879583244711251E-4</v>
      </c>
      <c r="AY887">
        <v>4.5259967577804261E-4</v>
      </c>
      <c r="BB887">
        <v>4.4947719057138687E-2</v>
      </c>
      <c r="BC887">
        <v>6.594795202749526E-2</v>
      </c>
      <c r="BE887">
        <v>30947.471467480631</v>
      </c>
      <c r="BF887">
        <v>20.94505914349428</v>
      </c>
      <c r="BG887">
        <v>33053.92621551067</v>
      </c>
      <c r="BH887">
        <v>20.915383221455283</v>
      </c>
    </row>
    <row r="888" spans="3:60" x14ac:dyDescent="0.2">
      <c r="C888" s="138">
        <v>29853.480509069395</v>
      </c>
      <c r="D888">
        <v>21.32271846931754</v>
      </c>
      <c r="E888" s="138">
        <v>31766.712921524089</v>
      </c>
      <c r="F888" s="138">
        <v>21.295389778721621</v>
      </c>
      <c r="G888" s="138">
        <v>-1913.232412454694</v>
      </c>
      <c r="H888" s="138">
        <v>2.7328690595918914E-2</v>
      </c>
      <c r="N888" s="138"/>
      <c r="O888" s="138"/>
      <c r="P888" s="138"/>
      <c r="R888">
        <v>507.85622100903043</v>
      </c>
      <c r="S888">
        <v>59.84517325309492</v>
      </c>
      <c r="T888">
        <v>214.29017750183138</v>
      </c>
      <c r="U888">
        <v>97.870449918118084</v>
      </c>
      <c r="X888">
        <v>0.81112227515236179</v>
      </c>
      <c r="Y888">
        <v>0.93346661920051921</v>
      </c>
      <c r="Z888">
        <v>0.65753826216914435</v>
      </c>
      <c r="AA888">
        <v>0.72769143187811336</v>
      </c>
      <c r="AB888">
        <v>0.80490917085254798</v>
      </c>
      <c r="AC888">
        <v>0.8009048820836413</v>
      </c>
      <c r="AD888">
        <v>0.71369342771252775</v>
      </c>
      <c r="AE888">
        <v>0.86834864177207116</v>
      </c>
      <c r="AH888">
        <v>0.21330642760657481</v>
      </c>
      <c r="AI888">
        <v>0.13477027045395129</v>
      </c>
      <c r="AJ888">
        <v>0.2493723427441763</v>
      </c>
      <c r="AK888">
        <v>7.4489129523947928E-2</v>
      </c>
      <c r="AL888">
        <v>3.9490082902563728E-2</v>
      </c>
      <c r="AM888">
        <v>3.8529389628108257E-2</v>
      </c>
      <c r="AN888">
        <v>6.3495738793259648E-2</v>
      </c>
      <c r="AO888">
        <v>0.25754707208244432</v>
      </c>
      <c r="AR888">
        <v>1.0261067406815982E-3</v>
      </c>
      <c r="AS888">
        <v>4.5947310682608045E-3</v>
      </c>
      <c r="AT888">
        <v>0.10068997644918098</v>
      </c>
      <c r="AU888">
        <v>1.8789539978157491E-3</v>
      </c>
      <c r="AV888">
        <v>1.8323239131981825E-3</v>
      </c>
      <c r="AW888">
        <v>3.3482041465116956E-3</v>
      </c>
      <c r="AX888">
        <v>3.5583137882557912E-4</v>
      </c>
      <c r="AY888">
        <v>5.6514259690854107E-4</v>
      </c>
      <c r="BB888">
        <v>4.9669845554200773E-2</v>
      </c>
      <c r="BC888">
        <v>9.1447365600529684E-2</v>
      </c>
      <c r="BE888">
        <v>29853.480509069395</v>
      </c>
      <c r="BF888">
        <v>21.32271846931754</v>
      </c>
      <c r="BG888">
        <v>31766.712921524089</v>
      </c>
      <c r="BH888">
        <v>21.295389778721621</v>
      </c>
    </row>
    <row r="889" spans="3:60" x14ac:dyDescent="0.2">
      <c r="C889" s="138">
        <v>34225.039615199006</v>
      </c>
      <c r="D889">
        <v>20.888517647363354</v>
      </c>
      <c r="E889" s="138">
        <v>36707.749259809629</v>
      </c>
      <c r="F889" s="138">
        <v>20.87724572311539</v>
      </c>
      <c r="G889" s="138">
        <v>-2482.7096446106225</v>
      </c>
      <c r="H889" s="138">
        <v>1.1271924247964193E-2</v>
      </c>
      <c r="N889" s="138"/>
      <c r="O889" s="138"/>
      <c r="P889" s="138"/>
      <c r="R889">
        <v>270.77311936198782</v>
      </c>
      <c r="S889">
        <v>59.492680509963613</v>
      </c>
      <c r="T889">
        <v>273.9767564066629</v>
      </c>
      <c r="U889">
        <v>95.313683227492618</v>
      </c>
      <c r="X889">
        <v>0.82751716542543341</v>
      </c>
      <c r="Y889">
        <v>0.68524430065519792</v>
      </c>
      <c r="Z889">
        <v>0.7010048321229263</v>
      </c>
      <c r="AA889">
        <v>0.88007949392447149</v>
      </c>
      <c r="AB889">
        <v>0.67794907770578616</v>
      </c>
      <c r="AC889">
        <v>0.8632396065733472</v>
      </c>
      <c r="AD889">
        <v>0.8785363234619944</v>
      </c>
      <c r="AE889">
        <v>0.7895053859751493</v>
      </c>
      <c r="AH889">
        <v>5.2538994946674467E-2</v>
      </c>
      <c r="AI889">
        <v>0.17206891392097734</v>
      </c>
      <c r="AJ889">
        <v>0.15102460647480587</v>
      </c>
      <c r="AK889">
        <v>1.6334812347382544E-2</v>
      </c>
      <c r="AL889">
        <v>0.10773589807218165</v>
      </c>
      <c r="AM889">
        <v>7.4845411961200203E-2</v>
      </c>
      <c r="AN889">
        <v>0.13019698143207281</v>
      </c>
      <c r="AO889">
        <v>1.1200488595630831E-2</v>
      </c>
      <c r="AR889">
        <v>8.6946598309274104E-4</v>
      </c>
      <c r="AS889">
        <v>4.4327944643036557E-3</v>
      </c>
      <c r="AT889">
        <v>0.10125147995857176</v>
      </c>
      <c r="AU889">
        <v>2.0961404273441842E-3</v>
      </c>
      <c r="AV889">
        <v>2.1208843215052564E-3</v>
      </c>
      <c r="AW889">
        <v>3.4310998321683828E-3</v>
      </c>
      <c r="AX889">
        <v>3.4283553044447138E-4</v>
      </c>
      <c r="AY889">
        <v>3.789880282094231E-4</v>
      </c>
      <c r="BB889">
        <v>6.3614415056865381E-2</v>
      </c>
      <c r="BC889">
        <v>6.1111656476869669E-2</v>
      </c>
      <c r="BE889">
        <v>34225.039615199006</v>
      </c>
      <c r="BF889">
        <v>20.888517647363354</v>
      </c>
      <c r="BG889">
        <v>36707.749259809629</v>
      </c>
      <c r="BH889">
        <v>20.87724572311539</v>
      </c>
    </row>
    <row r="890" spans="3:60" x14ac:dyDescent="0.2">
      <c r="C890" s="138">
        <v>31584.451547879828</v>
      </c>
      <c r="D890">
        <v>21.641733205050627</v>
      </c>
      <c r="E890" s="138">
        <v>33959.998464914948</v>
      </c>
      <c r="F890" s="138">
        <v>21.620824064783296</v>
      </c>
      <c r="G890" s="138">
        <v>-2375.5469170351207</v>
      </c>
      <c r="H890" s="138">
        <v>2.0909140267331594E-2</v>
      </c>
      <c r="N890" s="138"/>
      <c r="O890" s="138"/>
      <c r="P890" s="138"/>
      <c r="R890">
        <v>135.01543456814622</v>
      </c>
      <c r="S890">
        <v>58.908283763529234</v>
      </c>
      <c r="T890">
        <v>286.07419439860377</v>
      </c>
      <c r="U890">
        <v>102.89711776924631</v>
      </c>
      <c r="X890">
        <v>0.85301989017444102</v>
      </c>
      <c r="Y890">
        <v>0.7650051049351918</v>
      </c>
      <c r="Z890">
        <v>0.57540530880600926</v>
      </c>
      <c r="AA890">
        <v>0.85608629833758609</v>
      </c>
      <c r="AB890">
        <v>0.76785176930491295</v>
      </c>
      <c r="AC890">
        <v>0.45710727876852497</v>
      </c>
      <c r="AD890">
        <v>0.68858148140269571</v>
      </c>
      <c r="AE890">
        <v>0.66428223228052685</v>
      </c>
      <c r="AH890">
        <v>5.6868768887107901E-2</v>
      </c>
      <c r="AI890">
        <v>3.61006839831991E-2</v>
      </c>
      <c r="AJ890">
        <v>0.11683948856493898</v>
      </c>
      <c r="AK890">
        <v>0.12489731815433402</v>
      </c>
      <c r="AL890">
        <v>0.11797228808892379</v>
      </c>
      <c r="AM890">
        <v>0.12713248809034805</v>
      </c>
      <c r="AN890">
        <v>4.6809419247037631E-2</v>
      </c>
      <c r="AO890">
        <v>7.5083700573960521E-2</v>
      </c>
      <c r="AR890">
        <v>8.0502995577691266E-4</v>
      </c>
      <c r="AS890">
        <v>4.7297875716187932E-3</v>
      </c>
      <c r="AT890">
        <v>9.9854573378021033E-2</v>
      </c>
      <c r="AU890">
        <v>1.9506228083118293E-3</v>
      </c>
      <c r="AV890">
        <v>2.1449205432662044E-3</v>
      </c>
      <c r="AW890">
        <v>3.5033443596264036E-3</v>
      </c>
      <c r="AX890">
        <v>3.5916079500655096E-4</v>
      </c>
      <c r="AY890">
        <v>5.2202274799706405E-4</v>
      </c>
      <c r="BB890">
        <v>3.9886414561400768E-2</v>
      </c>
      <c r="BC890">
        <v>5.242800998978514E-2</v>
      </c>
      <c r="BE890">
        <v>31584.451547879828</v>
      </c>
      <c r="BF890">
        <v>21.641733205050627</v>
      </c>
      <c r="BG890">
        <v>33959.998464914948</v>
      </c>
      <c r="BH890">
        <v>21.620824064783296</v>
      </c>
    </row>
    <row r="891" spans="3:60" x14ac:dyDescent="0.2">
      <c r="C891" s="138">
        <v>28710.788718536965</v>
      </c>
      <c r="D891">
        <v>21.170846293041336</v>
      </c>
      <c r="E891" s="138">
        <v>30529.614903104004</v>
      </c>
      <c r="F891" s="138">
        <v>21.158986389841587</v>
      </c>
      <c r="G891" s="138">
        <v>-1818.8261845670386</v>
      </c>
      <c r="H891" s="138">
        <v>1.1859903199749056E-2</v>
      </c>
      <c r="N891" s="138"/>
      <c r="O891" s="138"/>
      <c r="P891" s="138"/>
      <c r="R891">
        <v>480.73780435154816</v>
      </c>
      <c r="S891">
        <v>55.322412306868145</v>
      </c>
      <c r="T891">
        <v>279.74674306215917</v>
      </c>
      <c r="U891">
        <v>97.378632788649583</v>
      </c>
      <c r="X891">
        <v>0.55483020244293757</v>
      </c>
      <c r="Y891">
        <v>0.81400496737633687</v>
      </c>
      <c r="Z891">
        <v>0.71294143513967867</v>
      </c>
      <c r="AA891">
        <v>0.73431474934265184</v>
      </c>
      <c r="AB891">
        <v>0.88032949224362367</v>
      </c>
      <c r="AC891">
        <v>0.58161016296503565</v>
      </c>
      <c r="AD891">
        <v>0.80336181508038274</v>
      </c>
      <c r="AE891">
        <v>0.8582159457246118</v>
      </c>
      <c r="AH891">
        <v>1.9193714146757523E-2</v>
      </c>
      <c r="AI891">
        <v>6.9876056889510263E-2</v>
      </c>
      <c r="AJ891">
        <v>0.19994012156660468</v>
      </c>
      <c r="AK891">
        <v>0.16707799301491133</v>
      </c>
      <c r="AL891">
        <v>0.167030438368866</v>
      </c>
      <c r="AM891">
        <v>0.10650720845445094</v>
      </c>
      <c r="AN891">
        <v>5.813489312827369E-2</v>
      </c>
      <c r="AO891">
        <v>0.31419108929774797</v>
      </c>
      <c r="AR891">
        <v>1.0087435247223553E-3</v>
      </c>
      <c r="AS891">
        <v>4.727291356898089E-3</v>
      </c>
      <c r="AT891">
        <v>0.10072477427226323</v>
      </c>
      <c r="AU891">
        <v>1.8541018665610665E-3</v>
      </c>
      <c r="AV891">
        <v>1.784841709565739E-3</v>
      </c>
      <c r="AW891">
        <v>3.3517178225471321E-3</v>
      </c>
      <c r="AX891">
        <v>3.6862883531999321E-4</v>
      </c>
      <c r="AY891">
        <v>4.799611530986736E-4</v>
      </c>
      <c r="BB891">
        <v>5.4157402909557173E-2</v>
      </c>
      <c r="BC891">
        <v>3.5086011363680593E-2</v>
      </c>
      <c r="BE891">
        <v>28710.788718536965</v>
      </c>
      <c r="BF891">
        <v>21.170846293041336</v>
      </c>
      <c r="BG891">
        <v>30529.614903104004</v>
      </c>
      <c r="BH891">
        <v>21.158986389841587</v>
      </c>
    </row>
    <row r="892" spans="3:60" x14ac:dyDescent="0.2">
      <c r="C892" s="138">
        <v>31901.904114268924</v>
      </c>
      <c r="D892">
        <v>21.27432261089465</v>
      </c>
      <c r="E892" s="138">
        <v>33521.406604294338</v>
      </c>
      <c r="F892" s="138">
        <v>21.249797110431366</v>
      </c>
      <c r="G892" s="138">
        <v>-1619.5024900254139</v>
      </c>
      <c r="H892" s="138">
        <v>2.4525500463283834E-2</v>
      </c>
      <c r="N892" s="138"/>
      <c r="O892" s="138"/>
      <c r="P892" s="138"/>
      <c r="R892">
        <v>451.73707331141065</v>
      </c>
      <c r="S892">
        <v>58.422541606534395</v>
      </c>
      <c r="T892">
        <v>255.68559722634726</v>
      </c>
      <c r="U892">
        <v>87.783288225975426</v>
      </c>
      <c r="X892">
        <v>0.74971284404249638</v>
      </c>
      <c r="Y892">
        <v>0.74751751699067981</v>
      </c>
      <c r="Z892">
        <v>0.85212702180996525</v>
      </c>
      <c r="AA892">
        <v>0.8210361398861642</v>
      </c>
      <c r="AB892">
        <v>0.80158914813371485</v>
      </c>
      <c r="AC892">
        <v>0.73784713870305718</v>
      </c>
      <c r="AD892">
        <v>0.81874573244930582</v>
      </c>
      <c r="AE892">
        <v>0.77393747466167429</v>
      </c>
      <c r="AH892">
        <v>8.3214464015252454E-2</v>
      </c>
      <c r="AI892">
        <v>0.15365785079077854</v>
      </c>
      <c r="AJ892">
        <v>8.608343258298734E-2</v>
      </c>
      <c r="AK892">
        <v>0.1067253919599449</v>
      </c>
      <c r="AL892">
        <v>0.27404378896788772</v>
      </c>
      <c r="AM892">
        <v>9.9808287438067578E-2</v>
      </c>
      <c r="AN892">
        <v>7.3309979253815993E-2</v>
      </c>
      <c r="AO892">
        <v>0.14051733572950864</v>
      </c>
      <c r="AR892">
        <v>8.4749262965311983E-4</v>
      </c>
      <c r="AS892">
        <v>4.6880110218872062E-3</v>
      </c>
      <c r="AT892">
        <v>0.10084960296747258</v>
      </c>
      <c r="AU892">
        <v>2.1653734703932503E-3</v>
      </c>
      <c r="AV892">
        <v>2.0813437847303495E-3</v>
      </c>
      <c r="AW892">
        <v>3.2477910190303206E-3</v>
      </c>
      <c r="AX892">
        <v>4.4942532113079192E-4</v>
      </c>
      <c r="AY892">
        <v>3.6431912782429113E-4</v>
      </c>
      <c r="BB892">
        <v>5.6688849942045261E-2</v>
      </c>
      <c r="BC892">
        <v>8.3634003861262518E-2</v>
      </c>
      <c r="BE892">
        <v>31901.904114268924</v>
      </c>
      <c r="BF892">
        <v>21.27432261089465</v>
      </c>
      <c r="BG892">
        <v>33521.406604294338</v>
      </c>
      <c r="BH892">
        <v>21.249797110431366</v>
      </c>
    </row>
    <row r="893" spans="3:60" x14ac:dyDescent="0.2">
      <c r="C893" s="138">
        <v>32200.017158765448</v>
      </c>
      <c r="D893">
        <v>19.829062374933621</v>
      </c>
      <c r="E893" s="138">
        <v>34100.609476389312</v>
      </c>
      <c r="F893" s="138">
        <v>19.758872983352514</v>
      </c>
      <c r="G893" s="138">
        <v>-1900.5923176238648</v>
      </c>
      <c r="H893" s="138">
        <v>7.0189391581106264E-2</v>
      </c>
      <c r="N893" s="138"/>
      <c r="O893" s="138"/>
      <c r="P893" s="138"/>
      <c r="R893">
        <v>218.99429167675777</v>
      </c>
      <c r="S893">
        <v>58.168209942851426</v>
      </c>
      <c r="T893">
        <v>243.49323726030084</v>
      </c>
      <c r="U893">
        <v>79.808193067787414</v>
      </c>
      <c r="X893">
        <v>0.38138932849788099</v>
      </c>
      <c r="Y893">
        <v>0.64028437988798181</v>
      </c>
      <c r="Z893">
        <v>0.61210262659500758</v>
      </c>
      <c r="AA893">
        <v>0.74391005147612221</v>
      </c>
      <c r="AB893">
        <v>0.48094775284501268</v>
      </c>
      <c r="AC893">
        <v>0.90648334660267316</v>
      </c>
      <c r="AD893">
        <v>0.94598579217644763</v>
      </c>
      <c r="AE893">
        <v>0.44530818290853286</v>
      </c>
      <c r="AH893">
        <v>0.29288164199087119</v>
      </c>
      <c r="AI893">
        <v>0.28537347088753851</v>
      </c>
      <c r="AJ893">
        <v>9.6646315251321613E-2</v>
      </c>
      <c r="AK893">
        <v>0.17847199636264277</v>
      </c>
      <c r="AL893">
        <v>0.13552169187063312</v>
      </c>
      <c r="AM893">
        <v>9.1416168651174523E-2</v>
      </c>
      <c r="AN893">
        <v>5.6500090182508345E-2</v>
      </c>
      <c r="AO893">
        <v>5.344088278356951E-2</v>
      </c>
      <c r="AR893">
        <v>8.8896286909179167E-4</v>
      </c>
      <c r="AS893">
        <v>4.4240950534539204E-3</v>
      </c>
      <c r="AT893">
        <v>9.765900498264983E-2</v>
      </c>
      <c r="AU893">
        <v>2.0040526328990449E-3</v>
      </c>
      <c r="AV893">
        <v>2.2031567596216828E-3</v>
      </c>
      <c r="AW893">
        <v>3.4915789724384583E-3</v>
      </c>
      <c r="AX893">
        <v>3.7746043700318438E-4</v>
      </c>
      <c r="AY893">
        <v>4.9451249928023078E-4</v>
      </c>
      <c r="BB893">
        <v>3.8796850321549239E-2</v>
      </c>
      <c r="BC893">
        <v>2.7779126386082747E-2</v>
      </c>
      <c r="BE893">
        <v>32200.017158765448</v>
      </c>
      <c r="BF893">
        <v>19.829062374933621</v>
      </c>
      <c r="BG893">
        <v>34100.609476389312</v>
      </c>
      <c r="BH893">
        <v>19.758872983352514</v>
      </c>
    </row>
    <row r="894" spans="3:60" x14ac:dyDescent="0.2">
      <c r="C894" s="138">
        <v>30584.230529556291</v>
      </c>
      <c r="D894">
        <v>20.46277902315073</v>
      </c>
      <c r="E894" s="138">
        <v>32969.009869671994</v>
      </c>
      <c r="F894" s="138">
        <v>20.46841086541929</v>
      </c>
      <c r="G894" s="138">
        <v>-2384.7793401157032</v>
      </c>
      <c r="H894" s="138">
        <v>-5.6318422685599501E-3</v>
      </c>
      <c r="N894" s="138"/>
      <c r="O894" s="138"/>
      <c r="P894" s="138"/>
      <c r="R894">
        <v>299.05627760312632</v>
      </c>
      <c r="S894">
        <v>56.821405922229488</v>
      </c>
      <c r="T894">
        <v>255.88719050929927</v>
      </c>
      <c r="U894">
        <v>114.16392227131131</v>
      </c>
      <c r="X894">
        <v>0.65889260491983659</v>
      </c>
      <c r="Y894">
        <v>0.88568280197735549</v>
      </c>
      <c r="Z894">
        <v>0.90637286072052026</v>
      </c>
      <c r="AA894">
        <v>0.67230465515617754</v>
      </c>
      <c r="AB894">
        <v>0.82747111516128791</v>
      </c>
      <c r="AC894">
        <v>0.45850411168218547</v>
      </c>
      <c r="AD894">
        <v>0.82863881798283834</v>
      </c>
      <c r="AE894">
        <v>0.7790549543950317</v>
      </c>
      <c r="AH894">
        <v>0.18801584384667192</v>
      </c>
      <c r="AI894">
        <v>0.13215747207016582</v>
      </c>
      <c r="AJ894">
        <v>5.1110941185027459E-2</v>
      </c>
      <c r="AK894">
        <v>9.5199821019077202E-2</v>
      </c>
      <c r="AL894">
        <v>5.8936383231403489E-2</v>
      </c>
      <c r="AM894">
        <v>6.5593703056965658E-2</v>
      </c>
      <c r="AN894">
        <v>0.10317024917519979</v>
      </c>
      <c r="AO894">
        <v>0.30960277489471266</v>
      </c>
      <c r="AR894">
        <v>8.4038429137792711E-4</v>
      </c>
      <c r="AS894">
        <v>4.5745445153505537E-3</v>
      </c>
      <c r="AT894">
        <v>9.9733797008379477E-2</v>
      </c>
      <c r="AU894">
        <v>2.0300654741031154E-3</v>
      </c>
      <c r="AV894">
        <v>2.2744857770454763E-3</v>
      </c>
      <c r="AW894">
        <v>3.1542550317863773E-3</v>
      </c>
      <c r="AX894">
        <v>4.1274269247315587E-4</v>
      </c>
      <c r="AY894">
        <v>3.9077824350638703E-4</v>
      </c>
      <c r="BB894">
        <v>4.6266931516604132E-2</v>
      </c>
      <c r="BC894">
        <v>5.7199197321507467E-2</v>
      </c>
      <c r="BE894">
        <v>30584.230529556291</v>
      </c>
      <c r="BF894">
        <v>20.46277902315073</v>
      </c>
      <c r="BG894">
        <v>32969.009869671994</v>
      </c>
      <c r="BH894">
        <v>20.46841086541929</v>
      </c>
    </row>
    <row r="895" spans="3:60" x14ac:dyDescent="0.2">
      <c r="C895" s="138">
        <v>29842.538993168244</v>
      </c>
      <c r="D895">
        <v>21.411588938961966</v>
      </c>
      <c r="E895" s="138">
        <v>31825.639777167609</v>
      </c>
      <c r="F895" s="138">
        <v>21.409966412206956</v>
      </c>
      <c r="G895" s="138">
        <v>-1983.1007839993654</v>
      </c>
      <c r="H895" s="138">
        <v>1.6225267550105116E-3</v>
      </c>
      <c r="N895" s="138"/>
      <c r="O895" s="138"/>
      <c r="P895" s="138"/>
      <c r="R895">
        <v>419.39547950963481</v>
      </c>
      <c r="S895">
        <v>72.020001201269721</v>
      </c>
      <c r="T895">
        <v>234.16308155859872</v>
      </c>
      <c r="U895">
        <v>86.930387249015297</v>
      </c>
      <c r="X895">
        <v>0.62654923825932296</v>
      </c>
      <c r="Y895">
        <v>0.96513662918913756</v>
      </c>
      <c r="Z895">
        <v>0.68989887935960159</v>
      </c>
      <c r="AA895">
        <v>0.33359896589852739</v>
      </c>
      <c r="AB895">
        <v>0.8094093214457182</v>
      </c>
      <c r="AC895">
        <v>0.65203132849141443</v>
      </c>
      <c r="AD895">
        <v>0.82594541550755907</v>
      </c>
      <c r="AE895">
        <v>0.92686945265473497</v>
      </c>
      <c r="AH895">
        <v>2.1666092060319775E-2</v>
      </c>
      <c r="AI895">
        <v>3.9450240967981443E-2</v>
      </c>
      <c r="AJ895">
        <v>0.2295185945905438</v>
      </c>
      <c r="AK895">
        <v>5.2156435920740485E-2</v>
      </c>
      <c r="AL895">
        <v>0.11237101546478434</v>
      </c>
      <c r="AM895">
        <v>0.2355926968627623</v>
      </c>
      <c r="AN895">
        <v>1.6742032183979516E-2</v>
      </c>
      <c r="AO895">
        <v>0.17435227682647214</v>
      </c>
      <c r="AR895">
        <v>6.5809557714050046E-4</v>
      </c>
      <c r="AS895">
        <v>4.6976807834735457E-3</v>
      </c>
      <c r="AT895">
        <v>0.10023073745672439</v>
      </c>
      <c r="AU895">
        <v>2.0321245848233804E-3</v>
      </c>
      <c r="AV895">
        <v>1.9163635638128188E-3</v>
      </c>
      <c r="AW895">
        <v>3.3339888603433651E-3</v>
      </c>
      <c r="AX895">
        <v>3.5422562702562668E-4</v>
      </c>
      <c r="AY895">
        <v>5.2829188269176708E-4</v>
      </c>
      <c r="BB895">
        <v>5.2899509801092814E-2</v>
      </c>
      <c r="BC895">
        <v>4.0497860821626125E-2</v>
      </c>
      <c r="BE895">
        <v>29842.538993168244</v>
      </c>
      <c r="BF895">
        <v>21.411588938961966</v>
      </c>
      <c r="BG895">
        <v>31825.639777167609</v>
      </c>
      <c r="BH895">
        <v>21.409966412206956</v>
      </c>
    </row>
    <row r="896" spans="3:60" x14ac:dyDescent="0.2">
      <c r="C896" s="138">
        <v>36289.322783678363</v>
      </c>
      <c r="D896">
        <v>21.170782419390964</v>
      </c>
      <c r="E896" s="138">
        <v>38170.757359162613</v>
      </c>
      <c r="F896" s="138">
        <v>21.170161116123335</v>
      </c>
      <c r="G896" s="138">
        <v>-1881.4345754842507</v>
      </c>
      <c r="H896" s="138">
        <v>6.2130326762854793E-4</v>
      </c>
      <c r="N896" s="138"/>
      <c r="O896" s="138"/>
      <c r="P896" s="138"/>
      <c r="R896">
        <v>415.59379547516892</v>
      </c>
      <c r="S896">
        <v>66.520601630418042</v>
      </c>
      <c r="T896">
        <v>249.02906554688187</v>
      </c>
      <c r="U896">
        <v>82.548584327133028</v>
      </c>
      <c r="X896">
        <v>0.90455969584285167</v>
      </c>
      <c r="Y896">
        <v>0.8812017742341709</v>
      </c>
      <c r="Z896">
        <v>0.75251147811488794</v>
      </c>
      <c r="AA896">
        <v>0.70215202970924961</v>
      </c>
      <c r="AB896">
        <v>0.70286679937995133</v>
      </c>
      <c r="AC896">
        <v>0.8708925823635868</v>
      </c>
      <c r="AD896">
        <v>0.87309910380409683</v>
      </c>
      <c r="AE896">
        <v>0.58571281958828181</v>
      </c>
      <c r="AH896">
        <v>5.4843102580925285E-2</v>
      </c>
      <c r="AI896">
        <v>6.572327019127755E-2</v>
      </c>
      <c r="AJ896">
        <v>0.10397345528395396</v>
      </c>
      <c r="AK896">
        <v>1.9170164889469099E-2</v>
      </c>
      <c r="AL896">
        <v>0.16053032807343492</v>
      </c>
      <c r="AM896">
        <v>9.8299212785966095E-2</v>
      </c>
      <c r="AN896">
        <v>5.5745678650096053E-2</v>
      </c>
      <c r="AO896">
        <v>0.14284694940582454</v>
      </c>
      <c r="AR896">
        <v>9.3517551361099738E-4</v>
      </c>
      <c r="AS896">
        <v>4.1766392606534452E-3</v>
      </c>
      <c r="AT896">
        <v>9.959811407768665E-2</v>
      </c>
      <c r="AU896">
        <v>1.8496393548718599E-3</v>
      </c>
      <c r="AV896">
        <v>1.8324951986000723E-3</v>
      </c>
      <c r="AW896">
        <v>3.1813503419730045E-3</v>
      </c>
      <c r="AX896">
        <v>4.4579922941168082E-4</v>
      </c>
      <c r="AY896">
        <v>5.5979594760613427E-4</v>
      </c>
      <c r="BB896">
        <v>4.9359386757600099E-2</v>
      </c>
      <c r="BC896">
        <v>5.3853775119539038E-2</v>
      </c>
      <c r="BE896">
        <v>36289.322783678363</v>
      </c>
      <c r="BF896">
        <v>21.170782419390964</v>
      </c>
      <c r="BG896">
        <v>38170.757359162613</v>
      </c>
      <c r="BH896">
        <v>21.170161116123335</v>
      </c>
    </row>
    <row r="897" spans="3:60" x14ac:dyDescent="0.2">
      <c r="C897" s="138">
        <v>36912.5008268456</v>
      </c>
      <c r="D897">
        <v>20.335474872746055</v>
      </c>
      <c r="E897" s="138">
        <v>38892.847943401808</v>
      </c>
      <c r="F897" s="138">
        <v>20.29197463085853</v>
      </c>
      <c r="G897" s="138">
        <v>-1980.3471165562078</v>
      </c>
      <c r="H897" s="138">
        <v>4.3500241887524993E-2</v>
      </c>
      <c r="N897" s="138"/>
      <c r="O897" s="138"/>
      <c r="P897" s="138"/>
      <c r="R897">
        <v>344.8782294652558</v>
      </c>
      <c r="S897">
        <v>64.78456042900558</v>
      </c>
      <c r="T897">
        <v>261.85477877709121</v>
      </c>
      <c r="U897">
        <v>91.710601951087042</v>
      </c>
      <c r="X897">
        <v>0.77568417105979148</v>
      </c>
      <c r="Y897">
        <v>0.47703409397689195</v>
      </c>
      <c r="Z897">
        <v>0.32770638079762449</v>
      </c>
      <c r="AA897">
        <v>0.87672048469571373</v>
      </c>
      <c r="AB897">
        <v>0.60120278609808497</v>
      </c>
      <c r="AC897">
        <v>0.6299667431820728</v>
      </c>
      <c r="AD897">
        <v>0.52610343263071291</v>
      </c>
      <c r="AE897">
        <v>0.82125674006533789</v>
      </c>
      <c r="AH897">
        <v>0.12254015778193172</v>
      </c>
      <c r="AI897">
        <v>0.20537455244193603</v>
      </c>
      <c r="AJ897">
        <v>0.18929846396015981</v>
      </c>
      <c r="AK897">
        <v>4.2164390692084774E-2</v>
      </c>
      <c r="AL897">
        <v>9.8420681824545664E-2</v>
      </c>
      <c r="AM897">
        <v>4.4947435371745947E-2</v>
      </c>
      <c r="AN897">
        <v>0.22192023447530795</v>
      </c>
      <c r="AO897">
        <v>0.19848087079507448</v>
      </c>
      <c r="AR897">
        <v>8.8367834978333754E-4</v>
      </c>
      <c r="AS897">
        <v>4.4134177485285328E-3</v>
      </c>
      <c r="AT897">
        <v>0.10119259824847915</v>
      </c>
      <c r="AU897">
        <v>2.1239289023861074E-3</v>
      </c>
      <c r="AV897">
        <v>2.171643155412406E-3</v>
      </c>
      <c r="AW897">
        <v>3.3120655123266259E-3</v>
      </c>
      <c r="AX897">
        <v>3.0826356483016471E-4</v>
      </c>
      <c r="AY897">
        <v>4.3833977281374132E-4</v>
      </c>
      <c r="BB897">
        <v>5.2917667053640871E-2</v>
      </c>
      <c r="BC897">
        <v>9.6902302546092375E-3</v>
      </c>
      <c r="BE897">
        <v>36912.5008268456</v>
      </c>
      <c r="BF897">
        <v>20.335474872746055</v>
      </c>
      <c r="BG897">
        <v>38892.847943401808</v>
      </c>
      <c r="BH897">
        <v>20.29197463085853</v>
      </c>
    </row>
    <row r="898" spans="3:60" x14ac:dyDescent="0.2">
      <c r="C898" s="138">
        <v>29134.647434851853</v>
      </c>
      <c r="D898">
        <v>21.122855350391312</v>
      </c>
      <c r="E898" s="138">
        <v>30993.840974641935</v>
      </c>
      <c r="F898" s="138">
        <v>21.122482751618918</v>
      </c>
      <c r="G898" s="138">
        <v>-1859.1935397900816</v>
      </c>
      <c r="H898" s="138">
        <v>3.7259877239392836E-4</v>
      </c>
      <c r="N898" s="138"/>
      <c r="O898" s="138"/>
      <c r="P898" s="138"/>
      <c r="R898">
        <v>307.16960837274877</v>
      </c>
      <c r="S898">
        <v>63.460524118039231</v>
      </c>
      <c r="T898">
        <v>245.99851959425118</v>
      </c>
      <c r="U898">
        <v>96.426763500781149</v>
      </c>
      <c r="X898">
        <v>0.77358328901288642</v>
      </c>
      <c r="Y898">
        <v>0.83622274450230871</v>
      </c>
      <c r="Z898">
        <v>0.83458072407205952</v>
      </c>
      <c r="AA898">
        <v>0.87410967750176305</v>
      </c>
      <c r="AB898">
        <v>0.76609810158118241</v>
      </c>
      <c r="AC898">
        <v>0.80508180858069123</v>
      </c>
      <c r="AD898">
        <v>0.88844052545653041</v>
      </c>
      <c r="AE898">
        <v>0.80507932507608737</v>
      </c>
      <c r="AH898">
        <v>0.11209295733988067</v>
      </c>
      <c r="AI898">
        <v>8.4306372822995801E-2</v>
      </c>
      <c r="AJ898">
        <v>7.2240613404066956E-2</v>
      </c>
      <c r="AK898">
        <v>0.19537535369541992</v>
      </c>
      <c r="AL898">
        <v>0.22303643298781028</v>
      </c>
      <c r="AM898">
        <v>0.13589232265483764</v>
      </c>
      <c r="AN898">
        <v>0.16433594839389143</v>
      </c>
      <c r="AO898">
        <v>0.15258087781818963</v>
      </c>
      <c r="AR898">
        <v>8.8447283381632488E-4</v>
      </c>
      <c r="AS898">
        <v>4.5956880155121338E-3</v>
      </c>
      <c r="AT898">
        <v>0.10029589159492103</v>
      </c>
      <c r="AU898">
        <v>2.2509067350426903E-3</v>
      </c>
      <c r="AV898">
        <v>1.9350887226128864E-3</v>
      </c>
      <c r="AW898">
        <v>3.2522924673804099E-3</v>
      </c>
      <c r="AX898">
        <v>4.4337480836065257E-4</v>
      </c>
      <c r="AY898">
        <v>3.623699808390979E-4</v>
      </c>
      <c r="BB898">
        <v>4.6990270987310449E-2</v>
      </c>
      <c r="BC898">
        <v>9.9739866494073404E-2</v>
      </c>
      <c r="BE898">
        <v>29134.647434851853</v>
      </c>
      <c r="BF898">
        <v>21.122855350391312</v>
      </c>
      <c r="BG898">
        <v>30993.840974641935</v>
      </c>
      <c r="BH898">
        <v>21.122482751618918</v>
      </c>
    </row>
    <row r="899" spans="3:60" x14ac:dyDescent="0.2">
      <c r="C899" s="138">
        <v>30349.36116194195</v>
      </c>
      <c r="D899">
        <v>21.346911353868244</v>
      </c>
      <c r="E899" s="138">
        <v>32351.189868020083</v>
      </c>
      <c r="F899" s="138">
        <v>21.338629885808182</v>
      </c>
      <c r="G899" s="138">
        <v>-2001.8287060781331</v>
      </c>
      <c r="H899" s="138">
        <v>8.281468060062025E-3</v>
      </c>
      <c r="N899" s="138"/>
      <c r="O899" s="138"/>
      <c r="P899" s="138"/>
      <c r="R899">
        <v>239.49405933281844</v>
      </c>
      <c r="S899">
        <v>59.494121477531891</v>
      </c>
      <c r="T899">
        <v>273.87462466798007</v>
      </c>
      <c r="U899">
        <v>98.743965184021917</v>
      </c>
      <c r="X899">
        <v>0.87445557391649931</v>
      </c>
      <c r="Y899">
        <v>0.67691002946329748</v>
      </c>
      <c r="Z899">
        <v>0.81574990746325682</v>
      </c>
      <c r="AA899">
        <v>0.37065304892310741</v>
      </c>
      <c r="AB899">
        <v>0.94431475464690007</v>
      </c>
      <c r="AC899">
        <v>0.86594982055262559</v>
      </c>
      <c r="AD899">
        <v>0.80133652988841408</v>
      </c>
      <c r="AE899">
        <v>0.73338498396860463</v>
      </c>
      <c r="AH899">
        <v>0.17366384992065087</v>
      </c>
      <c r="AI899">
        <v>0.12999203453074293</v>
      </c>
      <c r="AJ899">
        <v>0.10350161530891133</v>
      </c>
      <c r="AK899">
        <v>0.10732029089885564</v>
      </c>
      <c r="AL899">
        <v>8.1044708346733163E-2</v>
      </c>
      <c r="AM899">
        <v>0.12762871813208876</v>
      </c>
      <c r="AN899">
        <v>0.10696132831051308</v>
      </c>
      <c r="AO899">
        <v>0.12944918637801495</v>
      </c>
      <c r="AR899">
        <v>9.9605804388513963E-4</v>
      </c>
      <c r="AS899">
        <v>4.1080932982887819E-3</v>
      </c>
      <c r="AT899">
        <v>9.9618928755164815E-2</v>
      </c>
      <c r="AU899">
        <v>1.8980132151081542E-3</v>
      </c>
      <c r="AV899">
        <v>1.8095492168995633E-3</v>
      </c>
      <c r="AW899">
        <v>3.4788691199508781E-3</v>
      </c>
      <c r="AX899">
        <v>4.5965950456405835E-4</v>
      </c>
      <c r="AY899">
        <v>3.5725780972782102E-4</v>
      </c>
      <c r="BB899">
        <v>5.1087884435351616E-2</v>
      </c>
      <c r="BC899">
        <v>5.9297591349473988E-2</v>
      </c>
      <c r="BE899">
        <v>30349.36116194195</v>
      </c>
      <c r="BF899">
        <v>21.346911353868244</v>
      </c>
      <c r="BG899">
        <v>32351.189868020083</v>
      </c>
      <c r="BH899">
        <v>21.338629885808182</v>
      </c>
    </row>
    <row r="900" spans="3:60" x14ac:dyDescent="0.2">
      <c r="C900" s="138">
        <v>27859.894255060091</v>
      </c>
      <c r="D900">
        <v>20.821373598281511</v>
      </c>
      <c r="E900" s="138">
        <v>30804.703406838587</v>
      </c>
      <c r="F900" s="138">
        <v>20.780083028380837</v>
      </c>
      <c r="G900" s="138">
        <v>-2944.809151778496</v>
      </c>
      <c r="H900" s="138">
        <v>4.1290569900674257E-2</v>
      </c>
      <c r="N900" s="138"/>
      <c r="O900" s="138"/>
      <c r="P900" s="138"/>
      <c r="R900">
        <v>168.79284752101776</v>
      </c>
      <c r="S900">
        <v>74.052415402637521</v>
      </c>
      <c r="T900">
        <v>231.58898487558099</v>
      </c>
      <c r="U900">
        <v>104.6906459237245</v>
      </c>
      <c r="X900">
        <v>0.80021186437283776</v>
      </c>
      <c r="Y900">
        <v>0.77254164867963304</v>
      </c>
      <c r="Z900">
        <v>0.93944480732136282</v>
      </c>
      <c r="AA900">
        <v>0.56338043029669249</v>
      </c>
      <c r="AB900">
        <v>0.8170481499303125</v>
      </c>
      <c r="AC900">
        <v>0.55692019637044021</v>
      </c>
      <c r="AD900">
        <v>0.6668872787279031</v>
      </c>
      <c r="AE900">
        <v>0.75097882859941323</v>
      </c>
      <c r="AH900">
        <v>7.6234484355590659E-3</v>
      </c>
      <c r="AI900">
        <v>9.4101261286864801E-2</v>
      </c>
      <c r="AJ900">
        <v>0.15123555224909313</v>
      </c>
      <c r="AK900">
        <v>0.32870063510109326</v>
      </c>
      <c r="AL900">
        <v>8.6065217413265227E-2</v>
      </c>
      <c r="AM900">
        <v>9.9668227569751355E-2</v>
      </c>
      <c r="AN900">
        <v>5.2014602562092338E-2</v>
      </c>
      <c r="AO900">
        <v>4.4068641054013424E-2</v>
      </c>
      <c r="AR900">
        <v>7.31248200202982E-4</v>
      </c>
      <c r="AS900">
        <v>4.6168086220715887E-3</v>
      </c>
      <c r="AT900">
        <v>9.9759397718773013E-2</v>
      </c>
      <c r="AU900">
        <v>2.1453084110881759E-3</v>
      </c>
      <c r="AV900">
        <v>2.0055788927582086E-3</v>
      </c>
      <c r="AW900">
        <v>3.3181368565950047E-3</v>
      </c>
      <c r="AX900">
        <v>4.4930809530185911E-4</v>
      </c>
      <c r="AY900">
        <v>3.6686865055654593E-4</v>
      </c>
      <c r="BB900">
        <v>5.1179523540825778E-2</v>
      </c>
      <c r="BC900">
        <v>2.5464589977775981E-2</v>
      </c>
      <c r="BE900">
        <v>27859.894255060091</v>
      </c>
      <c r="BF900">
        <v>20.821373598281511</v>
      </c>
      <c r="BG900">
        <v>30804.703406838587</v>
      </c>
      <c r="BH900">
        <v>20.780083028380837</v>
      </c>
    </row>
    <row r="901" spans="3:60" x14ac:dyDescent="0.2">
      <c r="C901" s="138">
        <v>31404.295913106678</v>
      </c>
      <c r="D901">
        <v>21.246739765778152</v>
      </c>
      <c r="E901" s="138">
        <v>33815.196275511051</v>
      </c>
      <c r="F901" s="138">
        <v>21.238690484441253</v>
      </c>
      <c r="G901" s="138">
        <v>-2410.9003624043726</v>
      </c>
      <c r="H901" s="138">
        <v>8.0492813368984173E-3</v>
      </c>
      <c r="N901" s="138"/>
      <c r="O901" s="138"/>
      <c r="P901" s="138"/>
      <c r="R901">
        <v>266.33063267055633</v>
      </c>
      <c r="S901">
        <v>57.092221942415335</v>
      </c>
      <c r="T901">
        <v>291.79280959719239</v>
      </c>
      <c r="U901">
        <v>98.60446134760997</v>
      </c>
      <c r="X901">
        <v>0.92107158504182518</v>
      </c>
      <c r="Y901">
        <v>0.32367411269193858</v>
      </c>
      <c r="Z901">
        <v>0.83797926324213923</v>
      </c>
      <c r="AA901">
        <v>0.82205518818792722</v>
      </c>
      <c r="AB901">
        <v>0.80246636404979266</v>
      </c>
      <c r="AC901">
        <v>0.880504688889578</v>
      </c>
      <c r="AD901">
        <v>0.82678661720477054</v>
      </c>
      <c r="AE901">
        <v>0.90422859329158001</v>
      </c>
      <c r="AH901">
        <v>0.13902335298181212</v>
      </c>
      <c r="AI901">
        <v>2.5181003437843019E-2</v>
      </c>
      <c r="AJ901">
        <v>2.7266743463699172E-2</v>
      </c>
      <c r="AK901">
        <v>7.4559238625873103E-2</v>
      </c>
      <c r="AL901">
        <v>7.9002813539572614E-3</v>
      </c>
      <c r="AM901">
        <v>6.8567380540627498E-2</v>
      </c>
      <c r="AN901">
        <v>0.12613991264839319</v>
      </c>
      <c r="AO901">
        <v>0.12768389542787018</v>
      </c>
      <c r="AR901">
        <v>8.6120833673216236E-4</v>
      </c>
      <c r="AS901">
        <v>4.2614014041693973E-3</v>
      </c>
      <c r="AT901">
        <v>9.9346335594159077E-2</v>
      </c>
      <c r="AU901">
        <v>1.8625857612261018E-3</v>
      </c>
      <c r="AV901">
        <v>1.9110896647510547E-3</v>
      </c>
      <c r="AW901">
        <v>3.2037264089554516E-3</v>
      </c>
      <c r="AX901">
        <v>4.7770289193072024E-4</v>
      </c>
      <c r="AY901">
        <v>4.4331987091085858E-4</v>
      </c>
      <c r="BB901">
        <v>4.8570786002925297E-2</v>
      </c>
      <c r="BC901">
        <v>3.070581383681438E-2</v>
      </c>
      <c r="BE901">
        <v>31404.295913106678</v>
      </c>
      <c r="BF901">
        <v>21.246739765778152</v>
      </c>
      <c r="BG901">
        <v>33815.196275511051</v>
      </c>
      <c r="BH901">
        <v>21.238690484441253</v>
      </c>
    </row>
    <row r="902" spans="3:60" x14ac:dyDescent="0.2">
      <c r="C902" s="138">
        <v>29431.10579742166</v>
      </c>
      <c r="D902">
        <v>21.371522311750297</v>
      </c>
      <c r="E902" s="138">
        <v>31575.917737299234</v>
      </c>
      <c r="F902" s="138">
        <v>21.375793278058172</v>
      </c>
      <c r="G902" s="138">
        <v>-2144.8119398775743</v>
      </c>
      <c r="H902" s="138">
        <v>-4.2709663078746019E-3</v>
      </c>
      <c r="N902" s="138"/>
      <c r="O902" s="138"/>
      <c r="P902" s="138"/>
      <c r="R902">
        <v>238.79014298565156</v>
      </c>
      <c r="S902">
        <v>55.779663777560586</v>
      </c>
      <c r="T902">
        <v>210.78290833977562</v>
      </c>
      <c r="U902">
        <v>100.96945831569352</v>
      </c>
      <c r="X902">
        <v>0.76227370013140783</v>
      </c>
      <c r="Y902">
        <v>0.68062285217810614</v>
      </c>
      <c r="Z902">
        <v>0.85608937507956118</v>
      </c>
      <c r="AA902">
        <v>0.82054616821832582</v>
      </c>
      <c r="AB902">
        <v>0.63182676223001843</v>
      </c>
      <c r="AC902">
        <v>0.70651069369080621</v>
      </c>
      <c r="AD902">
        <v>0.62540271425271721</v>
      </c>
      <c r="AE902">
        <v>0.82015833063515209</v>
      </c>
      <c r="AH902">
        <v>0.14368658929926881</v>
      </c>
      <c r="AI902">
        <v>7.7838662552851545E-2</v>
      </c>
      <c r="AJ902">
        <v>4.6459833236227821E-2</v>
      </c>
      <c r="AK902">
        <v>5.5279385021079319E-2</v>
      </c>
      <c r="AL902">
        <v>0.15855457065952672</v>
      </c>
      <c r="AM902">
        <v>1.7248492064078524E-2</v>
      </c>
      <c r="AN902">
        <v>0.13581610074016626</v>
      </c>
      <c r="AO902">
        <v>7.5973190191783169E-2</v>
      </c>
      <c r="AR902">
        <v>8.3694572105441015E-4</v>
      </c>
      <c r="AS902">
        <v>4.0723818726895481E-3</v>
      </c>
      <c r="AT902">
        <v>9.9847099226184968E-2</v>
      </c>
      <c r="AU902">
        <v>1.9355282394409423E-3</v>
      </c>
      <c r="AV902">
        <v>1.8764484260614936E-3</v>
      </c>
      <c r="AW902">
        <v>3.4158365706983274E-3</v>
      </c>
      <c r="AX902">
        <v>3.6431414328790722E-4</v>
      </c>
      <c r="AY902">
        <v>4.6142075233668312E-4</v>
      </c>
      <c r="BB902">
        <v>5.3975127659095623E-2</v>
      </c>
      <c r="BC902">
        <v>4.8838285739122744E-2</v>
      </c>
      <c r="BE902">
        <v>29431.10579742166</v>
      </c>
      <c r="BF902">
        <v>21.371522311750297</v>
      </c>
      <c r="BG902">
        <v>31575.917737299234</v>
      </c>
      <c r="BH902">
        <v>21.375793278058172</v>
      </c>
    </row>
    <row r="903" spans="3:60" x14ac:dyDescent="0.2">
      <c r="C903" s="138">
        <v>27510.050810609962</v>
      </c>
      <c r="D903">
        <v>19.757475507525843</v>
      </c>
      <c r="E903" s="138">
        <v>29619.294520437837</v>
      </c>
      <c r="F903" s="138">
        <v>19.668252158682961</v>
      </c>
      <c r="G903" s="138">
        <v>-2109.2437098278751</v>
      </c>
      <c r="H903" s="138">
        <v>8.9223348842882189E-2</v>
      </c>
      <c r="N903" s="138"/>
      <c r="O903" s="138"/>
      <c r="P903" s="138"/>
      <c r="R903">
        <v>280.45361111796473</v>
      </c>
      <c r="S903">
        <v>64.936511374689701</v>
      </c>
      <c r="T903">
        <v>259.73479111813299</v>
      </c>
      <c r="U903">
        <v>97.244763230347985</v>
      </c>
      <c r="X903">
        <v>0.71363505970383601</v>
      </c>
      <c r="Y903">
        <v>0.68033566329245365</v>
      </c>
      <c r="Z903">
        <v>0.80332121002088053</v>
      </c>
      <c r="AA903">
        <v>0.65843076023678604</v>
      </c>
      <c r="AB903">
        <v>0.84603246186773495</v>
      </c>
      <c r="AC903">
        <v>0.73078506215126937</v>
      </c>
      <c r="AD903">
        <v>0.66023828077338087</v>
      </c>
      <c r="AE903">
        <v>0.64584293234068335</v>
      </c>
      <c r="AH903">
        <v>0.16640296212128092</v>
      </c>
      <c r="AI903">
        <v>0.15324014611156722</v>
      </c>
      <c r="AJ903">
        <v>4.7241095798727151E-2</v>
      </c>
      <c r="AK903">
        <v>0.12540745143839327</v>
      </c>
      <c r="AL903">
        <v>9.0790531397712315E-2</v>
      </c>
      <c r="AM903">
        <v>0.2035116645784214</v>
      </c>
      <c r="AN903">
        <v>9.3321827857552719E-2</v>
      </c>
      <c r="AO903">
        <v>0.18426048456366217</v>
      </c>
      <c r="AR903">
        <v>8.298092675406932E-4</v>
      </c>
      <c r="AS903">
        <v>4.7178237533551659E-3</v>
      </c>
      <c r="AT903">
        <v>0.10210065154513182</v>
      </c>
      <c r="AU903">
        <v>2.2457324809244117E-3</v>
      </c>
      <c r="AV903">
        <v>2.0520847912456341E-3</v>
      </c>
      <c r="AW903">
        <v>3.3236482514993077E-3</v>
      </c>
      <c r="AX903">
        <v>4.0443236923237702E-4</v>
      </c>
      <c r="AY903">
        <v>4.2295132859312306E-4</v>
      </c>
      <c r="BB903">
        <v>5.3426526156344134E-2</v>
      </c>
      <c r="BC903">
        <v>5.0888323154080539E-2</v>
      </c>
      <c r="BE903">
        <v>27510.050810609962</v>
      </c>
      <c r="BF903">
        <v>19.757475507525843</v>
      </c>
      <c r="BG903">
        <v>29619.294520437837</v>
      </c>
      <c r="BH903">
        <v>19.668252158682961</v>
      </c>
    </row>
    <row r="904" spans="3:60" x14ac:dyDescent="0.2">
      <c r="C904" s="138">
        <v>31314.452660005685</v>
      </c>
      <c r="D904">
        <v>20.9716238889566</v>
      </c>
      <c r="E904" s="138">
        <v>33519.029852448621</v>
      </c>
      <c r="F904" s="138">
        <v>20.951472964076267</v>
      </c>
      <c r="G904" s="138">
        <v>-2204.5771924429355</v>
      </c>
      <c r="H904" s="138">
        <v>2.0150924880333321E-2</v>
      </c>
      <c r="N904" s="138"/>
      <c r="O904" s="138"/>
      <c r="P904" s="138"/>
      <c r="R904">
        <v>228.40144345148215</v>
      </c>
      <c r="S904">
        <v>64.211980357124659</v>
      </c>
      <c r="T904">
        <v>226.23917976216393</v>
      </c>
      <c r="U904">
        <v>90.515147099478895</v>
      </c>
      <c r="X904">
        <v>0.59113707776584823</v>
      </c>
      <c r="Y904">
        <v>0.82014795735509005</v>
      </c>
      <c r="Z904">
        <v>0.75668993511349147</v>
      </c>
      <c r="AA904">
        <v>0.81026677564387284</v>
      </c>
      <c r="AB904">
        <v>0.67042930169581483</v>
      </c>
      <c r="AC904">
        <v>0.53695081103037301</v>
      </c>
      <c r="AD904">
        <v>0.5798492852815722</v>
      </c>
      <c r="AE904">
        <v>0.73851275064217559</v>
      </c>
      <c r="AH904">
        <v>6.5733815847827115E-2</v>
      </c>
      <c r="AI904">
        <v>1.2377952017537108E-2</v>
      </c>
      <c r="AJ904">
        <v>4.2733105242213965E-2</v>
      </c>
      <c r="AK904">
        <v>0.11793895884770977</v>
      </c>
      <c r="AL904">
        <v>4.0350055188117073E-2</v>
      </c>
      <c r="AM904">
        <v>0.1366504638592918</v>
      </c>
      <c r="AN904">
        <v>8.9247162040952843E-2</v>
      </c>
      <c r="AO904">
        <v>0.3245847272925183</v>
      </c>
      <c r="AR904">
        <v>9.4115388547044709E-4</v>
      </c>
      <c r="AS904">
        <v>4.7144272826242783E-3</v>
      </c>
      <c r="AT904">
        <v>9.9517233933046206E-2</v>
      </c>
      <c r="AU904">
        <v>1.8448885585243893E-3</v>
      </c>
      <c r="AV904">
        <v>1.9676087364933386E-3</v>
      </c>
      <c r="AW904">
        <v>3.4958867149916806E-3</v>
      </c>
      <c r="AX904">
        <v>3.6505705055407911E-4</v>
      </c>
      <c r="AY904">
        <v>4.0460300149540971E-4</v>
      </c>
      <c r="BB904">
        <v>5.2198403270386606E-2</v>
      </c>
      <c r="BC904">
        <v>5.4892709808177953E-2</v>
      </c>
      <c r="BE904">
        <v>31314.452660005685</v>
      </c>
      <c r="BF904">
        <v>20.9716238889566</v>
      </c>
      <c r="BG904">
        <v>33519.029852448621</v>
      </c>
      <c r="BH904">
        <v>20.951472964076267</v>
      </c>
    </row>
    <row r="905" spans="3:60" x14ac:dyDescent="0.2">
      <c r="C905" s="138">
        <v>32477.609247731638</v>
      </c>
      <c r="D905">
        <v>20.601109240352805</v>
      </c>
      <c r="E905" s="138">
        <v>35257.673403564062</v>
      </c>
      <c r="F905" s="138">
        <v>20.580465087143281</v>
      </c>
      <c r="G905" s="138">
        <v>-2780.0641558324241</v>
      </c>
      <c r="H905" s="138">
        <v>2.0644153209524063E-2</v>
      </c>
      <c r="N905" s="138"/>
      <c r="O905" s="138"/>
      <c r="P905" s="138"/>
      <c r="R905">
        <v>41.352992044335593</v>
      </c>
      <c r="S905">
        <v>63.276640204417923</v>
      </c>
      <c r="T905">
        <v>275.62213904081887</v>
      </c>
      <c r="U905">
        <v>84.154767994238185</v>
      </c>
      <c r="X905">
        <v>0.65902289964763383</v>
      </c>
      <c r="Y905">
        <v>0.58779783095756299</v>
      </c>
      <c r="Z905">
        <v>0.81871950489936207</v>
      </c>
      <c r="AA905">
        <v>0.78663366738272233</v>
      </c>
      <c r="AB905">
        <v>0.65306853999272829</v>
      </c>
      <c r="AC905">
        <v>0.91130917393604283</v>
      </c>
      <c r="AD905">
        <v>0.63729347349656718</v>
      </c>
      <c r="AE905">
        <v>0.72445739124647546</v>
      </c>
      <c r="AH905">
        <v>0.15024025140477937</v>
      </c>
      <c r="AI905">
        <v>0.11830233427288084</v>
      </c>
      <c r="AJ905">
        <v>0.25502751700121984</v>
      </c>
      <c r="AK905">
        <v>0.14868604207149749</v>
      </c>
      <c r="AL905">
        <v>0.12403957866176352</v>
      </c>
      <c r="AM905">
        <v>0.1024627304767266</v>
      </c>
      <c r="AN905">
        <v>3.6702550869952333E-2</v>
      </c>
      <c r="AO905">
        <v>8.324578134102123E-2</v>
      </c>
      <c r="AR905">
        <v>8.5827296795687653E-4</v>
      </c>
      <c r="AS905">
        <v>4.9406858205029991E-3</v>
      </c>
      <c r="AT905">
        <v>9.9801202153300919E-2</v>
      </c>
      <c r="AU905">
        <v>2.0667777443175162E-3</v>
      </c>
      <c r="AV905">
        <v>1.9571627977297032E-3</v>
      </c>
      <c r="AW905">
        <v>3.4682970521330292E-3</v>
      </c>
      <c r="AX905">
        <v>4.6071759267407586E-4</v>
      </c>
      <c r="AY905">
        <v>5.8116991423950992E-4</v>
      </c>
      <c r="BB905">
        <v>4.7538988334155444E-2</v>
      </c>
      <c r="BC905">
        <v>2.6372935525689582E-2</v>
      </c>
      <c r="BE905">
        <v>32477.609247731638</v>
      </c>
      <c r="BF905">
        <v>20.601109240352805</v>
      </c>
      <c r="BG905">
        <v>35257.673403564062</v>
      </c>
      <c r="BH905">
        <v>20.580465087143281</v>
      </c>
    </row>
    <row r="906" spans="3:60" x14ac:dyDescent="0.2">
      <c r="C906" s="138">
        <v>31729.592204603327</v>
      </c>
      <c r="D906">
        <v>20.983573273190643</v>
      </c>
      <c r="E906" s="138">
        <v>33855.642584092209</v>
      </c>
      <c r="F906" s="138">
        <v>20.945531305281204</v>
      </c>
      <c r="G906" s="138">
        <v>-2126.0503794888828</v>
      </c>
      <c r="H906" s="138">
        <v>3.8041967909439478E-2</v>
      </c>
      <c r="N906" s="138"/>
      <c r="O906" s="138"/>
      <c r="P906" s="138"/>
      <c r="R906">
        <v>292.09555535701543</v>
      </c>
      <c r="S906">
        <v>64.579091401572811</v>
      </c>
      <c r="T906">
        <v>240.13935176971231</v>
      </c>
      <c r="U906">
        <v>96.948316655733862</v>
      </c>
      <c r="X906">
        <v>0.94646418676814958</v>
      </c>
      <c r="Y906">
        <v>0.92188952636683763</v>
      </c>
      <c r="Z906">
        <v>0.8324254916520154</v>
      </c>
      <c r="AA906">
        <v>0.92040422684317436</v>
      </c>
      <c r="AB906">
        <v>0.74566709407277354</v>
      </c>
      <c r="AC906">
        <v>0.89618939903414874</v>
      </c>
      <c r="AD906">
        <v>0.85942325417900034</v>
      </c>
      <c r="AE906">
        <v>0.60605796660986977</v>
      </c>
      <c r="AH906">
        <v>0.20571165162996174</v>
      </c>
      <c r="AI906">
        <v>6.5643052352976516E-2</v>
      </c>
      <c r="AJ906">
        <v>0.1570900285054867</v>
      </c>
      <c r="AK906">
        <v>0.14963979215706613</v>
      </c>
      <c r="AL906">
        <v>4.5771471033933642E-2</v>
      </c>
      <c r="AM906">
        <v>7.3061145611499234E-2</v>
      </c>
      <c r="AN906">
        <v>6.4885760876690846E-2</v>
      </c>
      <c r="AO906">
        <v>0.13942292379563026</v>
      </c>
      <c r="AR906">
        <v>8.7841953549687955E-4</v>
      </c>
      <c r="AS906">
        <v>4.4027291926629309E-3</v>
      </c>
      <c r="AT906">
        <v>9.8282847490988465E-2</v>
      </c>
      <c r="AU906">
        <v>1.9405766616230401E-3</v>
      </c>
      <c r="AV906">
        <v>1.9401586883001914E-3</v>
      </c>
      <c r="AW906">
        <v>3.498029672685532E-3</v>
      </c>
      <c r="AX906">
        <v>3.1593952780109401E-4</v>
      </c>
      <c r="AY906">
        <v>3.8649500821439471E-4</v>
      </c>
      <c r="BB906">
        <v>4.5563765930780764E-2</v>
      </c>
      <c r="BC906">
        <v>8.8561554882836013E-2</v>
      </c>
      <c r="BE906">
        <v>31729.592204603327</v>
      </c>
      <c r="BF906">
        <v>20.983573273190643</v>
      </c>
      <c r="BG906">
        <v>33855.642584092209</v>
      </c>
      <c r="BH906">
        <v>20.945531305281204</v>
      </c>
    </row>
    <row r="907" spans="3:60" x14ac:dyDescent="0.2">
      <c r="C907" s="138">
        <v>31856.940741688279</v>
      </c>
      <c r="D907">
        <v>20.614875586944596</v>
      </c>
      <c r="E907" s="138">
        <v>34183.60567609049</v>
      </c>
      <c r="F907" s="138">
        <v>20.566664119722876</v>
      </c>
      <c r="G907" s="138">
        <v>-2326.6649344022117</v>
      </c>
      <c r="H907" s="138">
        <v>4.8211467221719317E-2</v>
      </c>
      <c r="N907" s="138"/>
      <c r="O907" s="138"/>
      <c r="P907" s="138"/>
      <c r="R907">
        <v>176.80089105737491</v>
      </c>
      <c r="S907">
        <v>57.215530957638101</v>
      </c>
      <c r="T907">
        <v>258.80784661708253</v>
      </c>
      <c r="U907">
        <v>111.35525839228687</v>
      </c>
      <c r="X907">
        <v>0.72956998302631282</v>
      </c>
      <c r="Y907">
        <v>0.71981567506206479</v>
      </c>
      <c r="Z907">
        <v>0.80920708847395184</v>
      </c>
      <c r="AA907">
        <v>0.72285953589013752</v>
      </c>
      <c r="AB907">
        <v>0.86713828519946246</v>
      </c>
      <c r="AC907">
        <v>0.73827241747758976</v>
      </c>
      <c r="AD907">
        <v>0.67885570007378881</v>
      </c>
      <c r="AE907">
        <v>0.86768048371287898</v>
      </c>
      <c r="AH907">
        <v>0.13236875247706559</v>
      </c>
      <c r="AI907">
        <v>0.20040084319626794</v>
      </c>
      <c r="AJ907">
        <v>5.9111206253585458E-2</v>
      </c>
      <c r="AK907">
        <v>0.17868200179758009</v>
      </c>
      <c r="AL907">
        <v>9.0777879417117235E-2</v>
      </c>
      <c r="AM907">
        <v>0.12264834485401399</v>
      </c>
      <c r="AN907">
        <v>0.13902483628123519</v>
      </c>
      <c r="AO907">
        <v>0.36123202453049852</v>
      </c>
      <c r="AR907">
        <v>8.5423378376102833E-4</v>
      </c>
      <c r="AS907">
        <v>4.5404308633085755E-3</v>
      </c>
      <c r="AT907">
        <v>0.10051036314778028</v>
      </c>
      <c r="AU907">
        <v>2.1120232336850897E-3</v>
      </c>
      <c r="AV907">
        <v>1.7746600062772109E-3</v>
      </c>
      <c r="AW907">
        <v>3.3952788247985271E-3</v>
      </c>
      <c r="AX907">
        <v>4.3832800599452604E-4</v>
      </c>
      <c r="AY907">
        <v>5.1450741456771087E-4</v>
      </c>
      <c r="BB907">
        <v>3.7177712239537433E-2</v>
      </c>
      <c r="BC907">
        <v>4.2732670022631578E-2</v>
      </c>
      <c r="BE907">
        <v>31856.940741688279</v>
      </c>
      <c r="BF907">
        <v>20.614875586944596</v>
      </c>
      <c r="BG907">
        <v>34183.60567609049</v>
      </c>
      <c r="BH907">
        <v>20.566664119722876</v>
      </c>
    </row>
    <row r="908" spans="3:60" x14ac:dyDescent="0.2">
      <c r="C908" s="138">
        <v>37917.549356601237</v>
      </c>
      <c r="D908">
        <v>21.133370158966763</v>
      </c>
      <c r="E908" s="138">
        <v>40518.870804738581</v>
      </c>
      <c r="F908" s="138">
        <v>21.16043262838064</v>
      </c>
      <c r="G908" s="138">
        <v>-2601.3214481373434</v>
      </c>
      <c r="H908" s="138">
        <v>-2.7062469413877466E-2</v>
      </c>
      <c r="N908" s="138"/>
      <c r="O908" s="138"/>
      <c r="P908" s="138"/>
      <c r="R908">
        <v>353.30256099685374</v>
      </c>
      <c r="S908">
        <v>65.737546349424761</v>
      </c>
      <c r="T908">
        <v>268.63390108906395</v>
      </c>
      <c r="U908">
        <v>77.926421953857698</v>
      </c>
      <c r="X908">
        <v>0.78661758593373865</v>
      </c>
      <c r="Y908">
        <v>0.61311363856923451</v>
      </c>
      <c r="Z908">
        <v>0.54721859452127652</v>
      </c>
      <c r="AA908">
        <v>0.62168867621085078</v>
      </c>
      <c r="AB908">
        <v>0.96865025571523766</v>
      </c>
      <c r="AC908">
        <v>0.64872281640606588</v>
      </c>
      <c r="AD908">
        <v>0.53898479648889497</v>
      </c>
      <c r="AE908">
        <v>0.89656062144798288</v>
      </c>
      <c r="AH908">
        <v>0.26316310067075865</v>
      </c>
      <c r="AI908">
        <v>0.17165582866539442</v>
      </c>
      <c r="AJ908">
        <v>0.1523453223680078</v>
      </c>
      <c r="AK908">
        <v>0.39144627222153416</v>
      </c>
      <c r="AL908">
        <v>0.13900312583493868</v>
      </c>
      <c r="AM908">
        <v>2.3139798814168833E-2</v>
      </c>
      <c r="AN908">
        <v>5.0123066352773193E-2</v>
      </c>
      <c r="AO908">
        <v>9.3419183471702305E-2</v>
      </c>
      <c r="AR908">
        <v>6.9679955998705868E-4</v>
      </c>
      <c r="AS908">
        <v>4.415410189975647E-3</v>
      </c>
      <c r="AT908">
        <v>0.10125182564190227</v>
      </c>
      <c r="AU908">
        <v>2.0674055727557539E-3</v>
      </c>
      <c r="AV908">
        <v>2.1002055495005223E-3</v>
      </c>
      <c r="AW908">
        <v>3.7263325093486177E-3</v>
      </c>
      <c r="AX908">
        <v>4.5235936751486516E-4</v>
      </c>
      <c r="AY908">
        <v>3.797714425649305E-4</v>
      </c>
      <c r="BB908">
        <v>5.2846781199011983E-2</v>
      </c>
      <c r="BC908">
        <v>3.7980992893469144E-2</v>
      </c>
      <c r="BE908">
        <v>37917.549356601237</v>
      </c>
      <c r="BF908">
        <v>21.133370158966763</v>
      </c>
      <c r="BG908">
        <v>40518.870804738581</v>
      </c>
      <c r="BH908">
        <v>21.16043262838064</v>
      </c>
    </row>
    <row r="909" spans="3:60" x14ac:dyDescent="0.2">
      <c r="C909" s="138">
        <v>35825.930715210357</v>
      </c>
      <c r="D909">
        <v>21.223755767149584</v>
      </c>
      <c r="E909" s="138">
        <v>37970.222293995896</v>
      </c>
      <c r="F909" s="138">
        <v>21.203277658978124</v>
      </c>
      <c r="G909" s="138">
        <v>-2144.2915787855381</v>
      </c>
      <c r="H909" s="138">
        <v>2.0478108171460008E-2</v>
      </c>
      <c r="N909" s="138"/>
      <c r="O909" s="138"/>
      <c r="P909" s="138"/>
      <c r="R909">
        <v>424.18233273158887</v>
      </c>
      <c r="S909">
        <v>66.189506927245262</v>
      </c>
      <c r="T909">
        <v>238.9481057083683</v>
      </c>
      <c r="U909">
        <v>89.812787883450696</v>
      </c>
      <c r="X909">
        <v>0.54592337415786829</v>
      </c>
      <c r="Y909">
        <v>0.72484910202440389</v>
      </c>
      <c r="Z909">
        <v>0.59190146654720255</v>
      </c>
      <c r="AA909">
        <v>0.73263233251201854</v>
      </c>
      <c r="AB909">
        <v>0.81773444518163219</v>
      </c>
      <c r="AC909">
        <v>0.82515544018643217</v>
      </c>
      <c r="AD909">
        <v>0.6938456595899537</v>
      </c>
      <c r="AE909">
        <v>0.66214439076168974</v>
      </c>
      <c r="AH909">
        <v>0.17355356246932829</v>
      </c>
      <c r="AI909">
        <v>0.15784069998919248</v>
      </c>
      <c r="AJ909">
        <v>7.1587278514457453E-2</v>
      </c>
      <c r="AK909">
        <v>0.10932781532636515</v>
      </c>
      <c r="AL909">
        <v>0.1227035052317037</v>
      </c>
      <c r="AM909">
        <v>8.671187777516276E-2</v>
      </c>
      <c r="AN909">
        <v>6.1847694608201498E-2</v>
      </c>
      <c r="AO909">
        <v>3.744134091628204E-2</v>
      </c>
      <c r="AR909">
        <v>9.0160056307653225E-4</v>
      </c>
      <c r="AS909">
        <v>3.9707200382275631E-3</v>
      </c>
      <c r="AT909">
        <v>9.9768497935335335E-2</v>
      </c>
      <c r="AU909">
        <v>1.8310726716829913E-3</v>
      </c>
      <c r="AV909">
        <v>1.954314217065579E-3</v>
      </c>
      <c r="AW909">
        <v>3.2477813931099529E-3</v>
      </c>
      <c r="AX909">
        <v>3.6059046997773467E-4</v>
      </c>
      <c r="AY909">
        <v>5.0974652655866315E-4</v>
      </c>
      <c r="BB909">
        <v>5.4127131672934481E-2</v>
      </c>
      <c r="BC909">
        <v>3.6776736159503561E-2</v>
      </c>
      <c r="BE909">
        <v>35825.930715210357</v>
      </c>
      <c r="BF909">
        <v>21.223755767149584</v>
      </c>
      <c r="BG909">
        <v>37970.222293995896</v>
      </c>
      <c r="BH909">
        <v>21.203277658978124</v>
      </c>
    </row>
    <row r="910" spans="3:60" x14ac:dyDescent="0.2">
      <c r="C910" s="138">
        <v>25206.281653770977</v>
      </c>
      <c r="D910">
        <v>20.721390525343882</v>
      </c>
      <c r="E910" s="138">
        <v>26830.401272635518</v>
      </c>
      <c r="F910" s="138">
        <v>20.671910586833246</v>
      </c>
      <c r="G910" s="138">
        <v>-1624.1196188645408</v>
      </c>
      <c r="H910" s="138">
        <v>4.9479938510636146E-2</v>
      </c>
      <c r="N910" s="138"/>
      <c r="O910" s="138"/>
      <c r="P910" s="138"/>
      <c r="R910">
        <v>382.67629112666123</v>
      </c>
      <c r="S910">
        <v>59.198469598928831</v>
      </c>
      <c r="T910">
        <v>232.29585710026274</v>
      </c>
      <c r="U910">
        <v>99.017131250472119</v>
      </c>
      <c r="X910">
        <v>0.66929633946907008</v>
      </c>
      <c r="Y910">
        <v>0.38533591467798778</v>
      </c>
      <c r="Z910">
        <v>0.7309126766550057</v>
      </c>
      <c r="AA910">
        <v>0.59802674182289295</v>
      </c>
      <c r="AB910">
        <v>0.79697526937543151</v>
      </c>
      <c r="AC910">
        <v>0.59164439698381532</v>
      </c>
      <c r="AD910">
        <v>0.93835254506751808</v>
      </c>
      <c r="AE910">
        <v>0.69622389640801063</v>
      </c>
      <c r="AH910">
        <v>0.11150314738409595</v>
      </c>
      <c r="AI910">
        <v>6.357975844136643E-2</v>
      </c>
      <c r="AJ910">
        <v>8.8888981062482886E-2</v>
      </c>
      <c r="AK910">
        <v>0.32214883016550988</v>
      </c>
      <c r="AL910">
        <v>4.9289516110378129E-2</v>
      </c>
      <c r="AM910">
        <v>9.8460061859283576E-2</v>
      </c>
      <c r="AN910">
        <v>6.4064256592160307E-2</v>
      </c>
      <c r="AO910">
        <v>0.11000619837141479</v>
      </c>
      <c r="AR910">
        <v>8.4651072662977097E-4</v>
      </c>
      <c r="AS910">
        <v>4.3625662523908808E-3</v>
      </c>
      <c r="AT910">
        <v>9.831041271120744E-2</v>
      </c>
      <c r="AU910">
        <v>2.1705714950828181E-3</v>
      </c>
      <c r="AV910">
        <v>1.9296534327454258E-3</v>
      </c>
      <c r="AW910">
        <v>3.4640731965757121E-3</v>
      </c>
      <c r="AX910">
        <v>4.5260537774005627E-4</v>
      </c>
      <c r="AY910">
        <v>4.3318299720491044E-4</v>
      </c>
      <c r="BB910">
        <v>4.6312681771132229E-2</v>
      </c>
      <c r="BC910">
        <v>4.8260983856667661E-2</v>
      </c>
      <c r="BE910">
        <v>25206.281653770977</v>
      </c>
      <c r="BF910">
        <v>20.721390525343882</v>
      </c>
      <c r="BG910">
        <v>26830.401272635518</v>
      </c>
      <c r="BH910">
        <v>20.671910586833246</v>
      </c>
    </row>
    <row r="911" spans="3:60" x14ac:dyDescent="0.2">
      <c r="C911" s="138">
        <v>32579.992539592713</v>
      </c>
      <c r="D911">
        <v>21.074398520259184</v>
      </c>
      <c r="E911" s="138">
        <v>34626.04096028021</v>
      </c>
      <c r="F911" s="138">
        <v>21.033513093497394</v>
      </c>
      <c r="G911" s="138">
        <v>-2046.0484206874971</v>
      </c>
      <c r="H911" s="138">
        <v>4.0885426761789745E-2</v>
      </c>
      <c r="N911" s="138"/>
      <c r="O911" s="138"/>
      <c r="P911" s="138"/>
      <c r="R911">
        <v>202.37150057737784</v>
      </c>
      <c r="S911">
        <v>55.763115936232701</v>
      </c>
      <c r="T911">
        <v>234.01535181580431</v>
      </c>
      <c r="U911">
        <v>100.44720913527266</v>
      </c>
      <c r="X911">
        <v>0.77024822121082381</v>
      </c>
      <c r="Y911">
        <v>0.82177217304620043</v>
      </c>
      <c r="Z911">
        <v>0.71531506629492358</v>
      </c>
      <c r="AA911">
        <v>0.61787409124766968</v>
      </c>
      <c r="AB911">
        <v>0.86434460854556949</v>
      </c>
      <c r="AC911">
        <v>0.78955790229518441</v>
      </c>
      <c r="AD911">
        <v>0.44265279273380448</v>
      </c>
      <c r="AE911">
        <v>0.50236698897341414</v>
      </c>
      <c r="AH911">
        <v>0.16160487865922135</v>
      </c>
      <c r="AI911">
        <v>4.3544536047185334E-2</v>
      </c>
      <c r="AJ911">
        <v>0.17548477512537697</v>
      </c>
      <c r="AK911">
        <v>0.14148164458963086</v>
      </c>
      <c r="AL911">
        <v>0.23708267083630141</v>
      </c>
      <c r="AM911">
        <v>0.12510889907891731</v>
      </c>
      <c r="AN911">
        <v>8.3579471029216257E-2</v>
      </c>
      <c r="AO911">
        <v>0.1015196182650081</v>
      </c>
      <c r="AR911">
        <v>8.8752979196637938E-4</v>
      </c>
      <c r="AS911">
        <v>4.6079473154533312E-3</v>
      </c>
      <c r="AT911">
        <v>0.1020662799236145</v>
      </c>
      <c r="AU911">
        <v>2.0137039937968559E-3</v>
      </c>
      <c r="AV911">
        <v>1.9313310935772674E-3</v>
      </c>
      <c r="AW911">
        <v>3.273176823056253E-3</v>
      </c>
      <c r="AX911">
        <v>2.8969385125121903E-4</v>
      </c>
      <c r="AY911">
        <v>5.1251898221638115E-4</v>
      </c>
      <c r="BB911">
        <v>4.347729773391306E-2</v>
      </c>
      <c r="BC911">
        <v>2.6247077173311737E-2</v>
      </c>
      <c r="BE911">
        <v>32579.992539592713</v>
      </c>
      <c r="BF911">
        <v>21.074398520259184</v>
      </c>
      <c r="BG911">
        <v>34626.04096028021</v>
      </c>
      <c r="BH911">
        <v>21.033513093497394</v>
      </c>
    </row>
    <row r="912" spans="3:60" x14ac:dyDescent="0.2">
      <c r="C912" s="138">
        <v>33618.748545462091</v>
      </c>
      <c r="D912">
        <v>21.843125078147249</v>
      </c>
      <c r="E912" s="138">
        <v>35378.479663183789</v>
      </c>
      <c r="F912" s="138">
        <v>21.827545894526985</v>
      </c>
      <c r="G912" s="138">
        <v>-1759.731117721698</v>
      </c>
      <c r="H912" s="138">
        <v>1.5579183620264558E-2</v>
      </c>
      <c r="N912" s="138"/>
      <c r="O912" s="138"/>
      <c r="P912" s="138"/>
      <c r="R912">
        <v>58.767474105764734</v>
      </c>
      <c r="S912">
        <v>66.364946063219207</v>
      </c>
      <c r="T912">
        <v>263.49019958118532</v>
      </c>
      <c r="U912">
        <v>105.16940423469228</v>
      </c>
      <c r="X912">
        <v>0.98679713536332858</v>
      </c>
      <c r="Y912">
        <v>0.83636331462055113</v>
      </c>
      <c r="Z912">
        <v>0.61705004270823016</v>
      </c>
      <c r="AA912">
        <v>0.79799174744302981</v>
      </c>
      <c r="AB912">
        <v>0.35979947337467932</v>
      </c>
      <c r="AC912">
        <v>0.75007301213886834</v>
      </c>
      <c r="AD912">
        <v>0.62943600531381483</v>
      </c>
      <c r="AE912">
        <v>0.85291218916390898</v>
      </c>
      <c r="AH912">
        <v>6.4914383334201853E-2</v>
      </c>
      <c r="AI912">
        <v>7.4582380386791769E-2</v>
      </c>
      <c r="AJ912">
        <v>7.0270403432208806E-2</v>
      </c>
      <c r="AK912">
        <v>6.3293012196297904E-2</v>
      </c>
      <c r="AL912">
        <v>8.6331233754592729E-2</v>
      </c>
      <c r="AM912">
        <v>0.26824759312750146</v>
      </c>
      <c r="AN912">
        <v>5.9702352386006519E-2</v>
      </c>
      <c r="AO912">
        <v>6.8131828317934295E-2</v>
      </c>
      <c r="AR912">
        <v>7.8881575770254914E-4</v>
      </c>
      <c r="AS912">
        <v>4.1756026040776573E-3</v>
      </c>
      <c r="AT912">
        <v>0.10028577204510303</v>
      </c>
      <c r="AU912">
        <v>1.8881594379176192E-3</v>
      </c>
      <c r="AV912">
        <v>1.9762963153064153E-3</v>
      </c>
      <c r="AW912">
        <v>3.3690895947184542E-3</v>
      </c>
      <c r="AX912">
        <v>3.3623269921764733E-4</v>
      </c>
      <c r="AY912">
        <v>4.9422564035606076E-4</v>
      </c>
      <c r="BB912">
        <v>4.7849063817827726E-2</v>
      </c>
      <c r="BC912">
        <v>6.7759874750524474E-2</v>
      </c>
      <c r="BE912">
        <v>33618.748545462091</v>
      </c>
      <c r="BF912">
        <v>21.843125078147249</v>
      </c>
      <c r="BG912">
        <v>35378.479663183789</v>
      </c>
      <c r="BH912">
        <v>21.827545894526985</v>
      </c>
    </row>
    <row r="913" spans="3:60" x14ac:dyDescent="0.2">
      <c r="C913" s="138">
        <v>32543.332506788156</v>
      </c>
      <c r="D913">
        <v>21.594006790496227</v>
      </c>
      <c r="E913" s="138">
        <v>34388.398885469243</v>
      </c>
      <c r="F913" s="138">
        <v>21.595804522800123</v>
      </c>
      <c r="G913" s="138">
        <v>-1845.0663786810874</v>
      </c>
      <c r="H913" s="138">
        <v>-1.7977323038955717E-3</v>
      </c>
      <c r="N913" s="138"/>
      <c r="O913" s="138"/>
      <c r="P913" s="138"/>
      <c r="R913">
        <v>201.49447016142054</v>
      </c>
      <c r="S913">
        <v>65.415140143159206</v>
      </c>
      <c r="T913">
        <v>250.91364384808858</v>
      </c>
      <c r="U913">
        <v>104.90166880509638</v>
      </c>
      <c r="X913">
        <v>0.4294599680931146</v>
      </c>
      <c r="Y913">
        <v>0.90526548706662535</v>
      </c>
      <c r="Z913">
        <v>0.72502166811952196</v>
      </c>
      <c r="AA913">
        <v>0.78186051696280712</v>
      </c>
      <c r="AB913">
        <v>0.8904131641497236</v>
      </c>
      <c r="AC913">
        <v>0.76142297276045612</v>
      </c>
      <c r="AD913">
        <v>0.95939428682087158</v>
      </c>
      <c r="AE913">
        <v>0.71431735872911051</v>
      </c>
      <c r="AH913">
        <v>0.20974405508481775</v>
      </c>
      <c r="AI913">
        <v>8.328854975480815E-2</v>
      </c>
      <c r="AJ913">
        <v>0.10655654563769379</v>
      </c>
      <c r="AK913">
        <v>0.15730226215122067</v>
      </c>
      <c r="AL913">
        <v>8.1470712056332828E-2</v>
      </c>
      <c r="AM913">
        <v>3.4796858096791672E-2</v>
      </c>
      <c r="AN913">
        <v>8.1240350122934402E-2</v>
      </c>
      <c r="AO913">
        <v>1.7835566533368707E-2</v>
      </c>
      <c r="AR913">
        <v>1.1227076836738403E-3</v>
      </c>
      <c r="AS913">
        <v>4.289586982874986E-3</v>
      </c>
      <c r="AT913">
        <v>9.9897560246690234E-2</v>
      </c>
      <c r="AU913">
        <v>2.0658208626295194E-3</v>
      </c>
      <c r="AV913">
        <v>2.1690765881808849E-3</v>
      </c>
      <c r="AW913">
        <v>3.4767503619725915E-3</v>
      </c>
      <c r="AX913">
        <v>3.9388118328561423E-4</v>
      </c>
      <c r="AY913">
        <v>5.3796154492524728E-4</v>
      </c>
      <c r="BB913">
        <v>4.526039574058717E-2</v>
      </c>
      <c r="BC913">
        <v>4.0843070870193163E-2</v>
      </c>
      <c r="BE913">
        <v>32543.332506788156</v>
      </c>
      <c r="BF913">
        <v>21.594006790496227</v>
      </c>
      <c r="BG913">
        <v>34388.398885469243</v>
      </c>
      <c r="BH913">
        <v>21.595804522800123</v>
      </c>
    </row>
    <row r="914" spans="3:60" x14ac:dyDescent="0.2">
      <c r="C914" s="138">
        <v>41131.77646142165</v>
      </c>
      <c r="D914">
        <v>21.703595762534928</v>
      </c>
      <c r="E914" s="138">
        <v>43744.197042052321</v>
      </c>
      <c r="F914" s="138">
        <v>21.695116022263981</v>
      </c>
      <c r="G914" s="138">
        <v>-2612.4205806306709</v>
      </c>
      <c r="H914" s="138">
        <v>8.4797402709462233E-3</v>
      </c>
      <c r="N914" s="138"/>
      <c r="O914" s="138"/>
      <c r="P914" s="138"/>
      <c r="R914">
        <v>178.04447071876535</v>
      </c>
      <c r="S914">
        <v>64.648987460410851</v>
      </c>
      <c r="T914">
        <v>254.77498604171814</v>
      </c>
      <c r="U914">
        <v>97.322597616214608</v>
      </c>
      <c r="X914">
        <v>0.93430993746811097</v>
      </c>
      <c r="Y914">
        <v>0.68580878429846182</v>
      </c>
      <c r="Z914">
        <v>0.59555435078910512</v>
      </c>
      <c r="AA914">
        <v>0.82082400817778178</v>
      </c>
      <c r="AB914">
        <v>0.89023803261923062</v>
      </c>
      <c r="AC914">
        <v>0.57229137187007884</v>
      </c>
      <c r="AD914">
        <v>0.56502034473290386</v>
      </c>
      <c r="AE914">
        <v>0.59952613311468661</v>
      </c>
      <c r="AH914">
        <v>5.2654992142169399E-2</v>
      </c>
      <c r="AI914">
        <v>0.1115087321532362</v>
      </c>
      <c r="AJ914">
        <v>0.1400935541740016</v>
      </c>
      <c r="AK914">
        <v>0.1652986037680666</v>
      </c>
      <c r="AL914">
        <v>0.23860933960079811</v>
      </c>
      <c r="AM914">
        <v>0.25001779670647195</v>
      </c>
      <c r="AN914">
        <v>0.16766722855375793</v>
      </c>
      <c r="AO914">
        <v>7.1736475501644414E-2</v>
      </c>
      <c r="AR914">
        <v>7.2036186932243368E-4</v>
      </c>
      <c r="AS914">
        <v>4.2216267509911087E-3</v>
      </c>
      <c r="AT914">
        <v>0.10036513780352585</v>
      </c>
      <c r="AU914">
        <v>1.8830954528349594E-3</v>
      </c>
      <c r="AV914">
        <v>2.2040965409824143E-3</v>
      </c>
      <c r="AW914">
        <v>3.5614062278003233E-3</v>
      </c>
      <c r="AX914">
        <v>3.9362734526887275E-4</v>
      </c>
      <c r="AY914">
        <v>5.7260340344345018E-4</v>
      </c>
      <c r="BB914">
        <v>4.8146825611221168E-2</v>
      </c>
      <c r="BC914">
        <v>5.0645310897355245E-2</v>
      </c>
      <c r="BE914">
        <v>41131.77646142165</v>
      </c>
      <c r="BF914">
        <v>21.703595762534928</v>
      </c>
      <c r="BG914">
        <v>43744.197042052321</v>
      </c>
      <c r="BH914">
        <v>21.695116022263981</v>
      </c>
    </row>
    <row r="915" spans="3:60" x14ac:dyDescent="0.2">
      <c r="C915" s="138">
        <v>32911.470066056892</v>
      </c>
      <c r="D915">
        <v>20.99156288270343</v>
      </c>
      <c r="E915" s="138">
        <v>35329.138124578887</v>
      </c>
      <c r="F915" s="138">
        <v>20.969700251007644</v>
      </c>
      <c r="G915" s="138">
        <v>-2417.6680585219947</v>
      </c>
      <c r="H915" s="138">
        <v>2.186263169578595E-2</v>
      </c>
      <c r="N915" s="138"/>
      <c r="O915" s="138"/>
      <c r="P915" s="138"/>
      <c r="R915">
        <v>257.12096416143208</v>
      </c>
      <c r="S915">
        <v>69.110200466072428</v>
      </c>
      <c r="T915">
        <v>194.50737943777779</v>
      </c>
      <c r="U915">
        <v>105.70597249483809</v>
      </c>
      <c r="X915">
        <v>0.69704220071301037</v>
      </c>
      <c r="Y915">
        <v>0.74313716152211273</v>
      </c>
      <c r="Z915">
        <v>0.78333715662254788</v>
      </c>
      <c r="AA915">
        <v>0.84347663406214513</v>
      </c>
      <c r="AB915">
        <v>0.7469618520196375</v>
      </c>
      <c r="AC915">
        <v>0.62333929395498278</v>
      </c>
      <c r="AD915">
        <v>0.90465040957478648</v>
      </c>
      <c r="AE915">
        <v>0.89901966114130538</v>
      </c>
      <c r="AH915">
        <v>4.4321196086399839E-2</v>
      </c>
      <c r="AI915">
        <v>0.16934607032288029</v>
      </c>
      <c r="AJ915">
        <v>0.11413866764058944</v>
      </c>
      <c r="AK915">
        <v>0.33842931128245002</v>
      </c>
      <c r="AL915">
        <v>0.23170930512271726</v>
      </c>
      <c r="AM915">
        <v>5.5957083667824703E-2</v>
      </c>
      <c r="AN915">
        <v>0.12439249599516866</v>
      </c>
      <c r="AO915">
        <v>4.3471228766796655E-2</v>
      </c>
      <c r="AR915">
        <v>9.7317309076949687E-4</v>
      </c>
      <c r="AS915">
        <v>4.3541884208117138E-3</v>
      </c>
      <c r="AT915">
        <v>0.1003602261847828</v>
      </c>
      <c r="AU915">
        <v>1.9426685475431107E-3</v>
      </c>
      <c r="AV915">
        <v>2.0128125572091982E-3</v>
      </c>
      <c r="AW915">
        <v>3.6633770015225275E-3</v>
      </c>
      <c r="AX915">
        <v>3.6151816614084817E-4</v>
      </c>
      <c r="AY915">
        <v>4.6177286068038725E-4</v>
      </c>
      <c r="BB915">
        <v>5.6573988766021599E-2</v>
      </c>
      <c r="BC915">
        <v>7.7672184609526962E-2</v>
      </c>
      <c r="BE915">
        <v>32911.470066056892</v>
      </c>
      <c r="BF915">
        <v>20.99156288270343</v>
      </c>
      <c r="BG915">
        <v>35329.138124578887</v>
      </c>
      <c r="BH915">
        <v>20.969700251007644</v>
      </c>
    </row>
    <row r="916" spans="3:60" x14ac:dyDescent="0.2">
      <c r="C916" s="138">
        <v>31233.612509061204</v>
      </c>
      <c r="D916">
        <v>20.868863863234555</v>
      </c>
      <c r="E916" s="138">
        <v>33131.967708394775</v>
      </c>
      <c r="F916" s="138">
        <v>20.83922810098521</v>
      </c>
      <c r="G916" s="138">
        <v>-1898.3551993335714</v>
      </c>
      <c r="H916" s="138">
        <v>2.9635762249345277E-2</v>
      </c>
      <c r="N916" s="138"/>
      <c r="O916" s="138"/>
      <c r="P916" s="138"/>
      <c r="R916">
        <v>253.97184253526291</v>
      </c>
      <c r="S916">
        <v>72.82689543794298</v>
      </c>
      <c r="T916">
        <v>264.61583506531895</v>
      </c>
      <c r="U916">
        <v>97.06837415594498</v>
      </c>
      <c r="X916">
        <v>0.63115750487362432</v>
      </c>
      <c r="Y916">
        <v>0.49451661518514556</v>
      </c>
      <c r="Z916">
        <v>0.6423851671744143</v>
      </c>
      <c r="AA916">
        <v>0.80358786248893366</v>
      </c>
      <c r="AB916">
        <v>0.52903725271125712</v>
      </c>
      <c r="AC916">
        <v>0.70308695603590809</v>
      </c>
      <c r="AD916">
        <v>0.78935147641004832</v>
      </c>
      <c r="AE916">
        <v>0.92921830075279344</v>
      </c>
      <c r="AH916">
        <v>0.11584337493190366</v>
      </c>
      <c r="AI916">
        <v>2.4210797710549459E-2</v>
      </c>
      <c r="AJ916">
        <v>0.10623752283264043</v>
      </c>
      <c r="AK916">
        <v>6.4804954212383303E-2</v>
      </c>
      <c r="AL916">
        <v>0.11393759932612091</v>
      </c>
      <c r="AM916">
        <v>2.4628849495941241E-2</v>
      </c>
      <c r="AN916">
        <v>0.11255558952554878</v>
      </c>
      <c r="AO916">
        <v>0.13038307833295304</v>
      </c>
      <c r="AR916">
        <v>9.2577576401620121E-4</v>
      </c>
      <c r="AS916">
        <v>4.3951358138836806E-3</v>
      </c>
      <c r="AT916">
        <v>0.10067465108038054</v>
      </c>
      <c r="AU916">
        <v>2.0367577617192989E-3</v>
      </c>
      <c r="AV916">
        <v>2.1772241195616715E-3</v>
      </c>
      <c r="AW916">
        <v>3.5011452250466313E-3</v>
      </c>
      <c r="AX916">
        <v>4.7827405318623395E-4</v>
      </c>
      <c r="AY916">
        <v>4.8939307821749267E-4</v>
      </c>
      <c r="BB916">
        <v>5.0075757526576559E-2</v>
      </c>
      <c r="BC916">
        <v>4.0316186767751554E-2</v>
      </c>
      <c r="BE916">
        <v>31233.612509061204</v>
      </c>
      <c r="BF916">
        <v>20.868863863234555</v>
      </c>
      <c r="BG916">
        <v>33131.967708394775</v>
      </c>
      <c r="BH916">
        <v>20.83922810098521</v>
      </c>
    </row>
    <row r="917" spans="3:60" x14ac:dyDescent="0.2">
      <c r="C917" s="138">
        <v>28674.547143452328</v>
      </c>
      <c r="D917">
        <v>21.410741407670866</v>
      </c>
      <c r="E917" s="138">
        <v>30987.963792798262</v>
      </c>
      <c r="F917" s="138">
        <v>21.402380774130748</v>
      </c>
      <c r="G917" s="138">
        <v>-2313.4166493459343</v>
      </c>
      <c r="H917" s="138">
        <v>8.3606335401178455E-3</v>
      </c>
      <c r="N917" s="138"/>
      <c r="O917" s="138"/>
      <c r="P917" s="138"/>
      <c r="R917">
        <v>371.62348097893988</v>
      </c>
      <c r="S917">
        <v>63.093775024856392</v>
      </c>
      <c r="T917">
        <v>221.38744734434101</v>
      </c>
      <c r="U917">
        <v>78.550170253582252</v>
      </c>
      <c r="X917">
        <v>0.76084280111502334</v>
      </c>
      <c r="Y917">
        <v>0.87020022247824702</v>
      </c>
      <c r="Z917">
        <v>0.91065357203359754</v>
      </c>
      <c r="AA917">
        <v>0.70711712532219373</v>
      </c>
      <c r="AB917">
        <v>0.68174819845592483</v>
      </c>
      <c r="AC917">
        <v>0.90754475004766677</v>
      </c>
      <c r="AD917">
        <v>0.72765495872720976</v>
      </c>
      <c r="AE917">
        <v>0.6713537031255169</v>
      </c>
      <c r="AH917">
        <v>0.16248259087204298</v>
      </c>
      <c r="AI917">
        <v>0.11426963410275903</v>
      </c>
      <c r="AJ917">
        <v>5.9934577689495727E-2</v>
      </c>
      <c r="AK917">
        <v>0.10775483056986146</v>
      </c>
      <c r="AL917">
        <v>0.11198445432997906</v>
      </c>
      <c r="AM917">
        <v>0.22382306191619317</v>
      </c>
      <c r="AN917">
        <v>0.17391907887368818</v>
      </c>
      <c r="AO917">
        <v>0.13096208852764724</v>
      </c>
      <c r="AR917">
        <v>1.0329360386100994E-3</v>
      </c>
      <c r="AS917">
        <v>4.6903571712293424E-3</v>
      </c>
      <c r="AT917">
        <v>9.8705152634423407E-2</v>
      </c>
      <c r="AU917">
        <v>1.9464993306127162E-3</v>
      </c>
      <c r="AV917">
        <v>2.2511484987967068E-3</v>
      </c>
      <c r="AW917">
        <v>3.3407447644828946E-3</v>
      </c>
      <c r="AX917">
        <v>3.9346698388959645E-4</v>
      </c>
      <c r="AY917">
        <v>4.783158229596518E-4</v>
      </c>
      <c r="BB917">
        <v>4.0131582715806025E-2</v>
      </c>
      <c r="BC917">
        <v>7.3760890586453964E-2</v>
      </c>
      <c r="BE917">
        <v>28674.547143452328</v>
      </c>
      <c r="BF917">
        <v>21.410741407670866</v>
      </c>
      <c r="BG917">
        <v>30987.963792798262</v>
      </c>
      <c r="BH917">
        <v>21.402380774130748</v>
      </c>
    </row>
    <row r="918" spans="3:60" x14ac:dyDescent="0.2">
      <c r="C918" s="138">
        <v>25544.726518326472</v>
      </c>
      <c r="D918">
        <v>21.27658811230452</v>
      </c>
      <c r="E918" s="138">
        <v>27722.500800376016</v>
      </c>
      <c r="F918" s="138">
        <v>21.274604667856771</v>
      </c>
      <c r="G918" s="138">
        <v>-2177.7742820495441</v>
      </c>
      <c r="H918" s="138">
        <v>1.9834444477488944E-3</v>
      </c>
      <c r="N918" s="138"/>
      <c r="O918" s="138"/>
      <c r="P918" s="138"/>
      <c r="R918">
        <v>186.41396593792237</v>
      </c>
      <c r="S918">
        <v>71.19464871853026</v>
      </c>
      <c r="T918">
        <v>287.65443384552464</v>
      </c>
      <c r="U918">
        <v>84.177567814774292</v>
      </c>
      <c r="X918">
        <v>0.70856990984440538</v>
      </c>
      <c r="Y918">
        <v>0.8242377394191005</v>
      </c>
      <c r="Z918">
        <v>0.82645282423674793</v>
      </c>
      <c r="AA918">
        <v>0.72356928279167765</v>
      </c>
      <c r="AB918">
        <v>0.71949533245204533</v>
      </c>
      <c r="AC918">
        <v>0.86436576476260252</v>
      </c>
      <c r="AD918">
        <v>0.78878203407931768</v>
      </c>
      <c r="AE918">
        <v>0.64133673190498419</v>
      </c>
      <c r="AH918">
        <v>4.5681659655251172E-3</v>
      </c>
      <c r="AI918">
        <v>0.1553652973322821</v>
      </c>
      <c r="AJ918">
        <v>2.5996302840848862E-2</v>
      </c>
      <c r="AK918">
        <v>0.11961010423411844</v>
      </c>
      <c r="AL918">
        <v>0.17706176369489202</v>
      </c>
      <c r="AM918">
        <v>0.13951714620896305</v>
      </c>
      <c r="AN918">
        <v>0.20807731446441102</v>
      </c>
      <c r="AO918">
        <v>0.10544450800841076</v>
      </c>
      <c r="AR918">
        <v>6.795068072836043E-4</v>
      </c>
      <c r="AS918">
        <v>4.5339471803589326E-3</v>
      </c>
      <c r="AT918">
        <v>0.10026281017521099</v>
      </c>
      <c r="AU918">
        <v>1.8823618066569447E-3</v>
      </c>
      <c r="AV918">
        <v>1.9135947863397845E-3</v>
      </c>
      <c r="AW918">
        <v>3.1531801925244536E-3</v>
      </c>
      <c r="AX918">
        <v>4.4380619577888414E-4</v>
      </c>
      <c r="AY918">
        <v>4.2234504735960536E-4</v>
      </c>
      <c r="BB918">
        <v>5.1293267986371127E-2</v>
      </c>
      <c r="BC918">
        <v>5.7739228282705612E-2</v>
      </c>
      <c r="BE918">
        <v>25544.726518326472</v>
      </c>
      <c r="BF918">
        <v>21.27658811230452</v>
      </c>
      <c r="BG918">
        <v>27722.500800376016</v>
      </c>
      <c r="BH918">
        <v>21.274604667856771</v>
      </c>
    </row>
    <row r="919" spans="3:60" x14ac:dyDescent="0.2">
      <c r="C919" s="138">
        <v>34410.072315963436</v>
      </c>
      <c r="D919">
        <v>21.279138289767079</v>
      </c>
      <c r="E919" s="138">
        <v>36603.881070802949</v>
      </c>
      <c r="F919" s="138">
        <v>21.282389176153554</v>
      </c>
      <c r="G919" s="138">
        <v>-2193.8087548395124</v>
      </c>
      <c r="H919" s="138">
        <v>-3.2508863864748605E-3</v>
      </c>
      <c r="N919" s="138"/>
      <c r="O919" s="138"/>
      <c r="P919" s="138"/>
      <c r="R919">
        <v>283.07988762496325</v>
      </c>
      <c r="S919">
        <v>58.447211042439882</v>
      </c>
      <c r="T919">
        <v>237.00916764067782</v>
      </c>
      <c r="U919">
        <v>90.941750104688879</v>
      </c>
      <c r="X919">
        <v>0.78769305486844521</v>
      </c>
      <c r="Y919">
        <v>0.74959875628593642</v>
      </c>
      <c r="Z919">
        <v>0.82378648455716597</v>
      </c>
      <c r="AA919">
        <v>0.88822697657295657</v>
      </c>
      <c r="AB919">
        <v>0.93075109125612676</v>
      </c>
      <c r="AC919">
        <v>0.85908066890544887</v>
      </c>
      <c r="AD919">
        <v>0.77815842505283761</v>
      </c>
      <c r="AE919">
        <v>0.71409710772807911</v>
      </c>
      <c r="AH919">
        <v>0.18936605344061985</v>
      </c>
      <c r="AI919">
        <v>0.21050599778379231</v>
      </c>
      <c r="AJ919">
        <v>9.4272754067962872E-2</v>
      </c>
      <c r="AK919">
        <v>0.2897331659457496</v>
      </c>
      <c r="AL919">
        <v>0.26227955488964161</v>
      </c>
      <c r="AM919">
        <v>9.3873472129118896E-2</v>
      </c>
      <c r="AN919">
        <v>0.22710876249957024</v>
      </c>
      <c r="AO919">
        <v>9.1118956217761671E-3</v>
      </c>
      <c r="AR919">
        <v>9.9726737282468392E-4</v>
      </c>
      <c r="AS919">
        <v>4.5327297229981189E-3</v>
      </c>
      <c r="AT919">
        <v>9.8566431101668739E-2</v>
      </c>
      <c r="AU919">
        <v>1.8858735465793835E-3</v>
      </c>
      <c r="AV919">
        <v>1.9133762047096631E-3</v>
      </c>
      <c r="AW919">
        <v>3.1777133742704384E-3</v>
      </c>
      <c r="AX919">
        <v>3.5483882682784957E-4</v>
      </c>
      <c r="AY919">
        <v>4.0447499513696685E-4</v>
      </c>
      <c r="BB919">
        <v>5.8063302728477151E-2</v>
      </c>
      <c r="BC919">
        <v>1.7878428800400904E-2</v>
      </c>
      <c r="BE919">
        <v>34410.072315963436</v>
      </c>
      <c r="BF919">
        <v>21.279138289767079</v>
      </c>
      <c r="BG919">
        <v>36603.881070802949</v>
      </c>
      <c r="BH919">
        <v>21.282389176153554</v>
      </c>
    </row>
    <row r="920" spans="3:60" x14ac:dyDescent="0.2">
      <c r="C920" s="138">
        <v>37033.185149926117</v>
      </c>
      <c r="D920">
        <v>20.60465859908372</v>
      </c>
      <c r="E920" s="138">
        <v>39661.687282575462</v>
      </c>
      <c r="F920" s="138">
        <v>20.566160038322849</v>
      </c>
      <c r="G920" s="138">
        <v>-2628.5021326493443</v>
      </c>
      <c r="H920" s="138">
        <v>3.8498560760871214E-2</v>
      </c>
      <c r="N920" s="138"/>
      <c r="O920" s="138"/>
      <c r="P920" s="138"/>
      <c r="R920">
        <v>70.960677401846652</v>
      </c>
      <c r="S920">
        <v>65.560664205028203</v>
      </c>
      <c r="T920">
        <v>254.31548956081619</v>
      </c>
      <c r="U920">
        <v>94.149894722004262</v>
      </c>
      <c r="X920">
        <v>0.89542839500694182</v>
      </c>
      <c r="Y920">
        <v>0.82271642218679586</v>
      </c>
      <c r="Z920">
        <v>0.62469037747823486</v>
      </c>
      <c r="AA920">
        <v>0.71396310312163047</v>
      </c>
      <c r="AB920">
        <v>0.85007054312209185</v>
      </c>
      <c r="AC920">
        <v>0.53461248470798395</v>
      </c>
      <c r="AD920">
        <v>0.52375299752344617</v>
      </c>
      <c r="AE920">
        <v>0.61476155322265824</v>
      </c>
      <c r="AH920">
        <v>0.12965082243399584</v>
      </c>
      <c r="AI920">
        <v>0.15371233037892218</v>
      </c>
      <c r="AJ920">
        <v>0.15963031701267583</v>
      </c>
      <c r="AK920">
        <v>0.2627276360707943</v>
      </c>
      <c r="AL920">
        <v>4.7592092618603976E-2</v>
      </c>
      <c r="AM920">
        <v>0.20880436565380955</v>
      </c>
      <c r="AN920">
        <v>0.11696114890769627</v>
      </c>
      <c r="AO920">
        <v>0.19268221013446829</v>
      </c>
      <c r="AR920">
        <v>8.8574560867754149E-4</v>
      </c>
      <c r="AS920">
        <v>4.4401754468021103E-3</v>
      </c>
      <c r="AT920">
        <v>0.10139889428435889</v>
      </c>
      <c r="AU920">
        <v>2.0243711468584946E-3</v>
      </c>
      <c r="AV920">
        <v>1.7829908035143023E-3</v>
      </c>
      <c r="AW920">
        <v>3.5042682494904609E-3</v>
      </c>
      <c r="AX920">
        <v>4.9384323148904397E-4</v>
      </c>
      <c r="AY920">
        <v>4.4775611955971684E-4</v>
      </c>
      <c r="BB920">
        <v>5.140632637239928E-2</v>
      </c>
      <c r="BC920">
        <v>3.6179053338597812E-2</v>
      </c>
      <c r="BE920">
        <v>37033.185149926117</v>
      </c>
      <c r="BF920">
        <v>20.60465859908372</v>
      </c>
      <c r="BG920">
        <v>39661.687282575462</v>
      </c>
      <c r="BH920">
        <v>20.566160038322849</v>
      </c>
    </row>
    <row r="921" spans="3:60" x14ac:dyDescent="0.2">
      <c r="C921" s="138">
        <v>28566.52745609983</v>
      </c>
      <c r="D921">
        <v>21.302661652343115</v>
      </c>
      <c r="E921" s="138">
        <v>30483.376279584496</v>
      </c>
      <c r="F921" s="138">
        <v>21.308864975878329</v>
      </c>
      <c r="G921" s="138">
        <v>-1916.8488234846664</v>
      </c>
      <c r="H921" s="138">
        <v>-6.2033235352139116E-3</v>
      </c>
      <c r="N921" s="138"/>
      <c r="O921" s="138"/>
      <c r="P921" s="138"/>
      <c r="R921">
        <v>329.03822191731962</v>
      </c>
      <c r="S921">
        <v>62.866405474646477</v>
      </c>
      <c r="T921">
        <v>245.44407874889228</v>
      </c>
      <c r="U921">
        <v>73.285782247826759</v>
      </c>
      <c r="X921">
        <v>0.88086481975387321</v>
      </c>
      <c r="Y921">
        <v>0.71296338231987699</v>
      </c>
      <c r="Z921">
        <v>0.78439070631367103</v>
      </c>
      <c r="AA921">
        <v>0.75782782205877552</v>
      </c>
      <c r="AB921">
        <v>0.52151297496784865</v>
      </c>
      <c r="AC921">
        <v>0.8438078867351605</v>
      </c>
      <c r="AD921">
        <v>0.89210800868790485</v>
      </c>
      <c r="AE921">
        <v>0.87821762195471798</v>
      </c>
      <c r="AH921">
        <v>0.43690853941543051</v>
      </c>
      <c r="AI921">
        <v>0.16098642020592291</v>
      </c>
      <c r="AJ921">
        <v>0.20571679652260211</v>
      </c>
      <c r="AK921">
        <v>0.14424054532018138</v>
      </c>
      <c r="AL921">
        <v>9.4258258649371207E-2</v>
      </c>
      <c r="AM921">
        <v>4.1963455182294718E-2</v>
      </c>
      <c r="AN921">
        <v>9.184803383248763E-2</v>
      </c>
      <c r="AO921">
        <v>0.22360560763134507</v>
      </c>
      <c r="AR921">
        <v>8.7548779947233815E-4</v>
      </c>
      <c r="AS921">
        <v>4.6341850797725348E-3</v>
      </c>
      <c r="AT921">
        <v>0.10116367963175799</v>
      </c>
      <c r="AU921">
        <v>2.0096210436998385E-3</v>
      </c>
      <c r="AV921">
        <v>1.8308135263762804E-3</v>
      </c>
      <c r="AW921">
        <v>3.5458085515185367E-3</v>
      </c>
      <c r="AX921">
        <v>4.7507362560228472E-4</v>
      </c>
      <c r="AY921">
        <v>3.9646572707750365E-4</v>
      </c>
      <c r="BB921">
        <v>5.4638536499608148E-2</v>
      </c>
      <c r="BC921">
        <v>3.6900055254968339E-2</v>
      </c>
      <c r="BE921">
        <v>28566.52745609983</v>
      </c>
      <c r="BF921">
        <v>21.302661652343115</v>
      </c>
      <c r="BG921">
        <v>30483.376279584496</v>
      </c>
      <c r="BH921">
        <v>21.308864975878329</v>
      </c>
    </row>
    <row r="922" spans="3:60" x14ac:dyDescent="0.2">
      <c r="C922" s="138">
        <v>31959.325490009916</v>
      </c>
      <c r="D922">
        <v>21.469323484370026</v>
      </c>
      <c r="E922" s="138">
        <v>34002.716419144446</v>
      </c>
      <c r="F922" s="138">
        <v>21.44904954588883</v>
      </c>
      <c r="G922" s="138">
        <v>-2043.3909291345299</v>
      </c>
      <c r="H922" s="138">
        <v>2.0273938481196296E-2</v>
      </c>
      <c r="N922" s="138"/>
      <c r="O922" s="138"/>
      <c r="P922" s="138"/>
      <c r="R922">
        <v>383.52600196975254</v>
      </c>
      <c r="S922">
        <v>54.413010310099615</v>
      </c>
      <c r="T922">
        <v>222.82445024107156</v>
      </c>
      <c r="U922">
        <v>96.734880162780001</v>
      </c>
      <c r="X922">
        <v>0.67391841123984542</v>
      </c>
      <c r="Y922">
        <v>0.76688298042613945</v>
      </c>
      <c r="Z922">
        <v>0.79746240010966807</v>
      </c>
      <c r="AA922">
        <v>0.60815190307938327</v>
      </c>
      <c r="AB922">
        <v>0.57252748084102856</v>
      </c>
      <c r="AC922">
        <v>0.75028353035102158</v>
      </c>
      <c r="AD922">
        <v>0.7570449877550417</v>
      </c>
      <c r="AE922">
        <v>0.78830844379903042</v>
      </c>
      <c r="AH922">
        <v>7.8780636606825882E-2</v>
      </c>
      <c r="AI922">
        <v>4.0084153157918356E-2</v>
      </c>
      <c r="AJ922">
        <v>0.12788201567697044</v>
      </c>
      <c r="AK922">
        <v>6.0656673138963724E-2</v>
      </c>
      <c r="AL922">
        <v>0.23414583025866431</v>
      </c>
      <c r="AM922">
        <v>0.1768451606440482</v>
      </c>
      <c r="AN922">
        <v>4.6646257579180839E-2</v>
      </c>
      <c r="AO922">
        <v>0.25021764162342686</v>
      </c>
      <c r="AR922">
        <v>9.2876252871232357E-4</v>
      </c>
      <c r="AS922">
        <v>4.4025927727676106E-3</v>
      </c>
      <c r="AT922">
        <v>0.10103577921453133</v>
      </c>
      <c r="AU922">
        <v>1.9609904045669361E-3</v>
      </c>
      <c r="AV922">
        <v>1.978450296130346E-3</v>
      </c>
      <c r="AW922">
        <v>3.371280506575031E-3</v>
      </c>
      <c r="AX922">
        <v>3.5295230699441586E-4</v>
      </c>
      <c r="AY922">
        <v>4.0315537643398781E-4</v>
      </c>
      <c r="BB922">
        <v>4.9140469539437681E-2</v>
      </c>
      <c r="BC922">
        <v>4.1048549760359605E-2</v>
      </c>
      <c r="BE922">
        <v>31959.325490009916</v>
      </c>
      <c r="BF922">
        <v>21.469323484370026</v>
      </c>
      <c r="BG922">
        <v>34002.716419144446</v>
      </c>
      <c r="BH922">
        <v>21.44904954588883</v>
      </c>
    </row>
    <row r="923" spans="3:60" x14ac:dyDescent="0.2">
      <c r="C923" s="138">
        <v>26156.995850453586</v>
      </c>
      <c r="D923">
        <v>21.585999887681641</v>
      </c>
      <c r="E923" s="138">
        <v>27821.908022936073</v>
      </c>
      <c r="F923" s="138">
        <v>21.597114571257467</v>
      </c>
      <c r="G923" s="138">
        <v>-1664.9121724824872</v>
      </c>
      <c r="H923" s="138">
        <v>-1.1114683575826234E-2</v>
      </c>
      <c r="N923" s="138"/>
      <c r="O923" s="138"/>
      <c r="P923" s="138"/>
      <c r="R923">
        <v>381.83652304604311</v>
      </c>
      <c r="S923">
        <v>58.021225215619914</v>
      </c>
      <c r="T923">
        <v>259.66467350932299</v>
      </c>
      <c r="U923">
        <v>95.832346003209494</v>
      </c>
      <c r="X923">
        <v>0.85686401569308601</v>
      </c>
      <c r="Y923">
        <v>0.79715111988862286</v>
      </c>
      <c r="Z923">
        <v>0.78796650045389371</v>
      </c>
      <c r="AA923">
        <v>0.90592914750290876</v>
      </c>
      <c r="AB923">
        <v>0.71088490608613042</v>
      </c>
      <c r="AC923">
        <v>0.68828194833936718</v>
      </c>
      <c r="AD923">
        <v>0.9710909094654897</v>
      </c>
      <c r="AE923">
        <v>0.73339891096048782</v>
      </c>
      <c r="AH923">
        <v>9.9406295456157423E-2</v>
      </c>
      <c r="AI923">
        <v>0.21010718756209512</v>
      </c>
      <c r="AJ923">
        <v>0.31502426725725341</v>
      </c>
      <c r="AK923">
        <v>0.15997503162232007</v>
      </c>
      <c r="AL923">
        <v>8.2633567597993451E-2</v>
      </c>
      <c r="AM923">
        <v>0.11981862999321857</v>
      </c>
      <c r="AN923">
        <v>0.10122259871499761</v>
      </c>
      <c r="AO923">
        <v>6.2497026332279826E-2</v>
      </c>
      <c r="AR923">
        <v>7.8397848971767218E-4</v>
      </c>
      <c r="AS923">
        <v>4.622628224904779E-3</v>
      </c>
      <c r="AT923">
        <v>9.9580577088396141E-2</v>
      </c>
      <c r="AU923">
        <v>1.9596059119082296E-3</v>
      </c>
      <c r="AV923">
        <v>1.6818635585582155E-3</v>
      </c>
      <c r="AW923">
        <v>3.355132965534201E-3</v>
      </c>
      <c r="AX923">
        <v>4.1002941600765119E-4</v>
      </c>
      <c r="AY923">
        <v>3.2519420943535903E-4</v>
      </c>
      <c r="BB923">
        <v>4.8707586417257573E-2</v>
      </c>
      <c r="BC923">
        <v>3.2765443139226288E-2</v>
      </c>
      <c r="BE923">
        <v>26156.995850453586</v>
      </c>
      <c r="BF923">
        <v>21.585999887681641</v>
      </c>
      <c r="BG923">
        <v>27821.908022936073</v>
      </c>
      <c r="BH923">
        <v>21.597114571257467</v>
      </c>
    </row>
    <row r="924" spans="3:60" x14ac:dyDescent="0.2">
      <c r="C924" s="138">
        <v>33604.422512067824</v>
      </c>
      <c r="D924">
        <v>21.540834337636188</v>
      </c>
      <c r="E924" s="138">
        <v>36087.043837040794</v>
      </c>
      <c r="F924" s="138">
        <v>21.533922401362926</v>
      </c>
      <c r="G924" s="138">
        <v>-2482.6213249729699</v>
      </c>
      <c r="H924" s="138">
        <v>6.9119362732621425E-3</v>
      </c>
      <c r="N924" s="138"/>
      <c r="O924" s="138"/>
      <c r="P924" s="138"/>
      <c r="R924">
        <v>192.63644140693864</v>
      </c>
      <c r="S924">
        <v>72.567852557264899</v>
      </c>
      <c r="T924">
        <v>301.89891347328177</v>
      </c>
      <c r="U924">
        <v>74.833354876689484</v>
      </c>
      <c r="X924">
        <v>0.57215636972541062</v>
      </c>
      <c r="Y924">
        <v>0.55137216951714585</v>
      </c>
      <c r="Z924">
        <v>0.87977903439054017</v>
      </c>
      <c r="AA924">
        <v>0.70538516895324088</v>
      </c>
      <c r="AB924">
        <v>0.69696052197026737</v>
      </c>
      <c r="AC924">
        <v>0.84500174998613908</v>
      </c>
      <c r="AD924">
        <v>0.88522811406473922</v>
      </c>
      <c r="AE924">
        <v>0.76933406788642822</v>
      </c>
      <c r="AH924">
        <v>0.19312404413902773</v>
      </c>
      <c r="AI924">
        <v>8.9669243550816069E-2</v>
      </c>
      <c r="AJ924">
        <v>0.15311147779179046</v>
      </c>
      <c r="AK924">
        <v>0.25870970599844656</v>
      </c>
      <c r="AL924">
        <v>0.10851518471588173</v>
      </c>
      <c r="AM924">
        <v>0.11533482563089781</v>
      </c>
      <c r="AN924">
        <v>0.12903986063417783</v>
      </c>
      <c r="AO924">
        <v>6.3241352236448778E-2</v>
      </c>
      <c r="AR924">
        <v>8.3030501147837211E-4</v>
      </c>
      <c r="AS924">
        <v>4.8108119576095731E-3</v>
      </c>
      <c r="AT924">
        <v>0.10114822660072476</v>
      </c>
      <c r="AU924">
        <v>1.9753594734184458E-3</v>
      </c>
      <c r="AV924">
        <v>1.8389279511574254E-3</v>
      </c>
      <c r="AW924">
        <v>3.7462179825403785E-3</v>
      </c>
      <c r="AX924">
        <v>4.0075046785859048E-4</v>
      </c>
      <c r="AY924">
        <v>3.217284731953403E-4</v>
      </c>
      <c r="BB924">
        <v>5.5292979386828645E-2</v>
      </c>
      <c r="BC924">
        <v>2.4868304289233124E-2</v>
      </c>
      <c r="BE924">
        <v>33604.422512067824</v>
      </c>
      <c r="BF924">
        <v>21.540834337636188</v>
      </c>
      <c r="BG924">
        <v>36087.043837040794</v>
      </c>
      <c r="BH924">
        <v>21.533922401362926</v>
      </c>
    </row>
    <row r="925" spans="3:60" x14ac:dyDescent="0.2">
      <c r="C925" s="138">
        <v>30883.108832759321</v>
      </c>
      <c r="D925">
        <v>20.8625096668633</v>
      </c>
      <c r="E925" s="138">
        <v>32874.307368883841</v>
      </c>
      <c r="F925" s="138">
        <v>20.843642957575376</v>
      </c>
      <c r="G925" s="138">
        <v>-1991.1985361245206</v>
      </c>
      <c r="H925" s="138">
        <v>1.8866709287923555E-2</v>
      </c>
      <c r="N925" s="138"/>
      <c r="O925" s="138"/>
      <c r="P925" s="138"/>
      <c r="R925">
        <v>288.47234610846033</v>
      </c>
      <c r="S925">
        <v>61.565129820404856</v>
      </c>
      <c r="T925">
        <v>290.70206993564642</v>
      </c>
      <c r="U925">
        <v>105.82155344631393</v>
      </c>
      <c r="X925">
        <v>0.40945631984464376</v>
      </c>
      <c r="Y925">
        <v>0.86367062679249595</v>
      </c>
      <c r="Z925">
        <v>0.77145923295395846</v>
      </c>
      <c r="AA925">
        <v>0.84972670668472361</v>
      </c>
      <c r="AB925">
        <v>0.93160998979057774</v>
      </c>
      <c r="AC925">
        <v>0.622455640761026</v>
      </c>
      <c r="AD925">
        <v>0.69689868886263662</v>
      </c>
      <c r="AE925">
        <v>0.72063346769149472</v>
      </c>
      <c r="AH925">
        <v>0.12176664763468337</v>
      </c>
      <c r="AI925">
        <v>3.781654773512888E-2</v>
      </c>
      <c r="AJ925">
        <v>0.13263327571392436</v>
      </c>
      <c r="AK925">
        <v>8.3519211617617661E-2</v>
      </c>
      <c r="AL925">
        <v>9.4052262534795816E-2</v>
      </c>
      <c r="AM925">
        <v>0.20230110168493154</v>
      </c>
      <c r="AN925">
        <v>8.140789314963881E-2</v>
      </c>
      <c r="AO925">
        <v>2.9994479977943467E-2</v>
      </c>
      <c r="AR925">
        <v>8.6669680878201458E-4</v>
      </c>
      <c r="AS925">
        <v>4.298707650605315E-3</v>
      </c>
      <c r="AT925">
        <v>9.9499794147625831E-2</v>
      </c>
      <c r="AU925">
        <v>1.8892395032699297E-3</v>
      </c>
      <c r="AV925">
        <v>2.3449466768594718E-3</v>
      </c>
      <c r="AW925">
        <v>3.1075388610439223E-3</v>
      </c>
      <c r="AX925">
        <v>3.3690813451394704E-4</v>
      </c>
      <c r="AY925">
        <v>4.5180950341550119E-4</v>
      </c>
      <c r="BB925">
        <v>4.8328954385945609E-2</v>
      </c>
      <c r="BC925">
        <v>3.63536784245546E-2</v>
      </c>
      <c r="BE925">
        <v>30883.108832759321</v>
      </c>
      <c r="BF925">
        <v>20.8625096668633</v>
      </c>
      <c r="BG925">
        <v>32874.307368883841</v>
      </c>
      <c r="BH925">
        <v>20.843642957575376</v>
      </c>
    </row>
    <row r="926" spans="3:60" x14ac:dyDescent="0.2">
      <c r="C926" s="138">
        <v>35186.789932451073</v>
      </c>
      <c r="D926">
        <v>20.772441023467113</v>
      </c>
      <c r="E926" s="138">
        <v>37200.748146122882</v>
      </c>
      <c r="F926" s="138">
        <v>20.778600378507392</v>
      </c>
      <c r="G926" s="138">
        <v>-2013.9582136718091</v>
      </c>
      <c r="H926" s="138">
        <v>-6.1593550402783137E-3</v>
      </c>
      <c r="N926" s="138"/>
      <c r="O926" s="138"/>
      <c r="P926" s="138"/>
      <c r="R926">
        <v>203.616312948249</v>
      </c>
      <c r="S926">
        <v>53.086119843847371</v>
      </c>
      <c r="T926">
        <v>233.52188084012693</v>
      </c>
      <c r="U926">
        <v>89.794356060356776</v>
      </c>
      <c r="X926">
        <v>0.56267026108020568</v>
      </c>
      <c r="Y926">
        <v>0.44256298987746312</v>
      </c>
      <c r="Z926">
        <v>0.62769011046718448</v>
      </c>
      <c r="AA926">
        <v>0.64710519856675397</v>
      </c>
      <c r="AB926">
        <v>0.78073801813501642</v>
      </c>
      <c r="AC926">
        <v>0.88956554915122821</v>
      </c>
      <c r="AD926">
        <v>0.81106061726172496</v>
      </c>
      <c r="AE926">
        <v>0.89933288008050938</v>
      </c>
      <c r="AH926">
        <v>0.32676642041964776</v>
      </c>
      <c r="AI926">
        <v>0.10246497985318315</v>
      </c>
      <c r="AJ926">
        <v>0.11685213835745556</v>
      </c>
      <c r="AK926">
        <v>9.9906249959765159E-2</v>
      </c>
      <c r="AL926">
        <v>0.11146105418709318</v>
      </c>
      <c r="AM926">
        <v>9.1996387994845774E-2</v>
      </c>
      <c r="AN926">
        <v>0.11689406188077633</v>
      </c>
      <c r="AO926">
        <v>9.5371516081455887E-2</v>
      </c>
      <c r="AR926">
        <v>1.0030873356983161E-3</v>
      </c>
      <c r="AS926">
        <v>4.5921722596327097E-3</v>
      </c>
      <c r="AT926">
        <v>9.9527072911537465E-2</v>
      </c>
      <c r="AU926">
        <v>1.9474047578750488E-3</v>
      </c>
      <c r="AV926">
        <v>1.8064633488437708E-3</v>
      </c>
      <c r="AW926">
        <v>3.5265569672957575E-3</v>
      </c>
      <c r="AX926">
        <v>4.2469386585386459E-4</v>
      </c>
      <c r="AY926">
        <v>2.8238321995597806E-4</v>
      </c>
      <c r="BB926">
        <v>4.6434305823615248E-2</v>
      </c>
      <c r="BC926">
        <v>3.7868479705624562E-2</v>
      </c>
      <c r="BE926">
        <v>35186.789932451073</v>
      </c>
      <c r="BF926">
        <v>20.772441023467113</v>
      </c>
      <c r="BG926">
        <v>37200.748146122882</v>
      </c>
      <c r="BH926">
        <v>20.778600378507392</v>
      </c>
    </row>
    <row r="927" spans="3:60" x14ac:dyDescent="0.2">
      <c r="C927" s="138">
        <v>27612.067462599338</v>
      </c>
      <c r="D927">
        <v>21.317025127044683</v>
      </c>
      <c r="E927" s="138">
        <v>29205.414145455852</v>
      </c>
      <c r="F927" s="138">
        <v>21.288987134460598</v>
      </c>
      <c r="G927" s="138">
        <v>-1593.3466828565142</v>
      </c>
      <c r="H927" s="138">
        <v>2.8037992584085458E-2</v>
      </c>
      <c r="N927" s="138"/>
      <c r="O927" s="138"/>
      <c r="P927" s="138"/>
      <c r="R927">
        <v>295.6889234552354</v>
      </c>
      <c r="S927">
        <v>63.902512174932866</v>
      </c>
      <c r="T927">
        <v>227.47082388544996</v>
      </c>
      <c r="U927">
        <v>92.211294710769934</v>
      </c>
      <c r="X927">
        <v>0.78918169725187126</v>
      </c>
      <c r="Y927">
        <v>0.80160370024782968</v>
      </c>
      <c r="Z927">
        <v>0.63070657730766488</v>
      </c>
      <c r="AA927">
        <v>0.72787991685080722</v>
      </c>
      <c r="AB927">
        <v>0.60569159874645462</v>
      </c>
      <c r="AC927">
        <v>0.56190059036838091</v>
      </c>
      <c r="AD927">
        <v>0.72768532472852054</v>
      </c>
      <c r="AE927">
        <v>0.51553054276449573</v>
      </c>
      <c r="AH927">
        <v>0.31533412309842601</v>
      </c>
      <c r="AI927">
        <v>0.15104742478551514</v>
      </c>
      <c r="AJ927">
        <v>5.9094475268534064E-2</v>
      </c>
      <c r="AK927">
        <v>3.6218288334328719E-3</v>
      </c>
      <c r="AL927">
        <v>7.1752567746586227E-2</v>
      </c>
      <c r="AM927">
        <v>0.18572311043418332</v>
      </c>
      <c r="AN927">
        <v>0.26895768245266349</v>
      </c>
      <c r="AO927">
        <v>7.2428057525910194E-2</v>
      </c>
      <c r="AR927">
        <v>8.8831644477105343E-4</v>
      </c>
      <c r="AS927">
        <v>4.3614105547954574E-3</v>
      </c>
      <c r="AT927">
        <v>0.10007247517736428</v>
      </c>
      <c r="AU927">
        <v>1.8970983038308947E-3</v>
      </c>
      <c r="AV927">
        <v>2.0322679107727115E-3</v>
      </c>
      <c r="AW927">
        <v>3.1696243651093323E-3</v>
      </c>
      <c r="AX927">
        <v>3.3798242563505717E-4</v>
      </c>
      <c r="AY927">
        <v>4.632163955570201E-4</v>
      </c>
      <c r="BB927">
        <v>4.9538112717956571E-2</v>
      </c>
      <c r="BC927">
        <v>2.5163603120456016E-2</v>
      </c>
      <c r="BE927">
        <v>27612.067462599338</v>
      </c>
      <c r="BF927">
        <v>21.317025127044683</v>
      </c>
      <c r="BG927">
        <v>29205.414145455852</v>
      </c>
      <c r="BH927">
        <v>21.288987134460598</v>
      </c>
    </row>
    <row r="928" spans="3:60" x14ac:dyDescent="0.2">
      <c r="C928" s="138">
        <v>30849.517442590684</v>
      </c>
      <c r="D928">
        <v>21.413107364587429</v>
      </c>
      <c r="E928" s="138">
        <v>32930.844538039419</v>
      </c>
      <c r="F928" s="138">
        <v>21.433013715458618</v>
      </c>
      <c r="G928" s="138">
        <v>-2081.3270954487343</v>
      </c>
      <c r="H928" s="138">
        <v>-1.9906350871188749E-2</v>
      </c>
      <c r="N928" s="138"/>
      <c r="O928" s="138"/>
      <c r="P928" s="138"/>
      <c r="R928">
        <v>345.39210873746055</v>
      </c>
      <c r="S928">
        <v>67.380217510257268</v>
      </c>
      <c r="T928">
        <v>243.02570038111949</v>
      </c>
      <c r="U928">
        <v>89.78808158846104</v>
      </c>
      <c r="X928">
        <v>0.88883465199048861</v>
      </c>
      <c r="Y928">
        <v>0.83591475149477246</v>
      </c>
      <c r="Z928">
        <v>0.64870984551927025</v>
      </c>
      <c r="AA928">
        <v>0.78819156795379874</v>
      </c>
      <c r="AB928">
        <v>0.95640540110706607</v>
      </c>
      <c r="AC928">
        <v>0.48597832989648865</v>
      </c>
      <c r="AD928">
        <v>0.77437388804535101</v>
      </c>
      <c r="AE928">
        <v>0.93704713621340296</v>
      </c>
      <c r="AH928">
        <v>0.15367255280179581</v>
      </c>
      <c r="AI928">
        <v>5.4016139858485301E-2</v>
      </c>
      <c r="AJ928">
        <v>0.21989322823272106</v>
      </c>
      <c r="AK928">
        <v>5.70077321479594E-2</v>
      </c>
      <c r="AL928">
        <v>1.0743261221489386E-2</v>
      </c>
      <c r="AM928">
        <v>0.3453300571509198</v>
      </c>
      <c r="AN928">
        <v>0.18294198977621323</v>
      </c>
      <c r="AO928">
        <v>0.13963686187839353</v>
      </c>
      <c r="AR928">
        <v>7.8242533572955451E-4</v>
      </c>
      <c r="AS928">
        <v>4.2546479009352564E-3</v>
      </c>
      <c r="AT928">
        <v>0.10068212780804286</v>
      </c>
      <c r="AU928">
        <v>2.0169327173577001E-3</v>
      </c>
      <c r="AV928">
        <v>1.9006343314409947E-3</v>
      </c>
      <c r="AW928">
        <v>3.303216066833977E-3</v>
      </c>
      <c r="AX928">
        <v>2.4193216803642054E-4</v>
      </c>
      <c r="AY928">
        <v>4.9388518780779656E-4</v>
      </c>
      <c r="BB928">
        <v>6.3869479961591757E-2</v>
      </c>
      <c r="BC928">
        <v>4.498119913998621E-2</v>
      </c>
      <c r="BE928">
        <v>30849.517442590684</v>
      </c>
      <c r="BF928">
        <v>21.413107364587429</v>
      </c>
      <c r="BG928">
        <v>32930.844538039419</v>
      </c>
      <c r="BH928">
        <v>21.433013715458618</v>
      </c>
    </row>
    <row r="929" spans="3:60" x14ac:dyDescent="0.2">
      <c r="C929" s="138">
        <v>27927.54724583606</v>
      </c>
      <c r="D929">
        <v>21.203422405657911</v>
      </c>
      <c r="E929" s="138">
        <v>30131.099619570261</v>
      </c>
      <c r="F929" s="138">
        <v>21.197727332756461</v>
      </c>
      <c r="G929" s="138">
        <v>-2203.552373734201</v>
      </c>
      <c r="H929" s="138">
        <v>5.6950729014495494E-3</v>
      </c>
      <c r="N929" s="138"/>
      <c r="O929" s="138"/>
      <c r="P929" s="138"/>
      <c r="R929">
        <v>447.43656320338442</v>
      </c>
      <c r="S929">
        <v>59.736846370489047</v>
      </c>
      <c r="T929">
        <v>300.94438411429326</v>
      </c>
      <c r="U929">
        <v>83.695082776636099</v>
      </c>
      <c r="X929">
        <v>0.78825160398701577</v>
      </c>
      <c r="Y929">
        <v>0.55107739953900259</v>
      </c>
      <c r="Z929">
        <v>0.54932494766862738</v>
      </c>
      <c r="AA929">
        <v>0.77052062020749967</v>
      </c>
      <c r="AB929">
        <v>0.55052660667573317</v>
      </c>
      <c r="AC929">
        <v>0.80493993820979937</v>
      </c>
      <c r="AD929">
        <v>0.75262624144772161</v>
      </c>
      <c r="AE929">
        <v>0.66969980923335093</v>
      </c>
      <c r="AH929">
        <v>0.16374361223864387</v>
      </c>
      <c r="AI929">
        <v>0.17225930941905176</v>
      </c>
      <c r="AJ929">
        <v>6.2937292047056559E-2</v>
      </c>
      <c r="AK929">
        <v>9.4511075168379199E-2</v>
      </c>
      <c r="AL929">
        <v>3.2318874817150789E-2</v>
      </c>
      <c r="AM929">
        <v>0.12539104740932383</v>
      </c>
      <c r="AN929">
        <v>6.1798593457039752E-2</v>
      </c>
      <c r="AO929">
        <v>0.11519101471363491</v>
      </c>
      <c r="AR929">
        <v>6.8808995802074825E-4</v>
      </c>
      <c r="AS929">
        <v>4.3858876839831902E-3</v>
      </c>
      <c r="AT929">
        <v>0.10021430532198472</v>
      </c>
      <c r="AU929">
        <v>2.1903387978502442E-3</v>
      </c>
      <c r="AV929">
        <v>2.083193789148341E-3</v>
      </c>
      <c r="AW929">
        <v>3.6453786899409701E-3</v>
      </c>
      <c r="AX929">
        <v>3.2793790069385629E-4</v>
      </c>
      <c r="AY929">
        <v>3.3120247119301077E-4</v>
      </c>
      <c r="BB929">
        <v>5.0615153633518095E-2</v>
      </c>
      <c r="BC929">
        <v>3.0362901119072201E-2</v>
      </c>
      <c r="BE929">
        <v>27927.54724583606</v>
      </c>
      <c r="BF929">
        <v>21.203422405657911</v>
      </c>
      <c r="BG929">
        <v>30131.099619570261</v>
      </c>
      <c r="BH929">
        <v>21.197727332756461</v>
      </c>
    </row>
    <row r="930" spans="3:60" x14ac:dyDescent="0.2">
      <c r="C930" s="138">
        <v>30757.494808405507</v>
      </c>
      <c r="D930">
        <v>21.116281114107014</v>
      </c>
      <c r="E930" s="138">
        <v>32590.431829185251</v>
      </c>
      <c r="F930" s="138">
        <v>21.104011186661165</v>
      </c>
      <c r="G930" s="138">
        <v>-1832.9370207797438</v>
      </c>
      <c r="H930" s="138">
        <v>1.226992744584976E-2</v>
      </c>
      <c r="N930" s="138"/>
      <c r="O930" s="138"/>
      <c r="P930" s="138"/>
      <c r="R930">
        <v>316.60877159854738</v>
      </c>
      <c r="S930">
        <v>69.567535551309945</v>
      </c>
      <c r="T930">
        <v>204.19358523232239</v>
      </c>
      <c r="U930">
        <v>86.421449505397973</v>
      </c>
      <c r="X930">
        <v>0.8717164634244805</v>
      </c>
      <c r="Y930">
        <v>0.94233748729633349</v>
      </c>
      <c r="Z930">
        <v>0.79288194485604602</v>
      </c>
      <c r="AA930">
        <v>0.47921054556815662</v>
      </c>
      <c r="AB930">
        <v>0.75001587049641116</v>
      </c>
      <c r="AC930">
        <v>0.72462400788040415</v>
      </c>
      <c r="AD930">
        <v>0.58537474012690216</v>
      </c>
      <c r="AE930">
        <v>0.50600548327795203</v>
      </c>
      <c r="AH930">
        <v>0.19453228463799288</v>
      </c>
      <c r="AI930">
        <v>0.16502266822343126</v>
      </c>
      <c r="AJ930">
        <v>0.15261259446834863</v>
      </c>
      <c r="AK930">
        <v>0.10102607867282209</v>
      </c>
      <c r="AL930">
        <v>0.14732175319760266</v>
      </c>
      <c r="AM930">
        <v>7.1644138806152058E-2</v>
      </c>
      <c r="AN930">
        <v>5.6489689588983039E-2</v>
      </c>
      <c r="AO930">
        <v>0.24518469339252413</v>
      </c>
      <c r="AR930">
        <v>9.8704048023989799E-4</v>
      </c>
      <c r="AS930">
        <v>4.6828027235031877E-3</v>
      </c>
      <c r="AT930">
        <v>0.10113671136748748</v>
      </c>
      <c r="AU930">
        <v>2.1420084289544006E-3</v>
      </c>
      <c r="AV930">
        <v>1.958395019305541E-3</v>
      </c>
      <c r="AW930">
        <v>3.5317250048320092E-3</v>
      </c>
      <c r="AX930">
        <v>3.6555900053590818E-4</v>
      </c>
      <c r="AY930">
        <v>4.9260606259871054E-4</v>
      </c>
      <c r="BB930">
        <v>5.6080491517141562E-2</v>
      </c>
      <c r="BC930">
        <v>4.2360370365149697E-2</v>
      </c>
      <c r="BE930">
        <v>30757.494808405507</v>
      </c>
      <c r="BF930">
        <v>21.116281114107014</v>
      </c>
      <c r="BG930">
        <v>32590.431829185251</v>
      </c>
      <c r="BH930">
        <v>21.104011186661165</v>
      </c>
    </row>
    <row r="931" spans="3:60" x14ac:dyDescent="0.2">
      <c r="C931" s="138">
        <v>29461.6993816502</v>
      </c>
      <c r="D931">
        <v>20.842539141385274</v>
      </c>
      <c r="E931" s="138">
        <v>31323.827147310189</v>
      </c>
      <c r="F931" s="138">
        <v>20.825522151823325</v>
      </c>
      <c r="G931" s="138">
        <v>-1862.1277656599887</v>
      </c>
      <c r="H931" s="138">
        <v>1.7016989561948748E-2</v>
      </c>
      <c r="N931" s="138"/>
      <c r="O931" s="138"/>
      <c r="P931" s="138"/>
      <c r="R931">
        <v>197.54813249762051</v>
      </c>
      <c r="S931">
        <v>64.329604522753741</v>
      </c>
      <c r="T931">
        <v>249.82173660225666</v>
      </c>
      <c r="U931">
        <v>103.62741168657425</v>
      </c>
      <c r="X931">
        <v>0.51164637053245854</v>
      </c>
      <c r="Y931">
        <v>0.63819433178793727</v>
      </c>
      <c r="Z931">
        <v>0.80710241176296915</v>
      </c>
      <c r="AA931">
        <v>0.5765739192576107</v>
      </c>
      <c r="AB931">
        <v>0.81950863101893034</v>
      </c>
      <c r="AC931">
        <v>0.7961181577417249</v>
      </c>
      <c r="AD931">
        <v>0.62174847756810792</v>
      </c>
      <c r="AE931">
        <v>0.7511573781515275</v>
      </c>
      <c r="AH931">
        <v>0.21482143814169319</v>
      </c>
      <c r="AI931">
        <v>0.1663392518177802</v>
      </c>
      <c r="AJ931">
        <v>0.21917505504115997</v>
      </c>
      <c r="AK931">
        <v>9.00517203987794E-2</v>
      </c>
      <c r="AL931">
        <v>0.19522079422922101</v>
      </c>
      <c r="AM931">
        <v>4.7231324853370893E-2</v>
      </c>
      <c r="AN931">
        <v>5.1411289165230523E-2</v>
      </c>
      <c r="AO931">
        <v>3.3679863152732192E-2</v>
      </c>
      <c r="AR931">
        <v>9.0657538372440616E-4</v>
      </c>
      <c r="AS931">
        <v>4.642580309819011E-3</v>
      </c>
      <c r="AT931">
        <v>0.10087350730018352</v>
      </c>
      <c r="AU931">
        <v>1.9977985818273591E-3</v>
      </c>
      <c r="AV931">
        <v>1.965977819331085E-3</v>
      </c>
      <c r="AW931">
        <v>3.5452871666166175E-3</v>
      </c>
      <c r="AX931">
        <v>5.0943322019980641E-4</v>
      </c>
      <c r="AY931">
        <v>5.2433581243205296E-4</v>
      </c>
      <c r="BB931">
        <v>5.271179130700876E-2</v>
      </c>
      <c r="BC931">
        <v>3.5280911811388829E-2</v>
      </c>
      <c r="BE931">
        <v>29461.6993816502</v>
      </c>
      <c r="BF931">
        <v>20.842539141385274</v>
      </c>
      <c r="BG931">
        <v>31323.827147310189</v>
      </c>
      <c r="BH931">
        <v>20.825522151823325</v>
      </c>
    </row>
    <row r="932" spans="3:60" x14ac:dyDescent="0.2">
      <c r="C932" s="138">
        <v>28811.190687587747</v>
      </c>
      <c r="D932">
        <v>20.898255175268261</v>
      </c>
      <c r="E932" s="138">
        <v>30249.497269704236</v>
      </c>
      <c r="F932" s="138">
        <v>20.860088747250217</v>
      </c>
      <c r="G932" s="138">
        <v>-1438.3065821164892</v>
      </c>
      <c r="H932" s="138">
        <v>3.8166428018044485E-2</v>
      </c>
      <c r="N932" s="138"/>
      <c r="O932" s="138"/>
      <c r="P932" s="138"/>
      <c r="R932">
        <v>474.14300689044535</v>
      </c>
      <c r="S932">
        <v>65.593630695891022</v>
      </c>
      <c r="T932">
        <v>279.56121978161934</v>
      </c>
      <c r="U932">
        <v>100.34176711526672</v>
      </c>
      <c r="X932">
        <v>0.74712147768586734</v>
      </c>
      <c r="Y932">
        <v>0.78470913067096881</v>
      </c>
      <c r="Z932">
        <v>0.64016407382254281</v>
      </c>
      <c r="AA932">
        <v>0.74045996116556156</v>
      </c>
      <c r="AB932">
        <v>0.70955493204213993</v>
      </c>
      <c r="AC932">
        <v>0.82520147014505518</v>
      </c>
      <c r="AD932">
        <v>0.6964380611680443</v>
      </c>
      <c r="AE932">
        <v>0.82053090325879385</v>
      </c>
      <c r="AH932">
        <v>0.22845468506152067</v>
      </c>
      <c r="AI932">
        <v>0.13260355995525441</v>
      </c>
      <c r="AJ932">
        <v>0.13450741022450818</v>
      </c>
      <c r="AK932">
        <v>0.15230609232710735</v>
      </c>
      <c r="AL932">
        <v>0.13594345376869854</v>
      </c>
      <c r="AM932">
        <v>0.38452839683371554</v>
      </c>
      <c r="AN932">
        <v>7.5195536272761876E-2</v>
      </c>
      <c r="AO932">
        <v>2.64101120801985E-2</v>
      </c>
      <c r="AR932">
        <v>8.5785011127585741E-4</v>
      </c>
      <c r="AS932">
        <v>4.1483958646983538E-3</v>
      </c>
      <c r="AT932">
        <v>0.10025681585258295</v>
      </c>
      <c r="AU932">
        <v>2.1438304199531411E-3</v>
      </c>
      <c r="AV932">
        <v>2.0963940638433209E-3</v>
      </c>
      <c r="AW932">
        <v>3.2247620509274553E-3</v>
      </c>
      <c r="AX932">
        <v>4.4642349456958108E-4</v>
      </c>
      <c r="AY932">
        <v>4.8996680743373933E-4</v>
      </c>
      <c r="BB932">
        <v>5.6010342820663195E-2</v>
      </c>
      <c r="BC932">
        <v>4.0099723567324608E-2</v>
      </c>
      <c r="BE932">
        <v>28811.190687587747</v>
      </c>
      <c r="BF932">
        <v>20.898255175268261</v>
      </c>
      <c r="BG932">
        <v>30249.497269704236</v>
      </c>
      <c r="BH932">
        <v>20.860088747250217</v>
      </c>
    </row>
    <row r="933" spans="3:60" x14ac:dyDescent="0.2">
      <c r="C933" s="138">
        <v>40219.537399253801</v>
      </c>
      <c r="D933">
        <v>21.706218640356223</v>
      </c>
      <c r="E933" s="138">
        <v>42533.288713678012</v>
      </c>
      <c r="F933" s="138">
        <v>21.686416179623031</v>
      </c>
      <c r="G933" s="138">
        <v>-2313.7513144242112</v>
      </c>
      <c r="H933" s="138">
        <v>1.9802460733192362E-2</v>
      </c>
      <c r="N933" s="138"/>
      <c r="O933" s="138"/>
      <c r="P933" s="138"/>
      <c r="R933">
        <v>297.75626705218838</v>
      </c>
      <c r="S933">
        <v>62.595516117736494</v>
      </c>
      <c r="T933">
        <v>253.05849086579738</v>
      </c>
      <c r="U933">
        <v>93.051554210700132</v>
      </c>
      <c r="X933">
        <v>0.82927492434668071</v>
      </c>
      <c r="Y933">
        <v>0.77954517315409111</v>
      </c>
      <c r="Z933">
        <v>0.97777123456549242</v>
      </c>
      <c r="AA933">
        <v>0.67754795952677582</v>
      </c>
      <c r="AB933">
        <v>0.74775097099003462</v>
      </c>
      <c r="AC933">
        <v>0.51436826006972747</v>
      </c>
      <c r="AD933">
        <v>0.75049107312554431</v>
      </c>
      <c r="AE933">
        <v>0.72822600149965133</v>
      </c>
      <c r="AH933">
        <v>6.8941070667813964E-2</v>
      </c>
      <c r="AI933">
        <v>1.7982838915583943E-2</v>
      </c>
      <c r="AJ933">
        <v>0.24624416577873365</v>
      </c>
      <c r="AK933">
        <v>0.19169357989568658</v>
      </c>
      <c r="AL933">
        <v>9.0266759665640683E-2</v>
      </c>
      <c r="AM933">
        <v>7.5420609359331703E-2</v>
      </c>
      <c r="AN933">
        <v>0.11791542122090892</v>
      </c>
      <c r="AO933">
        <v>3.0619892198401555E-2</v>
      </c>
      <c r="AR933">
        <v>8.7852629824089392E-4</v>
      </c>
      <c r="AS933">
        <v>4.6091548495245105E-3</v>
      </c>
      <c r="AT933">
        <v>9.9100116721875853E-2</v>
      </c>
      <c r="AU933">
        <v>1.8286657847172557E-3</v>
      </c>
      <c r="AV933">
        <v>2.1116364682322031E-3</v>
      </c>
      <c r="AW933">
        <v>3.5510057233089087E-3</v>
      </c>
      <c r="AX933">
        <v>3.9560693282698656E-4</v>
      </c>
      <c r="AY933">
        <v>3.8993919191592543E-4</v>
      </c>
      <c r="BB933">
        <v>4.8127007679836152E-2</v>
      </c>
      <c r="BC933">
        <v>9.7216097853087047E-2</v>
      </c>
      <c r="BE933">
        <v>40219.537399253801</v>
      </c>
      <c r="BF933">
        <v>21.706218640356223</v>
      </c>
      <c r="BG933">
        <v>42533.288713678012</v>
      </c>
      <c r="BH933">
        <v>21.686416179623031</v>
      </c>
    </row>
    <row r="934" spans="3:60" x14ac:dyDescent="0.2">
      <c r="C934" s="138">
        <v>30602.481504182178</v>
      </c>
      <c r="D934">
        <v>20.379542101467134</v>
      </c>
      <c r="E934" s="138">
        <v>32945.417327026771</v>
      </c>
      <c r="F934" s="138">
        <v>20.327070646416793</v>
      </c>
      <c r="G934" s="138">
        <v>-2342.9358228445926</v>
      </c>
      <c r="H934" s="138">
        <v>5.247145505034112E-2</v>
      </c>
      <c r="N934" s="138"/>
      <c r="O934" s="138"/>
      <c r="P934" s="138"/>
      <c r="R934">
        <v>173.10206156618517</v>
      </c>
      <c r="S934">
        <v>66.287383731095161</v>
      </c>
      <c r="T934">
        <v>241.35952790670279</v>
      </c>
      <c r="U934">
        <v>89.892462870409858</v>
      </c>
      <c r="X934">
        <v>0.89249544611128262</v>
      </c>
      <c r="Y934">
        <v>0.79558698592805432</v>
      </c>
      <c r="Z934">
        <v>0.74376225973678922</v>
      </c>
      <c r="AA934">
        <v>0.81524780459859247</v>
      </c>
      <c r="AB934">
        <v>0.78968439663833412</v>
      </c>
      <c r="AC934">
        <v>0.68821568649060927</v>
      </c>
      <c r="AD934">
        <v>0.72871551007854207</v>
      </c>
      <c r="AE934">
        <v>0.81608679001939344</v>
      </c>
      <c r="AH934">
        <v>0.22805477780270589</v>
      </c>
      <c r="AI934">
        <v>3.5496984693125677E-2</v>
      </c>
      <c r="AJ934">
        <v>0.14002557349172451</v>
      </c>
      <c r="AK934">
        <v>0.11942715110286573</v>
      </c>
      <c r="AL934">
        <v>3.0547157692210058E-2</v>
      </c>
      <c r="AM934">
        <v>0.11943866831464178</v>
      </c>
      <c r="AN934">
        <v>0.1349092326650958</v>
      </c>
      <c r="AO934">
        <v>1.04320786259402E-2</v>
      </c>
      <c r="AR934">
        <v>8.906041997391867E-4</v>
      </c>
      <c r="AS934">
        <v>4.1471056331351614E-3</v>
      </c>
      <c r="AT934">
        <v>0.10069255744588057</v>
      </c>
      <c r="AU934">
        <v>2.0647796268683516E-3</v>
      </c>
      <c r="AV934">
        <v>1.9747983711491846E-3</v>
      </c>
      <c r="AW934">
        <v>3.6232138305239969E-3</v>
      </c>
      <c r="AX934">
        <v>3.783478387937394E-4</v>
      </c>
      <c r="AY934">
        <v>4.1078314378371656E-4</v>
      </c>
      <c r="BB934">
        <v>5.19781504282677E-2</v>
      </c>
      <c r="BC934">
        <v>0.10301012832686385</v>
      </c>
      <c r="BE934">
        <v>30602.481504182178</v>
      </c>
      <c r="BF934">
        <v>20.379542101467134</v>
      </c>
      <c r="BG934">
        <v>32945.417327026771</v>
      </c>
      <c r="BH934">
        <v>20.327070646416793</v>
      </c>
    </row>
    <row r="935" spans="3:60" x14ac:dyDescent="0.2">
      <c r="C935" s="138">
        <v>30071.109349836002</v>
      </c>
      <c r="D935">
        <v>20.985726433136357</v>
      </c>
      <c r="E935" s="138">
        <v>31957.191332787621</v>
      </c>
      <c r="F935" s="138">
        <v>20.956942653067014</v>
      </c>
      <c r="G935" s="138">
        <v>-1886.0819829516186</v>
      </c>
      <c r="H935" s="138">
        <v>2.8783780069343123E-2</v>
      </c>
      <c r="N935" s="138"/>
      <c r="O935" s="138"/>
      <c r="P935" s="138"/>
      <c r="R935">
        <v>235.46082769264893</v>
      </c>
      <c r="S935">
        <v>55.464088473189761</v>
      </c>
      <c r="T935">
        <v>234.21416496458019</v>
      </c>
      <c r="U935">
        <v>88.421640028651282</v>
      </c>
      <c r="X935">
        <v>0.8691400501965526</v>
      </c>
      <c r="Y935">
        <v>0.64163989570221269</v>
      </c>
      <c r="Z935">
        <v>0.72763199846938287</v>
      </c>
      <c r="AA935">
        <v>0.70429769836577294</v>
      </c>
      <c r="AB935">
        <v>0.82896085736385883</v>
      </c>
      <c r="AC935">
        <v>0.78022863372468376</v>
      </c>
      <c r="AD935">
        <v>0.7887082068182939</v>
      </c>
      <c r="AE935">
        <v>0.49906056140456123</v>
      </c>
      <c r="AH935">
        <v>0.22239074672751447</v>
      </c>
      <c r="AI935">
        <v>0.17714676461021051</v>
      </c>
      <c r="AJ935">
        <v>8.8089120815239674E-2</v>
      </c>
      <c r="AK935">
        <v>0.20690803358070198</v>
      </c>
      <c r="AL935">
        <v>3.7257940900779607E-2</v>
      </c>
      <c r="AM935">
        <v>0.10722008946674499</v>
      </c>
      <c r="AN935">
        <v>2.208153905938004E-2</v>
      </c>
      <c r="AO935">
        <v>1.8488629999257267E-2</v>
      </c>
      <c r="AR935">
        <v>9.5335851272870809E-4</v>
      </c>
      <c r="AS935">
        <v>4.2803821562348446E-3</v>
      </c>
      <c r="AT935">
        <v>0.10016389988326602</v>
      </c>
      <c r="AU935">
        <v>1.8239517670923053E-3</v>
      </c>
      <c r="AV935">
        <v>1.9392550912664906E-3</v>
      </c>
      <c r="AW935">
        <v>3.3648207969851664E-3</v>
      </c>
      <c r="AX935">
        <v>3.5018280656148073E-4</v>
      </c>
      <c r="AY935">
        <v>4.8919102837441386E-4</v>
      </c>
      <c r="BB935">
        <v>4.7907213674963346E-2</v>
      </c>
      <c r="BC935">
        <v>1.5632573678382874E-2</v>
      </c>
      <c r="BE935">
        <v>30071.109349836002</v>
      </c>
      <c r="BF935">
        <v>20.985726433136357</v>
      </c>
      <c r="BG935">
        <v>31957.191332787621</v>
      </c>
      <c r="BH935">
        <v>20.956942653067014</v>
      </c>
    </row>
    <row r="936" spans="3:60" x14ac:dyDescent="0.2">
      <c r="C936" s="138">
        <v>31597.222631507037</v>
      </c>
      <c r="D936">
        <v>21.494908073900998</v>
      </c>
      <c r="E936" s="138">
        <v>33620.987615575643</v>
      </c>
      <c r="F936" s="138">
        <v>21.481141414868421</v>
      </c>
      <c r="G936" s="138">
        <v>-2023.7649840686063</v>
      </c>
      <c r="H936" s="138">
        <v>1.3766659032576456E-2</v>
      </c>
      <c r="N936" s="138"/>
      <c r="O936" s="138"/>
      <c r="P936" s="138"/>
      <c r="R936">
        <v>287.86482958019747</v>
      </c>
      <c r="S936">
        <v>71.825478747981705</v>
      </c>
      <c r="T936">
        <v>203.24920711812541</v>
      </c>
      <c r="U936">
        <v>104.37249139627686</v>
      </c>
      <c r="X936">
        <v>0.86602781356364189</v>
      </c>
      <c r="Y936">
        <v>0.75546285900451693</v>
      </c>
      <c r="Z936">
        <v>0.86357587688259385</v>
      </c>
      <c r="AA936">
        <v>0.83921752735920641</v>
      </c>
      <c r="AB936">
        <v>0.80772589301724496</v>
      </c>
      <c r="AC936">
        <v>0.74263571383481042</v>
      </c>
      <c r="AD936">
        <v>0.87923988427787747</v>
      </c>
      <c r="AE936">
        <v>0.88273938599088841</v>
      </c>
      <c r="AH936">
        <v>0.17775786074177635</v>
      </c>
      <c r="AI936">
        <v>0.17648028188077181</v>
      </c>
      <c r="AJ936">
        <v>0.20044362354064504</v>
      </c>
      <c r="AK936">
        <v>3.3385510393654783E-2</v>
      </c>
      <c r="AL936">
        <v>7.8001878323303964E-2</v>
      </c>
      <c r="AM936">
        <v>0.12813307053370315</v>
      </c>
      <c r="AN936">
        <v>8.1135823823034858E-2</v>
      </c>
      <c r="AO936">
        <v>0.12380474366308292</v>
      </c>
      <c r="AR936">
        <v>9.9887936489861939E-4</v>
      </c>
      <c r="AS936">
        <v>4.6750468614643603E-3</v>
      </c>
      <c r="AT936">
        <v>0.10048726180734657</v>
      </c>
      <c r="AU936">
        <v>1.7194107620185218E-3</v>
      </c>
      <c r="AV936">
        <v>2.037303229557641E-3</v>
      </c>
      <c r="AW936">
        <v>3.3053496067325023E-3</v>
      </c>
      <c r="AX936">
        <v>4.4045356267541358E-4</v>
      </c>
      <c r="AY936">
        <v>3.7964045227424089E-4</v>
      </c>
      <c r="BB936">
        <v>5.5654121380379284E-2</v>
      </c>
      <c r="BC936">
        <v>6.3365287270170323E-2</v>
      </c>
      <c r="BE936">
        <v>31597.222631507037</v>
      </c>
      <c r="BF936">
        <v>21.494908073900998</v>
      </c>
      <c r="BG936">
        <v>33620.987615575643</v>
      </c>
      <c r="BH936">
        <v>21.481141414868421</v>
      </c>
    </row>
    <row r="937" spans="3:60" x14ac:dyDescent="0.2">
      <c r="C937" s="138">
        <v>27790.928156629565</v>
      </c>
      <c r="D937">
        <v>21.110291755923665</v>
      </c>
      <c r="E937" s="138">
        <v>29774.475887600991</v>
      </c>
      <c r="F937" s="138">
        <v>21.080361409224945</v>
      </c>
      <c r="G937" s="138">
        <v>-1983.5477309714261</v>
      </c>
      <c r="H937" s="138">
        <v>2.9930346698719745E-2</v>
      </c>
      <c r="N937" s="138"/>
      <c r="O937" s="138"/>
      <c r="P937" s="138"/>
      <c r="R937">
        <v>391.986303668208</v>
      </c>
      <c r="S937">
        <v>66.212840268115585</v>
      </c>
      <c r="T937">
        <v>261.69476163294519</v>
      </c>
      <c r="U937">
        <v>88.477215690538202</v>
      </c>
      <c r="X937">
        <v>0.65039223594411477</v>
      </c>
      <c r="Y937">
        <v>0.8568769665450986</v>
      </c>
      <c r="Z937">
        <v>0.69094500057223085</v>
      </c>
      <c r="AA937">
        <v>0.75267512884853649</v>
      </c>
      <c r="AB937">
        <v>0.90983187174420543</v>
      </c>
      <c r="AC937">
        <v>0.90900295167805922</v>
      </c>
      <c r="AD937">
        <v>0.77026649720968199</v>
      </c>
      <c r="AE937">
        <v>0.56875292926816712</v>
      </c>
      <c r="AH937">
        <v>6.0046077246619256E-2</v>
      </c>
      <c r="AI937">
        <v>0.21547720297040374</v>
      </c>
      <c r="AJ937">
        <v>0.26017422533985157</v>
      </c>
      <c r="AK937">
        <v>0.21495119750867742</v>
      </c>
      <c r="AL937">
        <v>0.22154478230701546</v>
      </c>
      <c r="AM937">
        <v>4.9467830341779484E-2</v>
      </c>
      <c r="AN937">
        <v>6.8008769824674076E-2</v>
      </c>
      <c r="AO937">
        <v>0.18918963366859876</v>
      </c>
      <c r="AR937">
        <v>1.1437390968369598E-3</v>
      </c>
      <c r="AS937">
        <v>4.3957479534214514E-3</v>
      </c>
      <c r="AT937">
        <v>0.10060319652886307</v>
      </c>
      <c r="AU937">
        <v>2.0824405675422542E-3</v>
      </c>
      <c r="AV937">
        <v>1.7191697481734186E-3</v>
      </c>
      <c r="AW937">
        <v>3.1260534692651495E-3</v>
      </c>
      <c r="AX937">
        <v>3.3991144311332227E-4</v>
      </c>
      <c r="AY937">
        <v>3.5472237922422599E-4</v>
      </c>
      <c r="BB937">
        <v>4.1489964735462258E-2</v>
      </c>
      <c r="BC937">
        <v>2.321234290546878E-2</v>
      </c>
      <c r="BE937">
        <v>27790.928156629565</v>
      </c>
      <c r="BF937">
        <v>21.110291755923665</v>
      </c>
      <c r="BG937">
        <v>29774.475887600991</v>
      </c>
      <c r="BH937">
        <v>21.080361409224945</v>
      </c>
    </row>
    <row r="938" spans="3:60" x14ac:dyDescent="0.2">
      <c r="C938" s="138">
        <v>27616.194233357797</v>
      </c>
      <c r="D938">
        <v>21.431801386623786</v>
      </c>
      <c r="E938" s="138">
        <v>29466.815530015618</v>
      </c>
      <c r="F938" s="138">
        <v>21.424143771597269</v>
      </c>
      <c r="G938" s="138">
        <v>-1850.6212966578205</v>
      </c>
      <c r="H938" s="138">
        <v>7.6576150265168508E-3</v>
      </c>
      <c r="N938" s="138"/>
      <c r="O938" s="138"/>
      <c r="P938" s="138"/>
      <c r="R938">
        <v>241.19346846848387</v>
      </c>
      <c r="S938">
        <v>60.423245148365481</v>
      </c>
      <c r="T938">
        <v>277.71271034478548</v>
      </c>
      <c r="U938">
        <v>91.685278872890478</v>
      </c>
      <c r="X938">
        <v>0.6671433142406199</v>
      </c>
      <c r="Y938">
        <v>0.9249301569601448</v>
      </c>
      <c r="Z938">
        <v>0.92551890831059136</v>
      </c>
      <c r="AA938">
        <v>0.87318815736050626</v>
      </c>
      <c r="AB938">
        <v>0.94044803807750643</v>
      </c>
      <c r="AC938">
        <v>0.94101130263795241</v>
      </c>
      <c r="AD938">
        <v>0.66638544713923853</v>
      </c>
      <c r="AE938">
        <v>0.79412494977176706</v>
      </c>
      <c r="AH938">
        <v>0.24599712768718018</v>
      </c>
      <c r="AI938">
        <v>6.2422148961470469E-2</v>
      </c>
      <c r="AJ938">
        <v>0.11993522408064627</v>
      </c>
      <c r="AK938">
        <v>6.840564262312665E-2</v>
      </c>
      <c r="AL938">
        <v>8.6160746020456092E-2</v>
      </c>
      <c r="AM938">
        <v>6.3322517525391531E-3</v>
      </c>
      <c r="AN938">
        <v>3.2679225431093473E-2</v>
      </c>
      <c r="AO938">
        <v>3.9363571471302761E-2</v>
      </c>
      <c r="AR938">
        <v>1.0003038495466354E-3</v>
      </c>
      <c r="AS938">
        <v>4.4666255092412656E-3</v>
      </c>
      <c r="AT938">
        <v>0.1011659523323597</v>
      </c>
      <c r="AU938">
        <v>1.9901586227569746E-3</v>
      </c>
      <c r="AV938">
        <v>1.9858703641503252E-3</v>
      </c>
      <c r="AW938">
        <v>3.216251080790137E-3</v>
      </c>
      <c r="AX938">
        <v>3.7018650779233476E-4</v>
      </c>
      <c r="AY938">
        <v>5.9910773400384532E-4</v>
      </c>
      <c r="BB938">
        <v>4.8019160413896332E-2</v>
      </c>
      <c r="BC938">
        <v>6.6109313356944366E-2</v>
      </c>
      <c r="BE938">
        <v>27616.194233357797</v>
      </c>
      <c r="BF938">
        <v>21.431801386623786</v>
      </c>
      <c r="BG938">
        <v>29466.815530015618</v>
      </c>
      <c r="BH938">
        <v>21.424143771597269</v>
      </c>
    </row>
    <row r="939" spans="3:60" x14ac:dyDescent="0.2">
      <c r="C939" s="138">
        <v>32384.346823427415</v>
      </c>
      <c r="D939">
        <v>21.496619139505519</v>
      </c>
      <c r="E939" s="138">
        <v>34478.331584089676</v>
      </c>
      <c r="F939" s="138">
        <v>21.507897918516409</v>
      </c>
      <c r="G939" s="138">
        <v>-2093.9847606622607</v>
      </c>
      <c r="H939" s="138">
        <v>-1.1278779010890361E-2</v>
      </c>
      <c r="N939" s="138"/>
      <c r="O939" s="138"/>
      <c r="P939" s="138"/>
      <c r="R939">
        <v>180.85806169276458</v>
      </c>
      <c r="S939">
        <v>65.312487241621128</v>
      </c>
      <c r="T939">
        <v>258.05823903353291</v>
      </c>
      <c r="U939">
        <v>82.188153731165499</v>
      </c>
      <c r="X939">
        <v>0.78936622233788145</v>
      </c>
      <c r="Y939">
        <v>0.77784214414482067</v>
      </c>
      <c r="Z939">
        <v>0.77233682310120211</v>
      </c>
      <c r="AA939">
        <v>0.80943426753449566</v>
      </c>
      <c r="AB939">
        <v>0.925467473553514</v>
      </c>
      <c r="AC939">
        <v>0.68742122529330463</v>
      </c>
      <c r="AD939">
        <v>0.73125107754475538</v>
      </c>
      <c r="AE939">
        <v>0.69673978753737309</v>
      </c>
      <c r="AH939">
        <v>8.6862797654089219E-2</v>
      </c>
      <c r="AI939">
        <v>0.32086792749650483</v>
      </c>
      <c r="AJ939">
        <v>8.093974601804832E-2</v>
      </c>
      <c r="AK939">
        <v>0.18446600436534522</v>
      </c>
      <c r="AL939">
        <v>0.14077241612428282</v>
      </c>
      <c r="AM939">
        <v>6.0163647295178757E-2</v>
      </c>
      <c r="AN939">
        <v>9.6009024835744583E-2</v>
      </c>
      <c r="AO939">
        <v>5.3565497769325843E-2</v>
      </c>
      <c r="AR939">
        <v>9.3916195954912851E-4</v>
      </c>
      <c r="AS939">
        <v>4.9126606716940469E-3</v>
      </c>
      <c r="AT939">
        <v>9.9492818588392484E-2</v>
      </c>
      <c r="AU939">
        <v>1.9325219076539988E-3</v>
      </c>
      <c r="AV939">
        <v>2.1229751086568882E-3</v>
      </c>
      <c r="AW939">
        <v>3.2302472413209336E-3</v>
      </c>
      <c r="AX939">
        <v>3.7425785587646656E-4</v>
      </c>
      <c r="AY939">
        <v>4.4077593380684735E-4</v>
      </c>
      <c r="BB939">
        <v>4.7734424782250845E-2</v>
      </c>
      <c r="BC939">
        <v>6.8541385067771632E-2</v>
      </c>
      <c r="BE939">
        <v>32384.346823427415</v>
      </c>
      <c r="BF939">
        <v>21.496619139505519</v>
      </c>
      <c r="BG939">
        <v>34478.331584089676</v>
      </c>
      <c r="BH939">
        <v>21.507897918516409</v>
      </c>
    </row>
    <row r="940" spans="3:60" x14ac:dyDescent="0.2">
      <c r="C940" s="138">
        <v>39115.523423733721</v>
      </c>
      <c r="D940">
        <v>21.172175463051389</v>
      </c>
      <c r="E940" s="138">
        <v>41748.352693625689</v>
      </c>
      <c r="F940" s="138">
        <v>21.189929706527355</v>
      </c>
      <c r="G940" s="138">
        <v>-2632.8292698919686</v>
      </c>
      <c r="H940" s="138">
        <v>-1.7754243475966547E-2</v>
      </c>
      <c r="N940" s="138"/>
      <c r="O940" s="138"/>
      <c r="P940" s="138"/>
      <c r="R940">
        <v>254.32868552749503</v>
      </c>
      <c r="S940">
        <v>65.598223375448868</v>
      </c>
      <c r="T940">
        <v>236.64677078431379</v>
      </c>
      <c r="U940">
        <v>98.181555362828959</v>
      </c>
      <c r="X940">
        <v>0.68081525533056308</v>
      </c>
      <c r="Y940">
        <v>0.68791174929532284</v>
      </c>
      <c r="Z940">
        <v>0.83770198815535923</v>
      </c>
      <c r="AA940">
        <v>0.91490329381320201</v>
      </c>
      <c r="AB940">
        <v>0.73834209718139554</v>
      </c>
      <c r="AC940">
        <v>0.90096096286437888</v>
      </c>
      <c r="AD940">
        <v>0.56358268250512267</v>
      </c>
      <c r="AE940">
        <v>0.82310577467949553</v>
      </c>
      <c r="AH940">
        <v>0.18130846106808685</v>
      </c>
      <c r="AI940">
        <v>7.1062878495314341E-2</v>
      </c>
      <c r="AJ940">
        <v>0.18345854128698391</v>
      </c>
      <c r="AK940">
        <v>0.11982792105586759</v>
      </c>
      <c r="AL940">
        <v>0.16685109462443726</v>
      </c>
      <c r="AM940">
        <v>0.14630209709271857</v>
      </c>
      <c r="AN940">
        <v>0.15836022604863031</v>
      </c>
      <c r="AO940">
        <v>0.11766424610202397</v>
      </c>
      <c r="AR940">
        <v>8.7344574204809998E-4</v>
      </c>
      <c r="AS940">
        <v>4.9819593260012063E-3</v>
      </c>
      <c r="AT940">
        <v>9.9788351647593324E-2</v>
      </c>
      <c r="AU940">
        <v>2.3839745151238434E-3</v>
      </c>
      <c r="AV940">
        <v>2.4300786414971354E-3</v>
      </c>
      <c r="AW940">
        <v>3.396760019261849E-3</v>
      </c>
      <c r="AX940">
        <v>3.791309140751387E-4</v>
      </c>
      <c r="AY940">
        <v>5.2852498175004481E-4</v>
      </c>
      <c r="BB940">
        <v>4.4568296959427961E-2</v>
      </c>
      <c r="BC940">
        <v>3.4505459267889567E-2</v>
      </c>
      <c r="BE940">
        <v>39115.523423733721</v>
      </c>
      <c r="BF940">
        <v>21.172175463051389</v>
      </c>
      <c r="BG940">
        <v>41748.352693625689</v>
      </c>
      <c r="BH940">
        <v>21.189929706527355</v>
      </c>
    </row>
    <row r="941" spans="3:60" x14ac:dyDescent="0.2">
      <c r="C941" s="138">
        <v>35774.417808734623</v>
      </c>
      <c r="D941">
        <v>21.546179963458638</v>
      </c>
      <c r="E941" s="138">
        <v>38137.157968196341</v>
      </c>
      <c r="F941" s="138">
        <v>21.55566380519759</v>
      </c>
      <c r="G941" s="138">
        <v>-2362.7401594617186</v>
      </c>
      <c r="H941" s="138">
        <v>-9.4838417389517815E-3</v>
      </c>
      <c r="N941" s="138"/>
      <c r="O941" s="138"/>
      <c r="P941" s="138"/>
      <c r="R941">
        <v>93.585211865910338</v>
      </c>
      <c r="S941">
        <v>57.080237307016887</v>
      </c>
      <c r="T941">
        <v>281.26034588673963</v>
      </c>
      <c r="U941">
        <v>103.64528959527837</v>
      </c>
      <c r="X941">
        <v>0.67516054490973532</v>
      </c>
      <c r="Y941">
        <v>0.75506620224589271</v>
      </c>
      <c r="Z941">
        <v>0.64165086851097963</v>
      </c>
      <c r="AA941">
        <v>0.7219044488930545</v>
      </c>
      <c r="AB941">
        <v>0.88207598477593774</v>
      </c>
      <c r="AC941">
        <v>0.78041697789897946</v>
      </c>
      <c r="AD941">
        <v>0.50520353376749816</v>
      </c>
      <c r="AE941">
        <v>0.71116340131552469</v>
      </c>
      <c r="AH941">
        <v>7.1094952597419714E-2</v>
      </c>
      <c r="AI941">
        <v>6.6438849593764893E-2</v>
      </c>
      <c r="AJ941">
        <v>8.927260958855876E-2</v>
      </c>
      <c r="AK941">
        <v>6.0023847828557297E-2</v>
      </c>
      <c r="AL941">
        <v>0.19405702606560271</v>
      </c>
      <c r="AM941">
        <v>9.4557713567701929E-2</v>
      </c>
      <c r="AN941">
        <v>5.4300623063236686E-2</v>
      </c>
      <c r="AO941">
        <v>0.1274039551871351</v>
      </c>
      <c r="AR941">
        <v>8.58469497382645E-4</v>
      </c>
      <c r="AS941">
        <v>4.2385043238522303E-3</v>
      </c>
      <c r="AT941">
        <v>9.9734394134809404E-2</v>
      </c>
      <c r="AU941">
        <v>2.0019242962631134E-3</v>
      </c>
      <c r="AV941">
        <v>1.888275371967729E-3</v>
      </c>
      <c r="AW941">
        <v>3.2890896124293024E-3</v>
      </c>
      <c r="AX941">
        <v>3.4814635394385938E-4</v>
      </c>
      <c r="AY941">
        <v>4.263273325246685E-4</v>
      </c>
      <c r="BB941">
        <v>5.3945716926243059E-2</v>
      </c>
      <c r="BC941">
        <v>8.8291920382365552E-2</v>
      </c>
      <c r="BE941">
        <v>35774.417808734623</v>
      </c>
      <c r="BF941">
        <v>21.546179963458638</v>
      </c>
      <c r="BG941">
        <v>38137.157968196341</v>
      </c>
      <c r="BH941">
        <v>21.55566380519759</v>
      </c>
    </row>
    <row r="942" spans="3:60" x14ac:dyDescent="0.2">
      <c r="C942" s="138">
        <v>37521.711030150676</v>
      </c>
      <c r="D942">
        <v>19.511387929598879</v>
      </c>
      <c r="E942" s="138">
        <v>39754.460415299378</v>
      </c>
      <c r="F942" s="138">
        <v>19.464888576923055</v>
      </c>
      <c r="G942" s="138">
        <v>-2232.7493851487015</v>
      </c>
      <c r="H942" s="138">
        <v>4.6499352675823502E-2</v>
      </c>
      <c r="N942" s="138"/>
      <c r="O942" s="138"/>
      <c r="P942" s="138"/>
      <c r="R942">
        <v>195.1853472435177</v>
      </c>
      <c r="S942">
        <v>60.982674952104766</v>
      </c>
      <c r="T942">
        <v>257.85596555120389</v>
      </c>
      <c r="U942">
        <v>121.97344947288087</v>
      </c>
      <c r="X942">
        <v>0.51636561724054864</v>
      </c>
      <c r="Y942">
        <v>0.75156547516825511</v>
      </c>
      <c r="Z942">
        <v>0.83842019726314421</v>
      </c>
      <c r="AA942">
        <v>0.78693804620035612</v>
      </c>
      <c r="AB942">
        <v>0.52902514599886741</v>
      </c>
      <c r="AC942">
        <v>0.8877351099261952</v>
      </c>
      <c r="AD942">
        <v>0.71964420469255908</v>
      </c>
      <c r="AE942">
        <v>0.81633843195277755</v>
      </c>
      <c r="AH942">
        <v>0.17746790318987204</v>
      </c>
      <c r="AI942">
        <v>1.1621552950979552E-2</v>
      </c>
      <c r="AJ942">
        <v>0.12675093666968951</v>
      </c>
      <c r="AK942">
        <v>0.28760745437405943</v>
      </c>
      <c r="AL942">
        <v>0.12613996708693287</v>
      </c>
      <c r="AM942">
        <v>0.1252125999837671</v>
      </c>
      <c r="AN942">
        <v>9.4358774594139438E-2</v>
      </c>
      <c r="AO942">
        <v>0.13088878679355587</v>
      </c>
      <c r="AR942">
        <v>8.3515903787589917E-4</v>
      </c>
      <c r="AS942">
        <v>4.5483518201397954E-3</v>
      </c>
      <c r="AT942">
        <v>0.1006115812446946</v>
      </c>
      <c r="AU942">
        <v>1.9640756544918292E-3</v>
      </c>
      <c r="AV942">
        <v>1.9147598142125262E-3</v>
      </c>
      <c r="AW942">
        <v>3.3394270020823675E-3</v>
      </c>
      <c r="AX942">
        <v>3.9210975634300545E-4</v>
      </c>
      <c r="AY942">
        <v>5.0941735112053355E-4</v>
      </c>
      <c r="BB942">
        <v>5.4600709322530139E-2</v>
      </c>
      <c r="BC942">
        <v>3.9761327589247449E-2</v>
      </c>
      <c r="BE942">
        <v>37521.711030150676</v>
      </c>
      <c r="BF942">
        <v>19.511387929598879</v>
      </c>
      <c r="BG942">
        <v>39754.460415299378</v>
      </c>
      <c r="BH942">
        <v>19.464888576923055</v>
      </c>
    </row>
    <row r="943" spans="3:60" x14ac:dyDescent="0.2">
      <c r="C943" s="138">
        <v>36158.337880946921</v>
      </c>
      <c r="D943">
        <v>20.459195973745363</v>
      </c>
      <c r="E943" s="138">
        <v>38716.8952127472</v>
      </c>
      <c r="F943" s="138">
        <v>20.425481273732949</v>
      </c>
      <c r="G943" s="138">
        <v>-2558.5573318002789</v>
      </c>
      <c r="H943" s="138">
        <v>3.3714700012414056E-2</v>
      </c>
      <c r="N943" s="138"/>
      <c r="O943" s="138"/>
      <c r="P943" s="138"/>
      <c r="R943">
        <v>307.61785475786576</v>
      </c>
      <c r="S943">
        <v>69.643581051076339</v>
      </c>
      <c r="T943">
        <v>237.7594626938116</v>
      </c>
      <c r="U943">
        <v>88.30727491568004</v>
      </c>
      <c r="X943">
        <v>0.75573146328425933</v>
      </c>
      <c r="Y943">
        <v>0.70138698346573047</v>
      </c>
      <c r="Z943">
        <v>0.75073945105223372</v>
      </c>
      <c r="AA943">
        <v>0.83732368190242168</v>
      </c>
      <c r="AB943">
        <v>0.58785039168418629</v>
      </c>
      <c r="AC943">
        <v>0.88490288978989007</v>
      </c>
      <c r="AD943">
        <v>0.30220411684686815</v>
      </c>
      <c r="AE943">
        <v>0.72207267804243602</v>
      </c>
      <c r="AH943">
        <v>0.35454589224558397</v>
      </c>
      <c r="AI943">
        <v>0.28809582829524438</v>
      </c>
      <c r="AJ943">
        <v>0.20832410563222747</v>
      </c>
      <c r="AK943">
        <v>0.12202424427317737</v>
      </c>
      <c r="AL943">
        <v>0.12416268501400018</v>
      </c>
      <c r="AM943">
        <v>0.18953188011567546</v>
      </c>
      <c r="AN943">
        <v>0.11524308252552895</v>
      </c>
      <c r="AO943">
        <v>6.912150156462471E-2</v>
      </c>
      <c r="AR943">
        <v>9.8481625642310444E-4</v>
      </c>
      <c r="AS943">
        <v>4.3639737261084218E-3</v>
      </c>
      <c r="AT943">
        <v>0.10110396139020328</v>
      </c>
      <c r="AU943">
        <v>2.4162627033861295E-3</v>
      </c>
      <c r="AV943">
        <v>2.0042057464060292E-3</v>
      </c>
      <c r="AW943">
        <v>3.3610552255090645E-3</v>
      </c>
      <c r="AX943">
        <v>3.9960540189820648E-4</v>
      </c>
      <c r="AY943">
        <v>5.2748885244469079E-4</v>
      </c>
      <c r="BB943">
        <v>5.934961408062478E-2</v>
      </c>
      <c r="BC943">
        <v>9.7179473889954293E-2</v>
      </c>
      <c r="BE943">
        <v>36158.337880946921</v>
      </c>
      <c r="BF943">
        <v>20.459195973745363</v>
      </c>
      <c r="BG943">
        <v>38716.8952127472</v>
      </c>
      <c r="BH943">
        <v>20.425481273732949</v>
      </c>
    </row>
    <row r="944" spans="3:60" x14ac:dyDescent="0.2">
      <c r="C944" s="138">
        <v>32802.286591187294</v>
      </c>
      <c r="D944">
        <v>21.023598182008694</v>
      </c>
      <c r="E944" s="138">
        <v>34829.369911317728</v>
      </c>
      <c r="F944" s="138">
        <v>21.030801043494389</v>
      </c>
      <c r="G944" s="138">
        <v>-2027.083320130434</v>
      </c>
      <c r="H944" s="138">
        <v>-7.2028614856947115E-3</v>
      </c>
      <c r="N944" s="138"/>
      <c r="O944" s="138"/>
      <c r="P944" s="138"/>
      <c r="R944">
        <v>112.97320917279842</v>
      </c>
      <c r="S944">
        <v>68.32305470707783</v>
      </c>
      <c r="T944">
        <v>207.76794900530564</v>
      </c>
      <c r="U944">
        <v>74.904723994991983</v>
      </c>
      <c r="X944">
        <v>0.8005815506140006</v>
      </c>
      <c r="Y944">
        <v>0.76766580217832547</v>
      </c>
      <c r="Z944">
        <v>0.53669813659823706</v>
      </c>
      <c r="AA944">
        <v>0.81676816933554441</v>
      </c>
      <c r="AB944">
        <v>0.75283660848606526</v>
      </c>
      <c r="AC944">
        <v>0.7329715195388824</v>
      </c>
      <c r="AD944">
        <v>0.784971492916404</v>
      </c>
      <c r="AE944">
        <v>0.81041419937329429</v>
      </c>
      <c r="AH944">
        <v>0.29594907526004166</v>
      </c>
      <c r="AI944">
        <v>0.22713254581128217</v>
      </c>
      <c r="AJ944">
        <v>7.5539966454134966E-2</v>
      </c>
      <c r="AK944">
        <v>0.11204279527803918</v>
      </c>
      <c r="AL944">
        <v>7.5861188600900187E-2</v>
      </c>
      <c r="AM944">
        <v>0.24211096492154693</v>
      </c>
      <c r="AN944">
        <v>8.0218262717423716E-2</v>
      </c>
      <c r="AO944">
        <v>2.5645873072331016E-2</v>
      </c>
      <c r="AR944">
        <v>8.590080209696522E-4</v>
      </c>
      <c r="AS944">
        <v>5.2276605393936082E-3</v>
      </c>
      <c r="AT944">
        <v>0.10010183859584199</v>
      </c>
      <c r="AU944">
        <v>2.0895906504890815E-3</v>
      </c>
      <c r="AV944">
        <v>1.7661198222720027E-3</v>
      </c>
      <c r="AW944">
        <v>3.4410571094558584E-3</v>
      </c>
      <c r="AX944">
        <v>4.0554282211024972E-4</v>
      </c>
      <c r="AY944">
        <v>5.2218158138273019E-4</v>
      </c>
      <c r="BB944">
        <v>4.1211503278523846E-2</v>
      </c>
      <c r="BC944">
        <v>8.2599818526763014E-2</v>
      </c>
      <c r="BE944">
        <v>32802.286591187294</v>
      </c>
      <c r="BF944">
        <v>21.023598182008694</v>
      </c>
      <c r="BG944">
        <v>34829.369911317728</v>
      </c>
      <c r="BH944">
        <v>21.030801043494389</v>
      </c>
    </row>
    <row r="945" spans="3:60" x14ac:dyDescent="0.2">
      <c r="C945" s="138">
        <v>31626.620568961873</v>
      </c>
      <c r="D945">
        <v>21.49207434015749</v>
      </c>
      <c r="E945" s="138">
        <v>33309.173498192235</v>
      </c>
      <c r="F945" s="138">
        <v>21.487923857948488</v>
      </c>
      <c r="G945" s="138">
        <v>-1682.5529292303618</v>
      </c>
      <c r="H945" s="138">
        <v>4.1504822090026039E-3</v>
      </c>
      <c r="N945" s="138"/>
      <c r="O945" s="138"/>
      <c r="P945" s="138"/>
      <c r="R945">
        <v>315.24362555360875</v>
      </c>
      <c r="S945">
        <v>57.334431066602143</v>
      </c>
      <c r="T945">
        <v>285.8308639709208</v>
      </c>
      <c r="U945">
        <v>114.7330002061428</v>
      </c>
      <c r="X945">
        <v>0.84933066098741239</v>
      </c>
      <c r="Y945">
        <v>0.81806827613703248</v>
      </c>
      <c r="Z945">
        <v>0.75783561869685478</v>
      </c>
      <c r="AA945">
        <v>0.7588977124246542</v>
      </c>
      <c r="AB945">
        <v>0.64709751336003873</v>
      </c>
      <c r="AC945">
        <v>0.68992542779473232</v>
      </c>
      <c r="AD945">
        <v>0.91343384523865723</v>
      </c>
      <c r="AE945">
        <v>0.89352118688892879</v>
      </c>
      <c r="AH945">
        <v>8.172765741527821E-2</v>
      </c>
      <c r="AI945">
        <v>6.5344681613332289E-2</v>
      </c>
      <c r="AJ945">
        <v>0.1724842095600464</v>
      </c>
      <c r="AK945">
        <v>4.6504624532254457E-2</v>
      </c>
      <c r="AL945">
        <v>9.7400150182289758E-2</v>
      </c>
      <c r="AM945">
        <v>5.1398428421234543E-2</v>
      </c>
      <c r="AN945">
        <v>6.840908692239589E-2</v>
      </c>
      <c r="AO945">
        <v>0.16574661065319429</v>
      </c>
      <c r="AR945">
        <v>9.2618294329105399E-4</v>
      </c>
      <c r="AS945">
        <v>4.3445544292369858E-3</v>
      </c>
      <c r="AT945">
        <v>9.8994326444113226E-2</v>
      </c>
      <c r="AU945">
        <v>2.1238818963432715E-3</v>
      </c>
      <c r="AV945">
        <v>1.8411388921292131E-3</v>
      </c>
      <c r="AW945">
        <v>3.5508898435908653E-3</v>
      </c>
      <c r="AX945">
        <v>4.5108021419715261E-4</v>
      </c>
      <c r="AY945">
        <v>5.3725730217102363E-4</v>
      </c>
      <c r="BB945">
        <v>5.5738517468130744E-2</v>
      </c>
      <c r="BC945">
        <v>3.4297864669575448E-2</v>
      </c>
      <c r="BE945">
        <v>31626.620568961873</v>
      </c>
      <c r="BF945">
        <v>21.49207434015749</v>
      </c>
      <c r="BG945">
        <v>33309.173498192235</v>
      </c>
      <c r="BH945">
        <v>21.487923857948488</v>
      </c>
    </row>
    <row r="946" spans="3:60" x14ac:dyDescent="0.2">
      <c r="C946" s="138">
        <v>36060.594698887318</v>
      </c>
      <c r="D946">
        <v>20.627023941414159</v>
      </c>
      <c r="E946" s="138">
        <v>38602.634218781481</v>
      </c>
      <c r="F946" s="138">
        <v>20.609875127058046</v>
      </c>
      <c r="G946" s="138">
        <v>-2542.0395198941624</v>
      </c>
      <c r="H946" s="138">
        <v>1.7148814356112041E-2</v>
      </c>
      <c r="N946" s="138"/>
      <c r="O946" s="138"/>
      <c r="P946" s="138"/>
      <c r="R946">
        <v>304.44826873726709</v>
      </c>
      <c r="S946">
        <v>59.155510187116967</v>
      </c>
      <c r="T946">
        <v>232.89940791371612</v>
      </c>
      <c r="U946">
        <v>86.923640728320848</v>
      </c>
      <c r="X946">
        <v>0.76379968109448848</v>
      </c>
      <c r="Y946">
        <v>0.82806198266182551</v>
      </c>
      <c r="Z946">
        <v>0.78717417527783873</v>
      </c>
      <c r="AA946">
        <v>0.70895886867923641</v>
      </c>
      <c r="AB946">
        <v>0.48741295788888056</v>
      </c>
      <c r="AC946">
        <v>0.67531706160057137</v>
      </c>
      <c r="AD946">
        <v>0.92235118967489216</v>
      </c>
      <c r="AE946">
        <v>0.62988503308890453</v>
      </c>
      <c r="AH946">
        <v>7.7678591154713317E-2</v>
      </c>
      <c r="AI946">
        <v>6.8446034931281652E-2</v>
      </c>
      <c r="AJ946">
        <v>0.19969032422380129</v>
      </c>
      <c r="AK946">
        <v>9.4294835367339402E-2</v>
      </c>
      <c r="AL946">
        <v>1.9258704249702552E-2</v>
      </c>
      <c r="AM946">
        <v>0.3660155367323662</v>
      </c>
      <c r="AN946">
        <v>4.8858192718081783E-2</v>
      </c>
      <c r="AO946">
        <v>0.16028643957637501</v>
      </c>
      <c r="AR946">
        <v>8.1606064735970975E-4</v>
      </c>
      <c r="AS946">
        <v>4.7054634510662607E-3</v>
      </c>
      <c r="AT946">
        <v>9.9968852971979646E-2</v>
      </c>
      <c r="AU946">
        <v>2.0403451408056439E-3</v>
      </c>
      <c r="AV946">
        <v>1.956442291876621E-3</v>
      </c>
      <c r="AW946">
        <v>3.3505937397866493E-3</v>
      </c>
      <c r="AX946">
        <v>4.0399464340701297E-4</v>
      </c>
      <c r="AY946">
        <v>5.3769080500654098E-4</v>
      </c>
      <c r="BB946">
        <v>5.0303296592628999E-2</v>
      </c>
      <c r="BC946">
        <v>5.5029277787858155E-2</v>
      </c>
      <c r="BE946">
        <v>36060.594698887318</v>
      </c>
      <c r="BF946">
        <v>20.627023941414159</v>
      </c>
      <c r="BG946">
        <v>38602.634218781481</v>
      </c>
      <c r="BH946">
        <v>20.609875127058046</v>
      </c>
    </row>
    <row r="947" spans="3:60" x14ac:dyDescent="0.2">
      <c r="C947" s="138">
        <v>39068.401635415881</v>
      </c>
      <c r="D947">
        <v>20.83078510988528</v>
      </c>
      <c r="E947" s="138">
        <v>41519.230264852493</v>
      </c>
      <c r="F947" s="138">
        <v>20.801818119667402</v>
      </c>
      <c r="G947" s="138">
        <v>-2450.8286294366117</v>
      </c>
      <c r="H947" s="138">
        <v>2.8966990217877964E-2</v>
      </c>
      <c r="N947" s="138"/>
      <c r="O947" s="138"/>
      <c r="P947" s="138"/>
      <c r="R947">
        <v>102.61603805068674</v>
      </c>
      <c r="S947">
        <v>55.646273929681094</v>
      </c>
      <c r="T947">
        <v>208.76117370943984</v>
      </c>
      <c r="U947">
        <v>103.28910844000001</v>
      </c>
      <c r="X947">
        <v>0.8116870711041495</v>
      </c>
      <c r="Y947">
        <v>0.81799626305266881</v>
      </c>
      <c r="Z947">
        <v>0.72205215058334826</v>
      </c>
      <c r="AA947">
        <v>0.65273926869705068</v>
      </c>
      <c r="AB947">
        <v>0.9027754233613321</v>
      </c>
      <c r="AC947">
        <v>0.29365130564784125</v>
      </c>
      <c r="AD947">
        <v>0.72719687201337846</v>
      </c>
      <c r="AE947">
        <v>0.50888818335716224</v>
      </c>
      <c r="AH947">
        <v>0.10442620248371337</v>
      </c>
      <c r="AI947">
        <v>0.13365683235081127</v>
      </c>
      <c r="AJ947">
        <v>0.36170809529198256</v>
      </c>
      <c r="AK947">
        <v>5.4670266802328005E-3</v>
      </c>
      <c r="AL947">
        <v>0.14579285559428135</v>
      </c>
      <c r="AM947">
        <v>0.15480881243308786</v>
      </c>
      <c r="AN947">
        <v>2.7723364268897766E-2</v>
      </c>
      <c r="AO947">
        <v>5.0116343129842145E-2</v>
      </c>
      <c r="AR947">
        <v>7.8473894053220756E-4</v>
      </c>
      <c r="AS947">
        <v>4.7247995984766034E-3</v>
      </c>
      <c r="AT947">
        <v>9.861791092486126E-2</v>
      </c>
      <c r="AU947">
        <v>1.8726063459821307E-3</v>
      </c>
      <c r="AV947">
        <v>2.1183424115207572E-3</v>
      </c>
      <c r="AW947">
        <v>3.1184255706905506E-3</v>
      </c>
      <c r="AX947">
        <v>4.2003553666647431E-4</v>
      </c>
      <c r="AY947">
        <v>5.10288451109564E-4</v>
      </c>
      <c r="BB947">
        <v>4.2369855336376279E-2</v>
      </c>
      <c r="BC947">
        <v>6.3207604920248683E-2</v>
      </c>
      <c r="BE947">
        <v>39068.401635415881</v>
      </c>
      <c r="BF947">
        <v>20.83078510988528</v>
      </c>
      <c r="BG947">
        <v>41519.230264852493</v>
      </c>
      <c r="BH947">
        <v>20.801818119667402</v>
      </c>
    </row>
    <row r="948" spans="3:60" x14ac:dyDescent="0.2">
      <c r="C948" s="138">
        <v>28334.872396722167</v>
      </c>
      <c r="D948">
        <v>21.62886167354128</v>
      </c>
      <c r="E948" s="138">
        <v>30704.394893075299</v>
      </c>
      <c r="F948" s="138">
        <v>21.616827699724972</v>
      </c>
      <c r="G948" s="138">
        <v>-2369.5224963531327</v>
      </c>
      <c r="H948" s="138">
        <v>1.2033973816308219E-2</v>
      </c>
      <c r="N948" s="138"/>
      <c r="O948" s="138"/>
      <c r="P948" s="138"/>
      <c r="R948">
        <v>164.17602369554459</v>
      </c>
      <c r="S948">
        <v>75.218435464641615</v>
      </c>
      <c r="T948">
        <v>229.75275310947404</v>
      </c>
      <c r="U948">
        <v>91.216984262674188</v>
      </c>
      <c r="X948">
        <v>0.7078397219750131</v>
      </c>
      <c r="Y948">
        <v>0.8532927740987124</v>
      </c>
      <c r="Z948">
        <v>0.93329101647889368</v>
      </c>
      <c r="AA948">
        <v>0.36227076304674738</v>
      </c>
      <c r="AB948">
        <v>0.87552179021991239</v>
      </c>
      <c r="AC948">
        <v>0.66889311251433292</v>
      </c>
      <c r="AD948">
        <v>0.71260033594450234</v>
      </c>
      <c r="AE948">
        <v>0.91835025178917484</v>
      </c>
      <c r="AH948">
        <v>0.25892360735286546</v>
      </c>
      <c r="AI948">
        <v>0.10101801462511451</v>
      </c>
      <c r="AJ948">
        <v>0.31633137681194312</v>
      </c>
      <c r="AK948">
        <v>0.23350758376234793</v>
      </c>
      <c r="AL948">
        <v>0.19403040680001704</v>
      </c>
      <c r="AM948">
        <v>0.15903400127863121</v>
      </c>
      <c r="AN948">
        <v>0.11728836311087687</v>
      </c>
      <c r="AO948">
        <v>8.0448109965447934E-2</v>
      </c>
      <c r="AR948">
        <v>1.0730562091871843E-3</v>
      </c>
      <c r="AS948">
        <v>4.8967736729270683E-3</v>
      </c>
      <c r="AT948">
        <v>0.10099166930696157</v>
      </c>
      <c r="AU948">
        <v>1.9827852546376568E-3</v>
      </c>
      <c r="AV948">
        <v>1.8243512363115802E-3</v>
      </c>
      <c r="AW948">
        <v>3.5287981907646815E-3</v>
      </c>
      <c r="AX948">
        <v>5.5155720349442383E-4</v>
      </c>
      <c r="AY948">
        <v>5.9168958391153659E-4</v>
      </c>
      <c r="BB948">
        <v>4.593268626319956E-2</v>
      </c>
      <c r="BC948">
        <v>8.7214857150973768E-2</v>
      </c>
      <c r="BE948">
        <v>28334.872396722167</v>
      </c>
      <c r="BF948">
        <v>21.62886167354128</v>
      </c>
      <c r="BG948">
        <v>30704.394893075299</v>
      </c>
      <c r="BH948">
        <v>21.616827699724972</v>
      </c>
    </row>
    <row r="949" spans="3:60" x14ac:dyDescent="0.2">
      <c r="C949" s="138">
        <v>33929.871901752122</v>
      </c>
      <c r="D949">
        <v>21.475563410236823</v>
      </c>
      <c r="E949" s="138">
        <v>35693.195269789125</v>
      </c>
      <c r="F949" s="138">
        <v>21.461710600755552</v>
      </c>
      <c r="G949" s="138">
        <v>-1763.3233680370031</v>
      </c>
      <c r="H949" s="138">
        <v>1.3852809481271322E-2</v>
      </c>
      <c r="N949" s="138"/>
      <c r="O949" s="138"/>
      <c r="P949" s="138"/>
      <c r="R949">
        <v>235.75657236545391</v>
      </c>
      <c r="S949">
        <v>66.54112423811705</v>
      </c>
      <c r="T949">
        <v>259.87570154869638</v>
      </c>
      <c r="U949">
        <v>85.3642931358455</v>
      </c>
      <c r="X949">
        <v>0.66506333251490901</v>
      </c>
      <c r="Y949">
        <v>0.81239464557179719</v>
      </c>
      <c r="Z949">
        <v>0.65639276305021788</v>
      </c>
      <c r="AA949">
        <v>0.91366749029650118</v>
      </c>
      <c r="AB949">
        <v>0.64855094153469861</v>
      </c>
      <c r="AC949">
        <v>0.81948336904515018</v>
      </c>
      <c r="AD949">
        <v>0.83548313393631979</v>
      </c>
      <c r="AE949">
        <v>0.70464387130278938</v>
      </c>
      <c r="AH949">
        <v>0.34435208507814885</v>
      </c>
      <c r="AI949">
        <v>8.188508948928519E-2</v>
      </c>
      <c r="AJ949">
        <v>0.11349848967633447</v>
      </c>
      <c r="AK949">
        <v>3.8213375555927631E-2</v>
      </c>
      <c r="AL949">
        <v>0.13884733398472826</v>
      </c>
      <c r="AM949">
        <v>0.10331753524148601</v>
      </c>
      <c r="AN949">
        <v>0.18748229667320604</v>
      </c>
      <c r="AO949">
        <v>1.9123964013705752E-2</v>
      </c>
      <c r="AR949">
        <v>7.2689147570612815E-4</v>
      </c>
      <c r="AS949">
        <v>4.2206907461589506E-3</v>
      </c>
      <c r="AT949">
        <v>9.8812143371480116E-2</v>
      </c>
      <c r="AU949">
        <v>1.6555489187686312E-3</v>
      </c>
      <c r="AV949">
        <v>2.4030079428769557E-3</v>
      </c>
      <c r="AW949">
        <v>3.1412519335816103E-3</v>
      </c>
      <c r="AX949">
        <v>3.4734519284865739E-4</v>
      </c>
      <c r="AY949">
        <v>5.1911847529539923E-4</v>
      </c>
      <c r="BB949">
        <v>5.5594770488395007E-2</v>
      </c>
      <c r="BC949">
        <v>8.6688029649130471E-2</v>
      </c>
      <c r="BE949">
        <v>33929.871901752122</v>
      </c>
      <c r="BF949">
        <v>21.475563410236823</v>
      </c>
      <c r="BG949">
        <v>35693.195269789125</v>
      </c>
      <c r="BH949">
        <v>21.461710600755552</v>
      </c>
    </row>
    <row r="950" spans="3:60" x14ac:dyDescent="0.2">
      <c r="C950" s="138">
        <v>35392.337565967529</v>
      </c>
      <c r="D950">
        <v>21.532503291208183</v>
      </c>
      <c r="E950" s="138">
        <v>37671.408300919793</v>
      </c>
      <c r="F950" s="138">
        <v>21.573858207142688</v>
      </c>
      <c r="G950" s="138">
        <v>-2279.0707349522636</v>
      </c>
      <c r="H950" s="138">
        <v>-4.1354915934505243E-2</v>
      </c>
      <c r="N950" s="138"/>
      <c r="O950" s="138"/>
      <c r="P950" s="138"/>
      <c r="R950">
        <v>47.493698086875639</v>
      </c>
      <c r="S950">
        <v>60.638176491875164</v>
      </c>
      <c r="T950">
        <v>243.13652252132476</v>
      </c>
      <c r="U950">
        <v>91.954360543271704</v>
      </c>
      <c r="X950">
        <v>0.80789177243505228</v>
      </c>
      <c r="Y950">
        <v>0.90999967201979692</v>
      </c>
      <c r="Z950">
        <v>0.84664504619499215</v>
      </c>
      <c r="AA950">
        <v>0.61582542950095687</v>
      </c>
      <c r="AB950">
        <v>0.42406739222424517</v>
      </c>
      <c r="AC950">
        <v>0.64732309366655638</v>
      </c>
      <c r="AD950">
        <v>0.91411086268763064</v>
      </c>
      <c r="AE950">
        <v>0.67059628634089807</v>
      </c>
      <c r="AH950">
        <v>0.22288265082262804</v>
      </c>
      <c r="AI950">
        <v>0.17695625141424143</v>
      </c>
      <c r="AJ950">
        <v>2.3414241193667307E-2</v>
      </c>
      <c r="AK950">
        <v>0.22742922212615146</v>
      </c>
      <c r="AL950">
        <v>0.1595647735371718</v>
      </c>
      <c r="AM950">
        <v>0.13496296862433532</v>
      </c>
      <c r="AN950">
        <v>9.5702448645642813E-2</v>
      </c>
      <c r="AO950">
        <v>7.7262730636073251E-2</v>
      </c>
      <c r="AR950">
        <v>1.0699719734335034E-3</v>
      </c>
      <c r="AS950">
        <v>5.2064063178786091E-3</v>
      </c>
      <c r="AT950">
        <v>0.10045777334377692</v>
      </c>
      <c r="AU950">
        <v>2.2607577647909549E-3</v>
      </c>
      <c r="AV950">
        <v>2.0235807628325997E-3</v>
      </c>
      <c r="AW950">
        <v>3.3466648173501165E-3</v>
      </c>
      <c r="AX950">
        <v>4.2111899307029077E-4</v>
      </c>
      <c r="AY950">
        <v>3.9438322356290505E-4</v>
      </c>
      <c r="BB950">
        <v>4.7830160270133149E-2</v>
      </c>
      <c r="BC950">
        <v>9.112397014209217E-2</v>
      </c>
      <c r="BE950">
        <v>35392.337565967529</v>
      </c>
      <c r="BF950">
        <v>21.532503291208183</v>
      </c>
      <c r="BG950">
        <v>37671.408300919793</v>
      </c>
      <c r="BH950">
        <v>21.573858207142688</v>
      </c>
    </row>
    <row r="951" spans="3:60" x14ac:dyDescent="0.2">
      <c r="C951" s="138">
        <v>38225.372422623877</v>
      </c>
      <c r="D951">
        <v>21.687450476781166</v>
      </c>
      <c r="E951" s="138">
        <v>40197.849498771771</v>
      </c>
      <c r="F951" s="138">
        <v>21.711146249493375</v>
      </c>
      <c r="G951" s="138">
        <v>-1972.477076147894</v>
      </c>
      <c r="H951" s="138">
        <v>-2.3695772712208907E-2</v>
      </c>
      <c r="N951" s="138"/>
      <c r="O951" s="138"/>
      <c r="P951" s="138"/>
      <c r="R951">
        <v>355.42362013699693</v>
      </c>
      <c r="S951">
        <v>61.558880400851287</v>
      </c>
      <c r="T951">
        <v>282.41992555528435</v>
      </c>
      <c r="U951">
        <v>97.118253704865964</v>
      </c>
      <c r="X951">
        <v>0.82952352993682232</v>
      </c>
      <c r="Y951">
        <v>0.78459040060708407</v>
      </c>
      <c r="Z951">
        <v>0.5689707496795452</v>
      </c>
      <c r="AA951">
        <v>0.77332904813990355</v>
      </c>
      <c r="AB951">
        <v>0.67867327127376298</v>
      </c>
      <c r="AC951">
        <v>0.72397426759410999</v>
      </c>
      <c r="AD951">
        <v>0.66759728951902197</v>
      </c>
      <c r="AE951">
        <v>0.62358097527638978</v>
      </c>
      <c r="AH951">
        <v>6.6057372517464907E-2</v>
      </c>
      <c r="AI951">
        <v>5.9604825688176932E-2</v>
      </c>
      <c r="AJ951">
        <v>0.16271267615530716</v>
      </c>
      <c r="AK951">
        <v>0.38010242526909377</v>
      </c>
      <c r="AL951">
        <v>0.11416273458061577</v>
      </c>
      <c r="AM951">
        <v>0.18435162776320257</v>
      </c>
      <c r="AN951">
        <v>0.10054474736857422</v>
      </c>
      <c r="AO951">
        <v>4.5576880471760561E-2</v>
      </c>
      <c r="AR951">
        <v>9.2348007864206938E-4</v>
      </c>
      <c r="AS951">
        <v>4.8190392933364912E-3</v>
      </c>
      <c r="AT951">
        <v>0.10047110461380604</v>
      </c>
      <c r="AU951">
        <v>2.1229262899740142E-3</v>
      </c>
      <c r="AV951">
        <v>2.0370658263273445E-3</v>
      </c>
      <c r="AW951">
        <v>3.3263567110373778E-3</v>
      </c>
      <c r="AX951">
        <v>4.0026854700248027E-4</v>
      </c>
      <c r="AY951">
        <v>4.3161580495965546E-4</v>
      </c>
      <c r="BB951">
        <v>4.3202342571941013E-2</v>
      </c>
      <c r="BC951">
        <v>3.8681978777610974E-2</v>
      </c>
      <c r="BE951">
        <v>38225.372422623877</v>
      </c>
      <c r="BF951">
        <v>21.687450476781166</v>
      </c>
      <c r="BG951">
        <v>40197.849498771771</v>
      </c>
      <c r="BH951">
        <v>21.711146249493375</v>
      </c>
    </row>
    <row r="952" spans="3:60" x14ac:dyDescent="0.2">
      <c r="C952" s="138">
        <v>32807.796454234369</v>
      </c>
      <c r="D952">
        <v>20.902444743195595</v>
      </c>
      <c r="E952" s="138">
        <v>34930.445701157849</v>
      </c>
      <c r="F952" s="138">
        <v>20.863330686669421</v>
      </c>
      <c r="G952" s="138">
        <v>-2122.64924692348</v>
      </c>
      <c r="H952" s="138">
        <v>3.9114056526173613E-2</v>
      </c>
      <c r="N952" s="138"/>
      <c r="O952" s="138"/>
      <c r="P952" s="138"/>
      <c r="R952">
        <v>290.38310336241807</v>
      </c>
      <c r="S952">
        <v>66.279724315707625</v>
      </c>
      <c r="T952">
        <v>200.37245897401522</v>
      </c>
      <c r="U952">
        <v>87.988508658566403</v>
      </c>
      <c r="X952">
        <v>0.73095533894063958</v>
      </c>
      <c r="Y952">
        <v>0.54025519610781703</v>
      </c>
      <c r="Z952">
        <v>0.81161153620278825</v>
      </c>
      <c r="AA952">
        <v>0.56856773032758412</v>
      </c>
      <c r="AB952">
        <v>0.44525368868618515</v>
      </c>
      <c r="AC952">
        <v>0.8340716467965783</v>
      </c>
      <c r="AD952">
        <v>0.83282700552169331</v>
      </c>
      <c r="AE952">
        <v>0.77272537766098637</v>
      </c>
      <c r="AH952">
        <v>0.10420840242605034</v>
      </c>
      <c r="AI952">
        <v>0.24398222181435059</v>
      </c>
      <c r="AJ952">
        <v>4.6073071869132454E-2</v>
      </c>
      <c r="AK952">
        <v>7.3212689232033057E-2</v>
      </c>
      <c r="AL952">
        <v>0.35511075333753728</v>
      </c>
      <c r="AM952">
        <v>7.2462022611422316E-2</v>
      </c>
      <c r="AN952">
        <v>0.22951448205987357</v>
      </c>
      <c r="AO952">
        <v>4.0914697917842746E-2</v>
      </c>
      <c r="AR952">
        <v>8.6907749414335297E-4</v>
      </c>
      <c r="AS952">
        <v>4.6105033190904088E-3</v>
      </c>
      <c r="AT952">
        <v>9.9617164045019746E-2</v>
      </c>
      <c r="AU952">
        <v>1.826152936167755E-3</v>
      </c>
      <c r="AV952">
        <v>2.329476759283855E-3</v>
      </c>
      <c r="AW952">
        <v>3.3685122502783763E-3</v>
      </c>
      <c r="AX952">
        <v>3.0077169277136786E-4</v>
      </c>
      <c r="AY952">
        <v>3.7393373754809683E-4</v>
      </c>
      <c r="BB952">
        <v>5.4494807687630376E-2</v>
      </c>
      <c r="BC952">
        <v>3.7626855905421523E-2</v>
      </c>
      <c r="BE952">
        <v>32807.796454234369</v>
      </c>
      <c r="BF952">
        <v>20.902444743195595</v>
      </c>
      <c r="BG952">
        <v>34930.445701157849</v>
      </c>
      <c r="BH952">
        <v>20.863330686669421</v>
      </c>
    </row>
    <row r="953" spans="3:60" x14ac:dyDescent="0.2">
      <c r="C953" s="138">
        <v>30964.181327002112</v>
      </c>
      <c r="D953">
        <v>20.79320742662253</v>
      </c>
      <c r="E953" s="138">
        <v>33075.491842449141</v>
      </c>
      <c r="F953" s="138">
        <v>20.75589861090798</v>
      </c>
      <c r="G953" s="138">
        <v>-2111.3105154470286</v>
      </c>
      <c r="H953" s="138">
        <v>3.7308815714549581E-2</v>
      </c>
      <c r="N953" s="138"/>
      <c r="O953" s="138"/>
      <c r="P953" s="138"/>
      <c r="R953">
        <v>119.19745997221767</v>
      </c>
      <c r="S953">
        <v>61.774958280590901</v>
      </c>
      <c r="T953">
        <v>248.34295786907632</v>
      </c>
      <c r="U953">
        <v>89.981333505054636</v>
      </c>
      <c r="X953">
        <v>0.89527608474849674</v>
      </c>
      <c r="Y953">
        <v>0.58998460660893293</v>
      </c>
      <c r="Z953">
        <v>0.84436234342745242</v>
      </c>
      <c r="AA953">
        <v>0.85879098735331239</v>
      </c>
      <c r="AB953">
        <v>0.58380627806758123</v>
      </c>
      <c r="AC953">
        <v>0.53327288746770529</v>
      </c>
      <c r="AD953">
        <v>0.80132492070990613</v>
      </c>
      <c r="AE953">
        <v>0.86510016822141755</v>
      </c>
      <c r="AH953">
        <v>0.24746823618378844</v>
      </c>
      <c r="AI953">
        <v>0.20211872241733642</v>
      </c>
      <c r="AJ953">
        <v>7.5866951753322587E-2</v>
      </c>
      <c r="AK953">
        <v>0.15044876830427611</v>
      </c>
      <c r="AL953">
        <v>0.14451667344760433</v>
      </c>
      <c r="AM953">
        <v>2.9058459422817595E-2</v>
      </c>
      <c r="AN953">
        <v>0.11358676460239159</v>
      </c>
      <c r="AO953">
        <v>4.5088320581721186E-2</v>
      </c>
      <c r="AR953">
        <v>8.7737491780167016E-4</v>
      </c>
      <c r="AS953">
        <v>4.1287038807411355E-3</v>
      </c>
      <c r="AT953">
        <v>9.9634388692733805E-2</v>
      </c>
      <c r="AU953">
        <v>1.9582470453011476E-3</v>
      </c>
      <c r="AV953">
        <v>2.0816187802561448E-3</v>
      </c>
      <c r="AW953">
        <v>3.4742473778663907E-3</v>
      </c>
      <c r="AX953">
        <v>3.6827194056558493E-4</v>
      </c>
      <c r="AY953">
        <v>5.5366577146209739E-4</v>
      </c>
      <c r="BB953">
        <v>4.5358082930779454E-2</v>
      </c>
      <c r="BC953">
        <v>9.1804321359584828E-2</v>
      </c>
      <c r="BE953">
        <v>30964.181327002112</v>
      </c>
      <c r="BF953">
        <v>20.79320742662253</v>
      </c>
      <c r="BG953">
        <v>33075.491842449141</v>
      </c>
      <c r="BH953">
        <v>20.75589861090798</v>
      </c>
    </row>
    <row r="954" spans="3:60" x14ac:dyDescent="0.2">
      <c r="C954" s="138">
        <v>29592.268818740318</v>
      </c>
      <c r="D954">
        <v>21.419596293152164</v>
      </c>
      <c r="E954" s="138">
        <v>31504.702954284181</v>
      </c>
      <c r="F954" s="138">
        <v>21.398983466486143</v>
      </c>
      <c r="G954" s="138">
        <v>-1912.4341355438628</v>
      </c>
      <c r="H954" s="138">
        <v>2.0612826666020823E-2</v>
      </c>
      <c r="N954" s="138"/>
      <c r="O954" s="138"/>
      <c r="P954" s="138"/>
      <c r="R954">
        <v>470.78903446263507</v>
      </c>
      <c r="S954">
        <v>65.051117048339535</v>
      </c>
      <c r="T954">
        <v>316.10661670110795</v>
      </c>
      <c r="U954">
        <v>85.542506066796392</v>
      </c>
      <c r="X954">
        <v>0.88455361821448397</v>
      </c>
      <c r="Y954">
        <v>0.72267664902669737</v>
      </c>
      <c r="Z954">
        <v>0.96866528250187245</v>
      </c>
      <c r="AA954">
        <v>0.87309542059232637</v>
      </c>
      <c r="AB954">
        <v>0.88837580897497181</v>
      </c>
      <c r="AC954">
        <v>0.52392747200231338</v>
      </c>
      <c r="AD954">
        <v>0.4510078961392337</v>
      </c>
      <c r="AE954">
        <v>0.92094030940289473</v>
      </c>
      <c r="AH954">
        <v>2.2163635643836832E-2</v>
      </c>
      <c r="AI954">
        <v>6.557460743392296E-2</v>
      </c>
      <c r="AJ954">
        <v>0.19419286289679527</v>
      </c>
      <c r="AK954">
        <v>1.4512754756356494E-2</v>
      </c>
      <c r="AL954">
        <v>5.7546332157348612E-2</v>
      </c>
      <c r="AM954">
        <v>0.22905657580345684</v>
      </c>
      <c r="AN954">
        <v>0.18099674784509823</v>
      </c>
      <c r="AO954">
        <v>0.20863309262283325</v>
      </c>
      <c r="AR954">
        <v>9.776857275090034E-4</v>
      </c>
      <c r="AS954">
        <v>4.6626455963213465E-3</v>
      </c>
      <c r="AT954">
        <v>0.10174904782084615</v>
      </c>
      <c r="AU954">
        <v>1.9158813513268143E-3</v>
      </c>
      <c r="AV954">
        <v>2.0539408002471227E-3</v>
      </c>
      <c r="AW954">
        <v>3.3716389092379772E-3</v>
      </c>
      <c r="AX954">
        <v>4.1346371682937644E-4</v>
      </c>
      <c r="AY954">
        <v>3.5514330050843843E-4</v>
      </c>
      <c r="BB954">
        <v>5.5720581128877011E-2</v>
      </c>
      <c r="BC954">
        <v>2.3165963903996008E-2</v>
      </c>
      <c r="BE954">
        <v>29592.268818740318</v>
      </c>
      <c r="BF954">
        <v>21.419596293152164</v>
      </c>
      <c r="BG954">
        <v>31504.702954284181</v>
      </c>
      <c r="BH954">
        <v>21.398983466486143</v>
      </c>
    </row>
    <row r="955" spans="3:60" x14ac:dyDescent="0.2">
      <c r="C955" s="138">
        <v>31286.587227975695</v>
      </c>
      <c r="D955">
        <v>21.278923940667035</v>
      </c>
      <c r="E955" s="138">
        <v>32989.154416457757</v>
      </c>
      <c r="F955" s="138">
        <v>21.264339417025859</v>
      </c>
      <c r="G955" s="138">
        <v>-1702.5671884820622</v>
      </c>
      <c r="H955" s="138">
        <v>1.4584523641175906E-2</v>
      </c>
      <c r="N955" s="138"/>
      <c r="O955" s="138"/>
      <c r="P955" s="138"/>
      <c r="R955">
        <v>413.63645456984511</v>
      </c>
      <c r="S955">
        <v>61.757583233175957</v>
      </c>
      <c r="T955">
        <v>276.24079157256779</v>
      </c>
      <c r="U955">
        <v>93.301013001720591</v>
      </c>
      <c r="X955">
        <v>0.73912048437246125</v>
      </c>
      <c r="Y955">
        <v>0.65357853876190219</v>
      </c>
      <c r="Z955">
        <v>0.74045564674971875</v>
      </c>
      <c r="AA955">
        <v>0.93554741986736856</v>
      </c>
      <c r="AB955">
        <v>0.95705907132664336</v>
      </c>
      <c r="AC955">
        <v>0.67502611109865995</v>
      </c>
      <c r="AD955">
        <v>0.78424669439124239</v>
      </c>
      <c r="AE955">
        <v>0.84841428379069161</v>
      </c>
      <c r="AH955">
        <v>3.5970123977280166E-2</v>
      </c>
      <c r="AI955">
        <v>0.11079945843502315</v>
      </c>
      <c r="AJ955">
        <v>3.3781670428080224E-2</v>
      </c>
      <c r="AK955">
        <v>0.13430216245754312</v>
      </c>
      <c r="AL955">
        <v>9.4644544355720228E-2</v>
      </c>
      <c r="AM955">
        <v>0.25313429718333214</v>
      </c>
      <c r="AN955">
        <v>0.15411537106729301</v>
      </c>
      <c r="AO955">
        <v>0.29448260330903042</v>
      </c>
      <c r="AR955">
        <v>8.4556339222230153E-4</v>
      </c>
      <c r="AS955">
        <v>4.5923815160365811E-3</v>
      </c>
      <c r="AT955">
        <v>9.9658260809832325E-2</v>
      </c>
      <c r="AU955">
        <v>2.1497300580077816E-3</v>
      </c>
      <c r="AV955">
        <v>1.8682023194500636E-3</v>
      </c>
      <c r="AW955">
        <v>3.210465619284016E-3</v>
      </c>
      <c r="AX955">
        <v>4.0581587430454924E-4</v>
      </c>
      <c r="AY955">
        <v>5.9061823869166474E-4</v>
      </c>
      <c r="BB955">
        <v>5.0030419832207018E-2</v>
      </c>
      <c r="BC955">
        <v>3.8479713238050613E-2</v>
      </c>
      <c r="BE955">
        <v>31286.587227975695</v>
      </c>
      <c r="BF955">
        <v>21.278923940667035</v>
      </c>
      <c r="BG955">
        <v>32989.154416457757</v>
      </c>
      <c r="BH955">
        <v>21.264339417025859</v>
      </c>
    </row>
    <row r="956" spans="3:60" x14ac:dyDescent="0.2">
      <c r="C956" s="138">
        <v>39113.281874910528</v>
      </c>
      <c r="D956">
        <v>20.673698500001159</v>
      </c>
      <c r="E956" s="138">
        <v>41327.359760816173</v>
      </c>
      <c r="F956" s="138">
        <v>20.634765570045232</v>
      </c>
      <c r="G956" s="138">
        <v>-2214.0778859056445</v>
      </c>
      <c r="H956" s="138">
        <v>3.8932929955926454E-2</v>
      </c>
      <c r="N956" s="138"/>
      <c r="O956" s="138"/>
      <c r="P956" s="138"/>
      <c r="R956">
        <v>146.83005092283747</v>
      </c>
      <c r="S956">
        <v>44.968286018484946</v>
      </c>
      <c r="T956">
        <v>230.14714144155934</v>
      </c>
      <c r="U956">
        <v>103.60907785736825</v>
      </c>
      <c r="X956">
        <v>0.61701171155066759</v>
      </c>
      <c r="Y956">
        <v>0.54603301334239962</v>
      </c>
      <c r="Z956">
        <v>0.89839177888935406</v>
      </c>
      <c r="AA956">
        <v>0.84037705971288079</v>
      </c>
      <c r="AB956">
        <v>0.84110945714272134</v>
      </c>
      <c r="AC956">
        <v>0.84654854679313363</v>
      </c>
      <c r="AD956">
        <v>0.92167720858388036</v>
      </c>
      <c r="AE956">
        <v>0.90645917628898998</v>
      </c>
      <c r="AH956">
        <v>3.9399283979432376E-2</v>
      </c>
      <c r="AI956">
        <v>0.1339901211621678</v>
      </c>
      <c r="AJ956">
        <v>0.10041588923229527</v>
      </c>
      <c r="AK956">
        <v>0.10967742219996002</v>
      </c>
      <c r="AL956">
        <v>6.7259681151210948E-2</v>
      </c>
      <c r="AM956">
        <v>4.407720372454027E-2</v>
      </c>
      <c r="AN956">
        <v>0.2203237416273478</v>
      </c>
      <c r="AO956">
        <v>0.10757306939113342</v>
      </c>
      <c r="AR956">
        <v>1.0253870408372112E-3</v>
      </c>
      <c r="AS956">
        <v>4.4821100700306342E-3</v>
      </c>
      <c r="AT956">
        <v>0.1007825699470587</v>
      </c>
      <c r="AU956">
        <v>1.9659817843736068E-3</v>
      </c>
      <c r="AV956">
        <v>1.8632541825428246E-3</v>
      </c>
      <c r="AW956">
        <v>3.4654049453169966E-3</v>
      </c>
      <c r="AX956">
        <v>3.3148369866514986E-4</v>
      </c>
      <c r="AY956">
        <v>5.1400854092631398E-4</v>
      </c>
      <c r="BB956">
        <v>4.7004600817600883E-2</v>
      </c>
      <c r="BC956">
        <v>6.5216437806951966E-2</v>
      </c>
      <c r="BE956">
        <v>39113.281874910528</v>
      </c>
      <c r="BF956">
        <v>20.673698500001159</v>
      </c>
      <c r="BG956">
        <v>41327.359760816173</v>
      </c>
      <c r="BH956">
        <v>20.634765570045232</v>
      </c>
    </row>
    <row r="957" spans="3:60" x14ac:dyDescent="0.2">
      <c r="C957" s="138">
        <v>35189.797080818273</v>
      </c>
      <c r="D957">
        <v>21.082737555865947</v>
      </c>
      <c r="E957" s="138">
        <v>37414.68760899781</v>
      </c>
      <c r="F957" s="138">
        <v>21.056728349819672</v>
      </c>
      <c r="G957" s="138">
        <v>-2224.8905281795378</v>
      </c>
      <c r="H957" s="138">
        <v>2.6009206046275324E-2</v>
      </c>
      <c r="N957" s="138"/>
      <c r="O957" s="138"/>
      <c r="P957" s="138"/>
      <c r="R957">
        <v>260.94219205758424</v>
      </c>
      <c r="S957">
        <v>65.530566732398938</v>
      </c>
      <c r="T957">
        <v>247.26740824235179</v>
      </c>
      <c r="U957">
        <v>100.92437793468198</v>
      </c>
      <c r="X957">
        <v>0.84934860929762257</v>
      </c>
      <c r="Y957">
        <v>0.60834444892299289</v>
      </c>
      <c r="Z957">
        <v>0.73707200211970658</v>
      </c>
      <c r="AA957">
        <v>0.7888796879524238</v>
      </c>
      <c r="AB957">
        <v>0.68515983588371976</v>
      </c>
      <c r="AC957">
        <v>0.50727481318095058</v>
      </c>
      <c r="AD957">
        <v>0.80083649947303792</v>
      </c>
      <c r="AE957">
        <v>0.77420441961712694</v>
      </c>
      <c r="AH957">
        <v>2.8726896573980421E-2</v>
      </c>
      <c r="AI957">
        <v>0.27614474834446334</v>
      </c>
      <c r="AJ957">
        <v>9.6783217490040263E-2</v>
      </c>
      <c r="AK957">
        <v>0.14523412614386266</v>
      </c>
      <c r="AL957">
        <v>0.1912725196121694</v>
      </c>
      <c r="AM957">
        <v>0.17400755496116949</v>
      </c>
      <c r="AN957">
        <v>3.0309410470526266E-2</v>
      </c>
      <c r="AO957">
        <v>6.7215896163985489E-2</v>
      </c>
      <c r="AR957">
        <v>9.1737600798380559E-4</v>
      </c>
      <c r="AS957">
        <v>4.2163230151347989E-3</v>
      </c>
      <c r="AT957">
        <v>9.9913919219964412E-2</v>
      </c>
      <c r="AU957">
        <v>2.1443515982237926E-3</v>
      </c>
      <c r="AV957">
        <v>1.9877893759010974E-3</v>
      </c>
      <c r="AW957">
        <v>3.3841219528821962E-3</v>
      </c>
      <c r="AX957">
        <v>3.5290348782335274E-4</v>
      </c>
      <c r="AY957">
        <v>4.1582764807976814E-4</v>
      </c>
      <c r="BB957">
        <v>5.249234467138697E-2</v>
      </c>
      <c r="BC957">
        <v>4.7732667115475302E-2</v>
      </c>
      <c r="BE957">
        <v>35189.797080818273</v>
      </c>
      <c r="BF957">
        <v>21.082737555865947</v>
      </c>
      <c r="BG957">
        <v>37414.68760899781</v>
      </c>
      <c r="BH957">
        <v>21.056728349819672</v>
      </c>
    </row>
    <row r="958" spans="3:60" x14ac:dyDescent="0.2">
      <c r="C958" s="138">
        <v>35162.917267846809</v>
      </c>
      <c r="D958">
        <v>21.378923742975847</v>
      </c>
      <c r="E958" s="138">
        <v>37477.450479008061</v>
      </c>
      <c r="F958" s="138">
        <v>21.355293308671548</v>
      </c>
      <c r="G958" s="138">
        <v>-2314.5332111612515</v>
      </c>
      <c r="H958" s="138">
        <v>2.363043430429812E-2</v>
      </c>
      <c r="N958" s="138"/>
      <c r="O958" s="138"/>
      <c r="P958" s="138"/>
      <c r="R958">
        <v>239.13814032843911</v>
      </c>
      <c r="S958">
        <v>53.373343479393711</v>
      </c>
      <c r="T958">
        <v>251.26286863680019</v>
      </c>
      <c r="U958">
        <v>82.297167720233361</v>
      </c>
      <c r="X958">
        <v>0.83703055729940246</v>
      </c>
      <c r="Y958">
        <v>0.75330543424785923</v>
      </c>
      <c r="Z958">
        <v>0.69144436633815998</v>
      </c>
      <c r="AA958">
        <v>0.78738030089600153</v>
      </c>
      <c r="AB958">
        <v>0.79581651671846432</v>
      </c>
      <c r="AC958">
        <v>0.80555255644252743</v>
      </c>
      <c r="AD958">
        <v>0.8248273968777573</v>
      </c>
      <c r="AE958">
        <v>0.71132552851231301</v>
      </c>
      <c r="AH958">
        <v>1.9308477359564202E-2</v>
      </c>
      <c r="AI958">
        <v>0.20477854056667077</v>
      </c>
      <c r="AJ958">
        <v>7.478602261878009E-2</v>
      </c>
      <c r="AK958">
        <v>0.15901156928514881</v>
      </c>
      <c r="AL958">
        <v>5.4608524228763944E-2</v>
      </c>
      <c r="AM958">
        <v>5.5858723045750569E-2</v>
      </c>
      <c r="AN958">
        <v>0.12340842366956983</v>
      </c>
      <c r="AO958">
        <v>6.6248927348272924E-2</v>
      </c>
      <c r="AR958">
        <v>9.9189388980469584E-4</v>
      </c>
      <c r="AS958">
        <v>4.155357087866852E-3</v>
      </c>
      <c r="AT958">
        <v>0.1001597994625868</v>
      </c>
      <c r="AU958">
        <v>1.9389785534101537E-3</v>
      </c>
      <c r="AV958">
        <v>2.2457396749676617E-3</v>
      </c>
      <c r="AW958">
        <v>3.4736243802199196E-3</v>
      </c>
      <c r="AX958">
        <v>5.1083165470022784E-4</v>
      </c>
      <c r="AY958">
        <v>4.5308443869584991E-4</v>
      </c>
      <c r="BB958">
        <v>4.6948826120186998E-2</v>
      </c>
      <c r="BC958">
        <v>3.0771556830517306E-2</v>
      </c>
      <c r="BE958">
        <v>35162.917267846809</v>
      </c>
      <c r="BF958">
        <v>21.378923742975847</v>
      </c>
      <c r="BG958">
        <v>37477.450479008061</v>
      </c>
      <c r="BH958">
        <v>21.355293308671548</v>
      </c>
    </row>
    <row r="959" spans="3:60" x14ac:dyDescent="0.2">
      <c r="C959" s="138">
        <v>29541.088326550569</v>
      </c>
      <c r="D959">
        <v>21.682051257167956</v>
      </c>
      <c r="E959" s="138">
        <v>31593.347113411732</v>
      </c>
      <c r="F959" s="138">
        <v>21.666575280451536</v>
      </c>
      <c r="G959" s="138">
        <v>-2052.2587868611627</v>
      </c>
      <c r="H959" s="138">
        <v>1.5475976716420092E-2</v>
      </c>
      <c r="N959" s="138"/>
      <c r="O959" s="138"/>
      <c r="P959" s="138"/>
      <c r="R959">
        <v>172.47371817276891</v>
      </c>
      <c r="S959">
        <v>69.448881537414337</v>
      </c>
      <c r="T959">
        <v>259.9435667972536</v>
      </c>
      <c r="U959">
        <v>100.05243196248389</v>
      </c>
      <c r="X959">
        <v>0.74901537390389306</v>
      </c>
      <c r="Y959">
        <v>0.69796746847462543</v>
      </c>
      <c r="Z959">
        <v>0.74964319083410902</v>
      </c>
      <c r="AA959">
        <v>0.81613638435631419</v>
      </c>
      <c r="AB959">
        <v>0.9176796953998716</v>
      </c>
      <c r="AC959">
        <v>0.73817395714685541</v>
      </c>
      <c r="AD959">
        <v>0.62949282668902184</v>
      </c>
      <c r="AE959">
        <v>0.65601246453553175</v>
      </c>
      <c r="AH959">
        <v>0.18717281285213816</v>
      </c>
      <c r="AI959">
        <v>0.20118582140465968</v>
      </c>
      <c r="AJ959">
        <v>0.10201066291807459</v>
      </c>
      <c r="AK959">
        <v>0.28381210607419827</v>
      </c>
      <c r="AL959">
        <v>7.1276605296220819E-2</v>
      </c>
      <c r="AM959">
        <v>6.5473348810551668E-2</v>
      </c>
      <c r="AN959">
        <v>0.10494382442725902</v>
      </c>
      <c r="AO959">
        <v>0.13334390938684459</v>
      </c>
      <c r="AR959">
        <v>7.9530820386365805E-4</v>
      </c>
      <c r="AS959">
        <v>4.3294131753426855E-3</v>
      </c>
      <c r="AT959">
        <v>9.8429149972877134E-2</v>
      </c>
      <c r="AU959">
        <v>1.8956392987805122E-3</v>
      </c>
      <c r="AV959">
        <v>1.8764327760319973E-3</v>
      </c>
      <c r="AW959">
        <v>3.5953110806837829E-3</v>
      </c>
      <c r="AX959">
        <v>4.1319146088658609E-4</v>
      </c>
      <c r="AY959">
        <v>5.3194219506191853E-4</v>
      </c>
      <c r="BB959">
        <v>5.3347428133396546E-2</v>
      </c>
      <c r="BC959">
        <v>4.5061075975350917E-2</v>
      </c>
      <c r="BE959">
        <v>29541.088326550569</v>
      </c>
      <c r="BF959">
        <v>21.682051257167956</v>
      </c>
      <c r="BG959">
        <v>31593.347113411732</v>
      </c>
      <c r="BH959">
        <v>21.666575280451536</v>
      </c>
    </row>
    <row r="960" spans="3:60" x14ac:dyDescent="0.2">
      <c r="C960" s="138">
        <v>32956.042385658584</v>
      </c>
      <c r="D960">
        <v>21.587303971989446</v>
      </c>
      <c r="E960" s="138">
        <v>35371.522452120938</v>
      </c>
      <c r="F960" s="138">
        <v>21.589625976654926</v>
      </c>
      <c r="G960" s="138">
        <v>-2415.4800664623544</v>
      </c>
      <c r="H960" s="138">
        <v>-2.3220046654799376E-3</v>
      </c>
      <c r="N960" s="138"/>
      <c r="O960" s="138"/>
      <c r="P960" s="138"/>
      <c r="R960">
        <v>72.148370370773307</v>
      </c>
      <c r="S960">
        <v>62.93890674291481</v>
      </c>
      <c r="T960">
        <v>201.3207439045635</v>
      </c>
      <c r="U960">
        <v>88.633423494461312</v>
      </c>
      <c r="X960">
        <v>0.82407693832253404</v>
      </c>
      <c r="Y960">
        <v>0.9033893643956552</v>
      </c>
      <c r="Z960">
        <v>0.81451960372423227</v>
      </c>
      <c r="AA960">
        <v>0.66396764575031331</v>
      </c>
      <c r="AB960">
        <v>0.82209708619655952</v>
      </c>
      <c r="AC960">
        <v>0.9070765717415552</v>
      </c>
      <c r="AD960">
        <v>0.96439442433652012</v>
      </c>
      <c r="AE960">
        <v>0.86902456045857235</v>
      </c>
      <c r="AH960">
        <v>2.6486851988052562E-2</v>
      </c>
      <c r="AI960">
        <v>2.7250308267309453E-2</v>
      </c>
      <c r="AJ960">
        <v>6.9682914234811211E-2</v>
      </c>
      <c r="AK960">
        <v>0.10249071956831979</v>
      </c>
      <c r="AL960">
        <v>7.7077797419306648E-2</v>
      </c>
      <c r="AM960">
        <v>0.16181253363695902</v>
      </c>
      <c r="AN960">
        <v>0.13083827945594861</v>
      </c>
      <c r="AO960">
        <v>0.11572892163514781</v>
      </c>
      <c r="AR960">
        <v>9.209693933189822E-4</v>
      </c>
      <c r="AS960">
        <v>4.3903666195576133E-3</v>
      </c>
      <c r="AT960">
        <v>0.10046685481392992</v>
      </c>
      <c r="AU960">
        <v>1.8674064589520125E-3</v>
      </c>
      <c r="AV960">
        <v>2.1449864591926993E-3</v>
      </c>
      <c r="AW960">
        <v>3.4889738919563484E-3</v>
      </c>
      <c r="AX960">
        <v>4.0248804628750801E-4</v>
      </c>
      <c r="AY960">
        <v>5.2117776211957345E-4</v>
      </c>
      <c r="BB960">
        <v>4.2535661949649119E-2</v>
      </c>
      <c r="BC960">
        <v>3.8347926531037864E-2</v>
      </c>
      <c r="BE960">
        <v>32956.042385658584</v>
      </c>
      <c r="BF960">
        <v>21.587303971989446</v>
      </c>
      <c r="BG960">
        <v>35371.522452120938</v>
      </c>
      <c r="BH960">
        <v>21.589625976654926</v>
      </c>
    </row>
    <row r="961" spans="3:60" x14ac:dyDescent="0.2">
      <c r="C961" s="138">
        <v>32486.730042807962</v>
      </c>
      <c r="D961">
        <v>20.37967845609851</v>
      </c>
      <c r="E961" s="138">
        <v>34369.360083066698</v>
      </c>
      <c r="F961" s="138">
        <v>20.315661342838698</v>
      </c>
      <c r="G961" s="138">
        <v>-1882.6300402587367</v>
      </c>
      <c r="H961" s="138">
        <v>6.4017113259811964E-2</v>
      </c>
      <c r="N961" s="138"/>
      <c r="O961" s="138"/>
      <c r="P961" s="138"/>
      <c r="R961">
        <v>214.24771581434538</v>
      </c>
      <c r="S961">
        <v>73.570221994761084</v>
      </c>
      <c r="T961">
        <v>231.64044624571437</v>
      </c>
      <c r="U961">
        <v>93.744681570398441</v>
      </c>
      <c r="X961">
        <v>0.69901102876654253</v>
      </c>
      <c r="Y961">
        <v>0.85099174306867764</v>
      </c>
      <c r="Z961">
        <v>0.53039000380058277</v>
      </c>
      <c r="AA961">
        <v>0.8441218956535268</v>
      </c>
      <c r="AB961">
        <v>0.63002723544632444</v>
      </c>
      <c r="AC961">
        <v>0.68955999025534065</v>
      </c>
      <c r="AD961">
        <v>0.76079020782855045</v>
      </c>
      <c r="AE961">
        <v>0.66481481495639416</v>
      </c>
      <c r="AH961">
        <v>5.2771016251593528E-2</v>
      </c>
      <c r="AI961">
        <v>0.11021449346049073</v>
      </c>
      <c r="AJ961">
        <v>5.6347816863866695E-2</v>
      </c>
      <c r="AK961">
        <v>5.7442400597464305E-2</v>
      </c>
      <c r="AL961">
        <v>5.6966077900730716E-2</v>
      </c>
      <c r="AM961">
        <v>0.28919597854802392</v>
      </c>
      <c r="AN961">
        <v>6.2537499022453868E-2</v>
      </c>
      <c r="AO961">
        <v>0.11486293142619319</v>
      </c>
      <c r="AR961">
        <v>8.9302934342549989E-4</v>
      </c>
      <c r="AS961">
        <v>4.4130826352554199E-3</v>
      </c>
      <c r="AT961">
        <v>9.9191341357342325E-2</v>
      </c>
      <c r="AU961">
        <v>1.8092857183918455E-3</v>
      </c>
      <c r="AV961">
        <v>1.9005089477658621E-3</v>
      </c>
      <c r="AW961">
        <v>2.9636888922849273E-3</v>
      </c>
      <c r="AX961">
        <v>5.2687203097734336E-4</v>
      </c>
      <c r="AY961">
        <v>4.9397705048670471E-4</v>
      </c>
      <c r="BB961">
        <v>4.3699966195692296E-2</v>
      </c>
      <c r="BC961">
        <v>3.0834960966989948E-2</v>
      </c>
      <c r="BE961">
        <v>32486.730042807962</v>
      </c>
      <c r="BF961">
        <v>20.37967845609851</v>
      </c>
      <c r="BG961">
        <v>34369.360083066698</v>
      </c>
      <c r="BH961">
        <v>20.315661342838698</v>
      </c>
    </row>
    <row r="962" spans="3:60" x14ac:dyDescent="0.2">
      <c r="C962" s="138">
        <v>30857.892724501795</v>
      </c>
      <c r="D962">
        <v>21.346647108437718</v>
      </c>
      <c r="E962" s="138">
        <v>33171.146117583507</v>
      </c>
      <c r="F962" s="138">
        <v>21.326743369320582</v>
      </c>
      <c r="G962" s="138">
        <v>-2313.2533930817117</v>
      </c>
      <c r="H962" s="138">
        <v>1.990373911713661E-2</v>
      </c>
      <c r="N962" s="138"/>
      <c r="O962" s="138"/>
      <c r="P962" s="138"/>
      <c r="R962">
        <v>109.84563744921425</v>
      </c>
      <c r="S962">
        <v>57.855761394050873</v>
      </c>
      <c r="T962">
        <v>249.66885327929506</v>
      </c>
      <c r="U962">
        <v>96.066501097614122</v>
      </c>
      <c r="X962">
        <v>0.72408272567032395</v>
      </c>
      <c r="Y962">
        <v>0.60786984690252643</v>
      </c>
      <c r="Z962">
        <v>0.87521372671274367</v>
      </c>
      <c r="AA962">
        <v>0.6816501906944531</v>
      </c>
      <c r="AB962">
        <v>0.60657989296245385</v>
      </c>
      <c r="AC962">
        <v>0.64650157872312763</v>
      </c>
      <c r="AD962">
        <v>0.70373393409537477</v>
      </c>
      <c r="AE962">
        <v>0.89536266637180617</v>
      </c>
      <c r="AH962">
        <v>2.9926345305999136E-2</v>
      </c>
      <c r="AI962">
        <v>4.1241212405872307E-2</v>
      </c>
      <c r="AJ962">
        <v>4.4756345679170195E-2</v>
      </c>
      <c r="AK962">
        <v>0.15353465178844694</v>
      </c>
      <c r="AL962">
        <v>0.16045425924238277</v>
      </c>
      <c r="AM962">
        <v>3.7677133106525429E-2</v>
      </c>
      <c r="AN962">
        <v>9.9228716124781569E-2</v>
      </c>
      <c r="AO962">
        <v>0.14936009419957486</v>
      </c>
      <c r="AR962">
        <v>8.0394931401869308E-4</v>
      </c>
      <c r="AS962">
        <v>4.6624247909237138E-3</v>
      </c>
      <c r="AT962">
        <v>9.9600643013927764E-2</v>
      </c>
      <c r="AU962">
        <v>1.7263166441169441E-3</v>
      </c>
      <c r="AV962">
        <v>1.979221568444346E-3</v>
      </c>
      <c r="AW962">
        <v>3.4889328906758665E-3</v>
      </c>
      <c r="AX962">
        <v>4.2999736908289066E-4</v>
      </c>
      <c r="AY962">
        <v>5.7410055888784672E-4</v>
      </c>
      <c r="BB962">
        <v>4.6643930036152532E-2</v>
      </c>
      <c r="BC962">
        <v>4.6169072186954624E-2</v>
      </c>
      <c r="BE962">
        <v>30857.892724501795</v>
      </c>
      <c r="BF962">
        <v>21.346647108437718</v>
      </c>
      <c r="BG962">
        <v>33171.146117583507</v>
      </c>
      <c r="BH962">
        <v>21.326743369320582</v>
      </c>
    </row>
    <row r="963" spans="3:60" x14ac:dyDescent="0.2">
      <c r="C963" s="138">
        <v>26803.163299722357</v>
      </c>
      <c r="D963">
        <v>20.704657776609782</v>
      </c>
      <c r="E963" s="138">
        <v>28508.132367477047</v>
      </c>
      <c r="F963" s="138">
        <v>20.653592094798071</v>
      </c>
      <c r="G963" s="138">
        <v>-1704.9690677546896</v>
      </c>
      <c r="H963" s="138">
        <v>5.1065681811710562E-2</v>
      </c>
      <c r="N963" s="138"/>
      <c r="O963" s="138"/>
      <c r="P963" s="138"/>
      <c r="R963">
        <v>455.00279180434421</v>
      </c>
      <c r="S963">
        <v>62.840066997313045</v>
      </c>
      <c r="T963">
        <v>239.66868420172733</v>
      </c>
      <c r="U963">
        <v>75.595392725488622</v>
      </c>
      <c r="X963">
        <v>0.65501015604240997</v>
      </c>
      <c r="Y963">
        <v>0.8582165946877981</v>
      </c>
      <c r="Z963">
        <v>0.8761559702901196</v>
      </c>
      <c r="AA963">
        <v>0.80875867182720818</v>
      </c>
      <c r="AB963">
        <v>0.68392321384641641</v>
      </c>
      <c r="AC963">
        <v>0.74469858855127546</v>
      </c>
      <c r="AD963">
        <v>0.77210326667826679</v>
      </c>
      <c r="AE963">
        <v>0.86449758716934377</v>
      </c>
      <c r="AH963">
        <v>5.1925587479803026E-2</v>
      </c>
      <c r="AI963">
        <v>9.5387829860186346E-2</v>
      </c>
      <c r="AJ963">
        <v>9.2003436218774493E-2</v>
      </c>
      <c r="AK963">
        <v>6.6488628445201647E-2</v>
      </c>
      <c r="AL963">
        <v>0.12454008587201848</v>
      </c>
      <c r="AM963">
        <v>0.27085952116662837</v>
      </c>
      <c r="AN963">
        <v>7.6081039388769978E-2</v>
      </c>
      <c r="AO963">
        <v>0.18051739596850769</v>
      </c>
      <c r="AR963">
        <v>9.9624586168312046E-4</v>
      </c>
      <c r="AS963">
        <v>4.721136001679449E-3</v>
      </c>
      <c r="AT963">
        <v>0.10001117842939111</v>
      </c>
      <c r="AU963">
        <v>2.1233077172886361E-3</v>
      </c>
      <c r="AV963">
        <v>1.9091083418183805E-3</v>
      </c>
      <c r="AW963">
        <v>3.6999248443264632E-3</v>
      </c>
      <c r="AX963">
        <v>3.7589118522708665E-4</v>
      </c>
      <c r="AY963">
        <v>3.9769615051278161E-4</v>
      </c>
      <c r="BB963">
        <v>4.4348077086151495E-2</v>
      </c>
      <c r="BC963">
        <v>3.0233612463477801E-2</v>
      </c>
      <c r="BE963">
        <v>26803.163299722357</v>
      </c>
      <c r="BF963">
        <v>20.704657776609782</v>
      </c>
      <c r="BG963">
        <v>28508.132367477047</v>
      </c>
      <c r="BH963">
        <v>20.653592094798071</v>
      </c>
    </row>
    <row r="964" spans="3:60" x14ac:dyDescent="0.2">
      <c r="C964" s="138">
        <v>30000.711035205364</v>
      </c>
      <c r="D964">
        <v>21.70091000069884</v>
      </c>
      <c r="E964" s="138">
        <v>32090.856051883235</v>
      </c>
      <c r="F964" s="138">
        <v>21.699549309873852</v>
      </c>
      <c r="G964" s="138">
        <v>-2090.1450166778704</v>
      </c>
      <c r="H964" s="138">
        <v>1.3606908249883531E-3</v>
      </c>
      <c r="N964" s="138"/>
      <c r="O964" s="138"/>
      <c r="P964" s="138"/>
      <c r="R964">
        <v>67.574501236540669</v>
      </c>
      <c r="S964">
        <v>61.316191463267806</v>
      </c>
      <c r="T964">
        <v>293.84191266162401</v>
      </c>
      <c r="U964">
        <v>84.494872934874451</v>
      </c>
      <c r="X964">
        <v>0.59186198063362716</v>
      </c>
      <c r="Y964">
        <v>0.82137506760808643</v>
      </c>
      <c r="Z964">
        <v>0.56408789978239249</v>
      </c>
      <c r="AA964">
        <v>0.68473874335039397</v>
      </c>
      <c r="AB964">
        <v>0.5318140092825826</v>
      </c>
      <c r="AC964">
        <v>0.73736920515305404</v>
      </c>
      <c r="AD964">
        <v>0.87781479965412634</v>
      </c>
      <c r="AE964">
        <v>0.78228331481530555</v>
      </c>
      <c r="AH964">
        <v>0.14551512468445116</v>
      </c>
      <c r="AI964">
        <v>7.1466494806286862E-2</v>
      </c>
      <c r="AJ964">
        <v>6.6961823492838413E-2</v>
      </c>
      <c r="AK964">
        <v>5.0947395574387322E-2</v>
      </c>
      <c r="AL964">
        <v>9.0770211263732192E-2</v>
      </c>
      <c r="AM964">
        <v>6.8749990227042534E-2</v>
      </c>
      <c r="AN964">
        <v>2.5836429013551321E-2</v>
      </c>
      <c r="AO964">
        <v>3.7403057353501357E-2</v>
      </c>
      <c r="AR964">
        <v>8.1055738294131369E-4</v>
      </c>
      <c r="AS964">
        <v>4.4224739129042744E-3</v>
      </c>
      <c r="AT964">
        <v>9.9090485442266146E-2</v>
      </c>
      <c r="AU964">
        <v>1.8963739971017549E-3</v>
      </c>
      <c r="AV964">
        <v>1.9502331897355745E-3</v>
      </c>
      <c r="AW964">
        <v>3.1896697284188391E-3</v>
      </c>
      <c r="AX964">
        <v>4.2158250439938705E-4</v>
      </c>
      <c r="AY964">
        <v>3.6171498628474486E-4</v>
      </c>
      <c r="BB964">
        <v>4.5332845108077412E-2</v>
      </c>
      <c r="BC964">
        <v>4.6657695693786548E-2</v>
      </c>
      <c r="BE964">
        <v>30000.711035205364</v>
      </c>
      <c r="BF964">
        <v>21.70091000069884</v>
      </c>
      <c r="BG964">
        <v>32090.856051883235</v>
      </c>
      <c r="BH964">
        <v>21.699549309873852</v>
      </c>
    </row>
    <row r="965" spans="3:60" x14ac:dyDescent="0.2">
      <c r="C965" s="138">
        <v>34107.562113745793</v>
      </c>
      <c r="D965">
        <v>21.455019898190713</v>
      </c>
      <c r="E965" s="138">
        <v>36032.573828991786</v>
      </c>
      <c r="F965" s="138">
        <v>21.445320501882669</v>
      </c>
      <c r="G965" s="138">
        <v>-1925.0117152459934</v>
      </c>
      <c r="H965" s="138">
        <v>9.6993963080436174E-3</v>
      </c>
      <c r="N965" s="138"/>
      <c r="O965" s="138"/>
      <c r="P965" s="138"/>
      <c r="R965">
        <v>202.65706169843278</v>
      </c>
      <c r="S965">
        <v>65.701836039104023</v>
      </c>
      <c r="T965">
        <v>225.82114298083764</v>
      </c>
      <c r="U965">
        <v>87.786248595265562</v>
      </c>
      <c r="X965">
        <v>0.57339214099833369</v>
      </c>
      <c r="Y965">
        <v>0.77009636223896993</v>
      </c>
      <c r="Z965">
        <v>0.86944820887372165</v>
      </c>
      <c r="AA965">
        <v>0.75724952214449437</v>
      </c>
      <c r="AB965">
        <v>0.88015424933384123</v>
      </c>
      <c r="AC965">
        <v>0.60476539871488588</v>
      </c>
      <c r="AD965">
        <v>0.73001650091286951</v>
      </c>
      <c r="AE965">
        <v>0.86788877165828726</v>
      </c>
      <c r="AH965">
        <v>0.14022792471400114</v>
      </c>
      <c r="AI965">
        <v>0.17026116023532922</v>
      </c>
      <c r="AJ965">
        <v>0.22107135231665653</v>
      </c>
      <c r="AK965">
        <v>5.5376233904862016E-2</v>
      </c>
      <c r="AL965">
        <v>0.1808518278199599</v>
      </c>
      <c r="AM965">
        <v>0.10000774347597208</v>
      </c>
      <c r="AN965">
        <v>0.11682218480618012</v>
      </c>
      <c r="AO965">
        <v>0.3080717723687344</v>
      </c>
      <c r="AR965">
        <v>8.1811930433142786E-4</v>
      </c>
      <c r="AS965">
        <v>4.2653073412667079E-3</v>
      </c>
      <c r="AT965">
        <v>9.875956987139152E-2</v>
      </c>
      <c r="AU965">
        <v>1.9736766181644139E-3</v>
      </c>
      <c r="AV965">
        <v>2.1040333010604595E-3</v>
      </c>
      <c r="AW965">
        <v>2.9525514934727994E-3</v>
      </c>
      <c r="AX965">
        <v>3.1298203452237769E-4</v>
      </c>
      <c r="AY965">
        <v>5.3197612083288881E-4</v>
      </c>
      <c r="BB965">
        <v>5.1698325541299939E-2</v>
      </c>
      <c r="BC965">
        <v>8.5466901119073846E-2</v>
      </c>
      <c r="BE965">
        <v>34107.562113745793</v>
      </c>
      <c r="BF965">
        <v>21.455019898190713</v>
      </c>
      <c r="BG965">
        <v>36032.573828991786</v>
      </c>
      <c r="BH965">
        <v>21.445320501882669</v>
      </c>
    </row>
    <row r="966" spans="3:60" x14ac:dyDescent="0.2">
      <c r="C966" s="138">
        <v>32731.696989453154</v>
      </c>
      <c r="D966">
        <v>21.016207955783237</v>
      </c>
      <c r="E966" s="138">
        <v>35000.31203241316</v>
      </c>
      <c r="F966" s="138">
        <v>20.987591125135122</v>
      </c>
      <c r="G966" s="138">
        <v>-2268.6150429600057</v>
      </c>
      <c r="H966" s="138">
        <v>2.8616830648115155E-2</v>
      </c>
      <c r="N966" s="138"/>
      <c r="O966" s="138"/>
      <c r="P966" s="138"/>
      <c r="R966">
        <v>311.94955276616838</v>
      </c>
      <c r="S966">
        <v>61.12307192391642</v>
      </c>
      <c r="T966">
        <v>207.65138010901009</v>
      </c>
      <c r="U966">
        <v>119.64044144346022</v>
      </c>
      <c r="X966">
        <v>0.89728142483568263</v>
      </c>
      <c r="Y966">
        <v>0.89139875882973518</v>
      </c>
      <c r="Z966">
        <v>0.7454339362189375</v>
      </c>
      <c r="AA966">
        <v>0.7911748623646967</v>
      </c>
      <c r="AB966">
        <v>0.94078974383969149</v>
      </c>
      <c r="AC966">
        <v>0.60040129144393906</v>
      </c>
      <c r="AD966">
        <v>0.94634409356160631</v>
      </c>
      <c r="AE966">
        <v>0.64526616973633544</v>
      </c>
      <c r="AH966">
        <v>0.12748499777353994</v>
      </c>
      <c r="AI966">
        <v>0.22665269346745842</v>
      </c>
      <c r="AJ966">
        <v>0.14005053859849226</v>
      </c>
      <c r="AK966">
        <v>9.9551316545562263E-2</v>
      </c>
      <c r="AL966">
        <v>7.3273241497408104E-2</v>
      </c>
      <c r="AM966">
        <v>8.0357647594484161E-2</v>
      </c>
      <c r="AN966">
        <v>5.8456272293179401E-2</v>
      </c>
      <c r="AO966">
        <v>2.3931430279584776E-2</v>
      </c>
      <c r="AR966">
        <v>1.1003519900150138E-3</v>
      </c>
      <c r="AS966">
        <v>4.3794687570758327E-3</v>
      </c>
      <c r="AT966">
        <v>9.9315225894154716E-2</v>
      </c>
      <c r="AU966">
        <v>2.1482771710178428E-3</v>
      </c>
      <c r="AV966">
        <v>2.0791826082783293E-3</v>
      </c>
      <c r="AW966">
        <v>3.6975682213884475E-3</v>
      </c>
      <c r="AX966">
        <v>3.5495233889214694E-4</v>
      </c>
      <c r="AY966">
        <v>4.874400244657684E-4</v>
      </c>
      <c r="BB966">
        <v>4.8554791616016967E-2</v>
      </c>
      <c r="BC966">
        <v>3.1860102501923032E-2</v>
      </c>
      <c r="BE966">
        <v>32731.696989453154</v>
      </c>
      <c r="BF966">
        <v>21.016207955783237</v>
      </c>
      <c r="BG966">
        <v>35000.31203241316</v>
      </c>
      <c r="BH966">
        <v>20.987591125135122</v>
      </c>
    </row>
    <row r="967" spans="3:60" x14ac:dyDescent="0.2">
      <c r="C967" s="138">
        <v>28389.202572859875</v>
      </c>
      <c r="D967">
        <v>20.947327364159051</v>
      </c>
      <c r="E967" s="138">
        <v>30348.32834651566</v>
      </c>
      <c r="F967" s="138">
        <v>20.892383008061291</v>
      </c>
      <c r="G967" s="138">
        <v>-1959.1257736557855</v>
      </c>
      <c r="H967" s="138">
        <v>5.494435609776005E-2</v>
      </c>
      <c r="N967" s="138"/>
      <c r="O967" s="138"/>
      <c r="P967" s="138"/>
      <c r="R967">
        <v>356.41433062055074</v>
      </c>
      <c r="S967">
        <v>66.520852620120905</v>
      </c>
      <c r="T967">
        <v>271.11881164494042</v>
      </c>
      <c r="U967">
        <v>66.373426704737341</v>
      </c>
      <c r="X967">
        <v>0.90646812169617397</v>
      </c>
      <c r="Y967">
        <v>0.78637387624650834</v>
      </c>
      <c r="Z967">
        <v>0.73448711621172613</v>
      </c>
      <c r="AA967">
        <v>0.73963762277548006</v>
      </c>
      <c r="AB967">
        <v>0.94837039355528885</v>
      </c>
      <c r="AC967">
        <v>0.8449100188930535</v>
      </c>
      <c r="AD967">
        <v>0.95708629971760262</v>
      </c>
      <c r="AE967">
        <v>0.85253840634181521</v>
      </c>
      <c r="AH967">
        <v>8.4644210440867895E-2</v>
      </c>
      <c r="AI967">
        <v>0.18376221945189264</v>
      </c>
      <c r="AJ967">
        <v>0.1670596504233568</v>
      </c>
      <c r="AK967">
        <v>0.14160212102094649</v>
      </c>
      <c r="AL967">
        <v>0.11576449488142027</v>
      </c>
      <c r="AM967">
        <v>0.14405715899883664</v>
      </c>
      <c r="AN967">
        <v>2.9830924221222799E-2</v>
      </c>
      <c r="AO967">
        <v>0.11182063056381708</v>
      </c>
      <c r="AR967">
        <v>8.9959759881230728E-4</v>
      </c>
      <c r="AS967">
        <v>4.5385383654499289E-3</v>
      </c>
      <c r="AT967">
        <v>9.8794649411289917E-2</v>
      </c>
      <c r="AU967">
        <v>2.060664931765821E-3</v>
      </c>
      <c r="AV967">
        <v>2.1092792677617211E-3</v>
      </c>
      <c r="AW967">
        <v>3.2867341624150232E-3</v>
      </c>
      <c r="AX967">
        <v>4.3634366310218997E-4</v>
      </c>
      <c r="AY967">
        <v>3.79886622620222E-4</v>
      </c>
      <c r="BB967">
        <v>4.4094915381999993E-2</v>
      </c>
      <c r="BC967">
        <v>5.0584069096207718E-2</v>
      </c>
      <c r="BE967">
        <v>28389.202572859875</v>
      </c>
      <c r="BF967">
        <v>20.947327364159051</v>
      </c>
      <c r="BG967">
        <v>30348.32834651566</v>
      </c>
      <c r="BH967">
        <v>20.892383008061291</v>
      </c>
    </row>
    <row r="968" spans="3:60" x14ac:dyDescent="0.2">
      <c r="C968" s="138">
        <v>29426.043014265106</v>
      </c>
      <c r="D968">
        <v>20.727226093553686</v>
      </c>
      <c r="E968" s="138">
        <v>31426.424533520796</v>
      </c>
      <c r="F968" s="138">
        <v>20.69473512466304</v>
      </c>
      <c r="G968" s="138">
        <v>-2000.3815192556904</v>
      </c>
      <c r="H968" s="138">
        <v>3.2490968890645178E-2</v>
      </c>
      <c r="N968" s="138"/>
      <c r="O968" s="138"/>
      <c r="P968" s="138"/>
      <c r="R968">
        <v>288.03239879493469</v>
      </c>
      <c r="S968">
        <v>54.343779305705354</v>
      </c>
      <c r="T968">
        <v>256.08869819153284</v>
      </c>
      <c r="U968">
        <v>107.17269309591244</v>
      </c>
      <c r="X968">
        <v>0.86317308041140484</v>
      </c>
      <c r="Y968">
        <v>0.88485848362977393</v>
      </c>
      <c r="Z968">
        <v>0.58099529599904565</v>
      </c>
      <c r="AA968">
        <v>0.9013637248253904</v>
      </c>
      <c r="AB968">
        <v>0.78745052615456634</v>
      </c>
      <c r="AC968">
        <v>0.59949081449702157</v>
      </c>
      <c r="AD968">
        <v>0.87965566086150249</v>
      </c>
      <c r="AE968">
        <v>0.89569587893000402</v>
      </c>
      <c r="AH968">
        <v>6.1676753325996647E-2</v>
      </c>
      <c r="AI968">
        <v>0.13820116832633189</v>
      </c>
      <c r="AJ968">
        <v>0.14103557999534699</v>
      </c>
      <c r="AK968">
        <v>2.6430350274021519E-2</v>
      </c>
      <c r="AL968">
        <v>0.19776582644684082</v>
      </c>
      <c r="AM968">
        <v>7.8895005194912216E-2</v>
      </c>
      <c r="AN968">
        <v>0.17944061881219708</v>
      </c>
      <c r="AO968">
        <v>9.9079341827388312E-3</v>
      </c>
      <c r="AR968">
        <v>8.6889857349772305E-4</v>
      </c>
      <c r="AS968">
        <v>4.8325257971449931E-3</v>
      </c>
      <c r="AT968">
        <v>9.9320290937683631E-2</v>
      </c>
      <c r="AU968">
        <v>2.0378978455183328E-3</v>
      </c>
      <c r="AV968">
        <v>2.2464801957390312E-3</v>
      </c>
      <c r="AW968">
        <v>3.468262865016114E-3</v>
      </c>
      <c r="AX968">
        <v>4.3653834460133378E-4</v>
      </c>
      <c r="AY968">
        <v>6.0910690025128833E-4</v>
      </c>
      <c r="BB968">
        <v>4.7361263814551628E-2</v>
      </c>
      <c r="BC968">
        <v>6.5706208981282765E-2</v>
      </c>
      <c r="BE968">
        <v>29426.043014265106</v>
      </c>
      <c r="BF968">
        <v>20.727226093553686</v>
      </c>
      <c r="BG968">
        <v>31426.424533520796</v>
      </c>
      <c r="BH968">
        <v>20.69473512466304</v>
      </c>
    </row>
    <row r="969" spans="3:60" x14ac:dyDescent="0.2">
      <c r="C969" s="138">
        <v>31905.792793140907</v>
      </c>
      <c r="D969">
        <v>20.866410330675173</v>
      </c>
      <c r="E969" s="138">
        <v>33914.519892666489</v>
      </c>
      <c r="F969" s="138">
        <v>20.866135087618662</v>
      </c>
      <c r="G969" s="138">
        <v>-2008.7270995255822</v>
      </c>
      <c r="H969" s="138">
        <v>2.7524305651027703E-4</v>
      </c>
      <c r="N969" s="138"/>
      <c r="O969" s="138"/>
      <c r="P969" s="138"/>
      <c r="R969">
        <v>64.93038942946373</v>
      </c>
      <c r="S969">
        <v>63.375852333309552</v>
      </c>
      <c r="T969">
        <v>282.58434783247395</v>
      </c>
      <c r="U969">
        <v>94.411487275049637</v>
      </c>
      <c r="X969">
        <v>0.5065587568498513</v>
      </c>
      <c r="Y969">
        <v>0.7679784381688326</v>
      </c>
      <c r="Z969">
        <v>0.58839914541233795</v>
      </c>
      <c r="AA969">
        <v>0.75426997084234437</v>
      </c>
      <c r="AB969">
        <v>0.85544941001100949</v>
      </c>
      <c r="AC969">
        <v>0.97269662129477175</v>
      </c>
      <c r="AD969">
        <v>0.65598792604265033</v>
      </c>
      <c r="AE969">
        <v>0.63399972016685857</v>
      </c>
      <c r="AH969">
        <v>4.1180236684393634E-2</v>
      </c>
      <c r="AI969">
        <v>9.9481485763592281E-2</v>
      </c>
      <c r="AJ969">
        <v>0.18216143992813982</v>
      </c>
      <c r="AK969">
        <v>5.7987182558737027E-2</v>
      </c>
      <c r="AL969">
        <v>0.17168446678581639</v>
      </c>
      <c r="AM969">
        <v>0.3008545102482042</v>
      </c>
      <c r="AN969">
        <v>0.20901508970733895</v>
      </c>
      <c r="AO969">
        <v>0.18453317036946215</v>
      </c>
      <c r="AR969">
        <v>9.0484851322203408E-4</v>
      </c>
      <c r="AS969">
        <v>4.8963113893037979E-3</v>
      </c>
      <c r="AT969">
        <v>0.10028794399313401</v>
      </c>
      <c r="AU969">
        <v>2.0509945988597122E-3</v>
      </c>
      <c r="AV969">
        <v>1.9267267870701967E-3</v>
      </c>
      <c r="AW969">
        <v>3.4700671691614282E-3</v>
      </c>
      <c r="AX969">
        <v>3.8419249882698503E-4</v>
      </c>
      <c r="AY969">
        <v>3.8952230939331425E-4</v>
      </c>
      <c r="BB969">
        <v>4.5083774693371811E-2</v>
      </c>
      <c r="BC969">
        <v>4.6471059767488838E-2</v>
      </c>
      <c r="BE969">
        <v>31905.792793140907</v>
      </c>
      <c r="BF969">
        <v>20.866410330675173</v>
      </c>
      <c r="BG969">
        <v>33914.519892666489</v>
      </c>
      <c r="BH969">
        <v>20.866135087618662</v>
      </c>
    </row>
    <row r="970" spans="3:60" x14ac:dyDescent="0.2">
      <c r="C970" s="138">
        <v>32830.299454424174</v>
      </c>
      <c r="D970">
        <v>21.05869405477339</v>
      </c>
      <c r="E970" s="138">
        <v>35195.44709830061</v>
      </c>
      <c r="F970" s="138">
        <v>21.021712017305639</v>
      </c>
      <c r="G970" s="138">
        <v>-2365.1476438764366</v>
      </c>
      <c r="H970" s="138">
        <v>3.6982037467751638E-2</v>
      </c>
      <c r="N970" s="138"/>
      <c r="O970" s="138"/>
      <c r="P970" s="138"/>
      <c r="R970">
        <v>236.37481467207775</v>
      </c>
      <c r="S970">
        <v>65.213074903085911</v>
      </c>
      <c r="T970">
        <v>231.9334220517334</v>
      </c>
      <c r="U970">
        <v>85.655499170841537</v>
      </c>
      <c r="X970">
        <v>0.60924718256120014</v>
      </c>
      <c r="Y970">
        <v>0.94183566744379177</v>
      </c>
      <c r="Z970">
        <v>0.54968171543450983</v>
      </c>
      <c r="AA970">
        <v>0.77363065700086664</v>
      </c>
      <c r="AB970">
        <v>0.77002699922311779</v>
      </c>
      <c r="AC970">
        <v>0.84101287874108033</v>
      </c>
      <c r="AD970">
        <v>0.79306614524698116</v>
      </c>
      <c r="AE970">
        <v>0.67400190766401213</v>
      </c>
      <c r="AH970">
        <v>0.13385917790150836</v>
      </c>
      <c r="AI970">
        <v>8.7462274715737864E-2</v>
      </c>
      <c r="AJ970">
        <v>0.18048974919806404</v>
      </c>
      <c r="AK970">
        <v>0.10047533178268031</v>
      </c>
      <c r="AL970">
        <v>0.11336519866892114</v>
      </c>
      <c r="AM970">
        <v>0.19499279484707777</v>
      </c>
      <c r="AN970">
        <v>0.21565653208843516</v>
      </c>
      <c r="AO970">
        <v>0.12178991350607216</v>
      </c>
      <c r="AR970">
        <v>7.7440940778134883E-4</v>
      </c>
      <c r="AS970">
        <v>4.4186979001325484E-3</v>
      </c>
      <c r="AT970">
        <v>9.9285718714094653E-2</v>
      </c>
      <c r="AU970">
        <v>1.8913233930214146E-3</v>
      </c>
      <c r="AV970">
        <v>1.9275899870515437E-3</v>
      </c>
      <c r="AW970">
        <v>3.4811513982727638E-3</v>
      </c>
      <c r="AX970">
        <v>3.4580249061411052E-4</v>
      </c>
      <c r="AY970">
        <v>5.8346612241166884E-4</v>
      </c>
      <c r="BB970">
        <v>5.3238731937432893E-2</v>
      </c>
      <c r="BC970">
        <v>4.6720352200747106E-2</v>
      </c>
      <c r="BE970">
        <v>32830.299454424174</v>
      </c>
      <c r="BF970">
        <v>21.05869405477339</v>
      </c>
      <c r="BG970">
        <v>35195.44709830061</v>
      </c>
      <c r="BH970">
        <v>21.021712017305639</v>
      </c>
    </row>
    <row r="971" spans="3:60" x14ac:dyDescent="0.2">
      <c r="C971" s="138">
        <v>31317.84903001973</v>
      </c>
      <c r="D971">
        <v>21.22024341054545</v>
      </c>
      <c r="E971" s="138">
        <v>33392.399494637211</v>
      </c>
      <c r="F971" s="138">
        <v>21.194979951608587</v>
      </c>
      <c r="G971" s="138">
        <v>-2074.5504646174813</v>
      </c>
      <c r="H971" s="138">
        <v>2.5263458936862548E-2</v>
      </c>
      <c r="N971" s="138"/>
      <c r="O971" s="138"/>
      <c r="P971" s="138"/>
      <c r="R971">
        <v>348.63330482672632</v>
      </c>
      <c r="S971">
        <v>66.149224876890756</v>
      </c>
      <c r="T971">
        <v>250.29700759606439</v>
      </c>
      <c r="U971">
        <v>101.05339587656343</v>
      </c>
      <c r="X971">
        <v>0.64460349127174399</v>
      </c>
      <c r="Y971">
        <v>0.68058236126172789</v>
      </c>
      <c r="Z971">
        <v>0.66627582122559703</v>
      </c>
      <c r="AA971">
        <v>0.95121699276012239</v>
      </c>
      <c r="AB971">
        <v>0.90999734834462165</v>
      </c>
      <c r="AC971">
        <v>0.68246600042684458</v>
      </c>
      <c r="AD971">
        <v>0.6787898672671937</v>
      </c>
      <c r="AE971">
        <v>0.83672467401179218</v>
      </c>
      <c r="AH971">
        <v>9.2128558455445542E-2</v>
      </c>
      <c r="AI971">
        <v>9.8810170308378353E-2</v>
      </c>
      <c r="AJ971">
        <v>0.18208275900230564</v>
      </c>
      <c r="AK971">
        <v>0.11487299070998191</v>
      </c>
      <c r="AL971">
        <v>0.20046551032247673</v>
      </c>
      <c r="AM971">
        <v>0.35519011691241487</v>
      </c>
      <c r="AN971">
        <v>0.22465826578881742</v>
      </c>
      <c r="AO971">
        <v>0.15730738871250183</v>
      </c>
      <c r="AR971">
        <v>9.2645538742930356E-4</v>
      </c>
      <c r="AS971">
        <v>4.3189340553135376E-3</v>
      </c>
      <c r="AT971">
        <v>9.8489844665415383E-2</v>
      </c>
      <c r="AU971">
        <v>1.7876790992261062E-3</v>
      </c>
      <c r="AV971">
        <v>2.1877503998374292E-3</v>
      </c>
      <c r="AW971">
        <v>3.1737938852839736E-3</v>
      </c>
      <c r="AX971">
        <v>3.30917798041853E-4</v>
      </c>
      <c r="AY971">
        <v>4.1891689432523266E-4</v>
      </c>
      <c r="BB971">
        <v>5.3201151259668844E-2</v>
      </c>
      <c r="BC971">
        <v>8.5159582323782734E-2</v>
      </c>
      <c r="BE971">
        <v>31317.84903001973</v>
      </c>
      <c r="BF971">
        <v>21.22024341054545</v>
      </c>
      <c r="BG971">
        <v>33392.399494637211</v>
      </c>
      <c r="BH971">
        <v>21.194979951608587</v>
      </c>
    </row>
    <row r="972" spans="3:60" x14ac:dyDescent="0.2">
      <c r="C972" s="138">
        <v>30779.675112174358</v>
      </c>
      <c r="D972">
        <v>21.413679780830876</v>
      </c>
      <c r="E972" s="138">
        <v>32915.863798215643</v>
      </c>
      <c r="F972" s="138">
        <v>21.400402147377726</v>
      </c>
      <c r="G972" s="138">
        <v>-2136.1886860412851</v>
      </c>
      <c r="H972" s="138">
        <v>1.3277633453149917E-2</v>
      </c>
      <c r="N972" s="138"/>
      <c r="O972" s="138"/>
      <c r="P972" s="138"/>
      <c r="R972">
        <v>277.7381660223956</v>
      </c>
      <c r="S972">
        <v>53.311371866787468</v>
      </c>
      <c r="T972">
        <v>258.39417801631498</v>
      </c>
      <c r="U972">
        <v>98.070911615552561</v>
      </c>
      <c r="X972">
        <v>0.51881906802600308</v>
      </c>
      <c r="Y972">
        <v>0.92512622691791468</v>
      </c>
      <c r="Z972">
        <v>0.78390052368929863</v>
      </c>
      <c r="AA972">
        <v>0.66637863592244706</v>
      </c>
      <c r="AB972">
        <v>0.86881333779052405</v>
      </c>
      <c r="AC972">
        <v>0.71166196550263217</v>
      </c>
      <c r="AD972">
        <v>0.75234975519943981</v>
      </c>
      <c r="AE972">
        <v>0.88371226248174373</v>
      </c>
      <c r="AH972">
        <v>2.6277777453320716E-2</v>
      </c>
      <c r="AI972">
        <v>9.495551230856214E-2</v>
      </c>
      <c r="AJ972">
        <v>0.15614885500882081</v>
      </c>
      <c r="AK972">
        <v>4.4531039652444093E-2</v>
      </c>
      <c r="AL972">
        <v>0.16161912176581095</v>
      </c>
      <c r="AM972">
        <v>1.7353563953877105E-2</v>
      </c>
      <c r="AN972">
        <v>0.17376155622251011</v>
      </c>
      <c r="AO972">
        <v>0.14505345857236773</v>
      </c>
      <c r="AR972">
        <v>8.7572292055296871E-4</v>
      </c>
      <c r="AS972">
        <v>4.671803047451184E-3</v>
      </c>
      <c r="AT972">
        <v>0.10057620172433979</v>
      </c>
      <c r="AU972">
        <v>1.8743995226289292E-3</v>
      </c>
      <c r="AV972">
        <v>1.818015251194027E-3</v>
      </c>
      <c r="AW972">
        <v>3.1855006775671729E-3</v>
      </c>
      <c r="AX972">
        <v>5.0877686392147847E-4</v>
      </c>
      <c r="AY972">
        <v>4.1051631150106668E-4</v>
      </c>
      <c r="BB972">
        <v>5.2254750647290571E-2</v>
      </c>
      <c r="BC972">
        <v>5.0296014909160802E-2</v>
      </c>
      <c r="BE972">
        <v>30779.675112174358</v>
      </c>
      <c r="BF972">
        <v>21.413679780830876</v>
      </c>
      <c r="BG972">
        <v>32915.863798215643</v>
      </c>
      <c r="BH972">
        <v>21.400402147377726</v>
      </c>
    </row>
    <row r="973" spans="3:60" x14ac:dyDescent="0.2">
      <c r="C973" s="138">
        <v>30003.561970179322</v>
      </c>
      <c r="D973">
        <v>21.37665105433663</v>
      </c>
      <c r="E973" s="138">
        <v>32171.834208185755</v>
      </c>
      <c r="F973" s="138">
        <v>21.416521309467832</v>
      </c>
      <c r="G973" s="138">
        <v>-2168.2722380064333</v>
      </c>
      <c r="H973" s="138">
        <v>-3.9870255131202015E-2</v>
      </c>
      <c r="N973" s="138"/>
      <c r="O973" s="138"/>
      <c r="P973" s="138"/>
      <c r="R973">
        <v>167.5015196597659</v>
      </c>
      <c r="S973">
        <v>65.125100570186234</v>
      </c>
      <c r="T973">
        <v>252.89992109066429</v>
      </c>
      <c r="U973">
        <v>114.55950144247666</v>
      </c>
      <c r="X973">
        <v>0.75693245587550595</v>
      </c>
      <c r="Y973">
        <v>0.71242395079351506</v>
      </c>
      <c r="Z973">
        <v>0.68157301531896652</v>
      </c>
      <c r="AA973">
        <v>0.79824981042733667</v>
      </c>
      <c r="AB973">
        <v>0.81771908599288401</v>
      </c>
      <c r="AC973">
        <v>0.73343567167486123</v>
      </c>
      <c r="AD973">
        <v>0.59411983907315113</v>
      </c>
      <c r="AE973">
        <v>0.91921560603302099</v>
      </c>
      <c r="AH973">
        <v>0.17646086599105459</v>
      </c>
      <c r="AI973">
        <v>0.15476526302589333</v>
      </c>
      <c r="AJ973">
        <v>5.7209203484742788E-2</v>
      </c>
      <c r="AK973">
        <v>8.9930778039987835E-2</v>
      </c>
      <c r="AL973">
        <v>0.12702345152207339</v>
      </c>
      <c r="AM973">
        <v>4.1585223879049282E-2</v>
      </c>
      <c r="AN973">
        <v>0.10320079276737337</v>
      </c>
      <c r="AO973">
        <v>2.6503017442657928E-2</v>
      </c>
      <c r="AR973">
        <v>1.0352573424113887E-3</v>
      </c>
      <c r="AS973">
        <v>4.3546009850634936E-3</v>
      </c>
      <c r="AT973">
        <v>0.10027680600897826</v>
      </c>
      <c r="AU973">
        <v>1.9770282815203205E-3</v>
      </c>
      <c r="AV973">
        <v>1.9789370916333086E-3</v>
      </c>
      <c r="AW973">
        <v>3.5921361947939268E-3</v>
      </c>
      <c r="AX973">
        <v>4.1123703883050311E-4</v>
      </c>
      <c r="AY973">
        <v>3.863755394922272E-4</v>
      </c>
      <c r="BB973">
        <v>4.8194666719489763E-2</v>
      </c>
      <c r="BC973">
        <v>4.132644179770717E-2</v>
      </c>
      <c r="BE973">
        <v>30003.561970179322</v>
      </c>
      <c r="BF973">
        <v>21.37665105433663</v>
      </c>
      <c r="BG973">
        <v>32171.834208185755</v>
      </c>
      <c r="BH973">
        <v>21.416521309467832</v>
      </c>
    </row>
    <row r="974" spans="3:60" x14ac:dyDescent="0.2">
      <c r="C974" s="138">
        <v>29700.609707531006</v>
      </c>
      <c r="D974">
        <v>20.561515760840837</v>
      </c>
      <c r="E974" s="138">
        <v>31583.735590922963</v>
      </c>
      <c r="F974" s="138">
        <v>20.502479536657688</v>
      </c>
      <c r="G974" s="138">
        <v>-1883.1258833919564</v>
      </c>
      <c r="H974" s="138">
        <v>5.9036224183149244E-2</v>
      </c>
      <c r="N974" s="138"/>
      <c r="O974" s="138"/>
      <c r="P974" s="138"/>
      <c r="R974">
        <v>241.35808457634454</v>
      </c>
      <c r="S974">
        <v>64.9341170733707</v>
      </c>
      <c r="T974">
        <v>246.6356432826083</v>
      </c>
      <c r="U974">
        <v>99.710853316478136</v>
      </c>
      <c r="X974">
        <v>0.86312463187268373</v>
      </c>
      <c r="Y974">
        <v>0.75735499211495172</v>
      </c>
      <c r="Z974">
        <v>0.80088035321058593</v>
      </c>
      <c r="AA974">
        <v>0.73725119480502765</v>
      </c>
      <c r="AB974">
        <v>0.71633136751722637</v>
      </c>
      <c r="AC974">
        <v>0.91856636494423016</v>
      </c>
      <c r="AD974">
        <v>0.69968139732967205</v>
      </c>
      <c r="AE974">
        <v>0.74717859211012494</v>
      </c>
      <c r="AH974">
        <v>3.0540699202761701E-2</v>
      </c>
      <c r="AI974">
        <v>0.16720412346881786</v>
      </c>
      <c r="AJ974">
        <v>0.14498091212578301</v>
      </c>
      <c r="AK974">
        <v>4.4754553425498944E-2</v>
      </c>
      <c r="AL974">
        <v>3.2434533964256218E-3</v>
      </c>
      <c r="AM974">
        <v>0.28451342433376592</v>
      </c>
      <c r="AN974">
        <v>3.3759759450964655E-2</v>
      </c>
      <c r="AO974">
        <v>9.1051715626473184E-2</v>
      </c>
      <c r="AR974">
        <v>8.3530768756071027E-4</v>
      </c>
      <c r="AS974">
        <v>4.4331577606732241E-3</v>
      </c>
      <c r="AT974">
        <v>9.9755260547358171E-2</v>
      </c>
      <c r="AU974">
        <v>2.1407014862737661E-3</v>
      </c>
      <c r="AV974">
        <v>1.8260533511371194E-3</v>
      </c>
      <c r="AW974">
        <v>3.2191146791261142E-3</v>
      </c>
      <c r="AX974">
        <v>3.7695446660236784E-4</v>
      </c>
      <c r="AY974">
        <v>4.1440007021206521E-4</v>
      </c>
      <c r="BB974">
        <v>5.666496256996556E-2</v>
      </c>
      <c r="BC974">
        <v>4.9619230899245692E-2</v>
      </c>
      <c r="BE974">
        <v>29700.609707531006</v>
      </c>
      <c r="BF974">
        <v>20.561515760840837</v>
      </c>
      <c r="BG974">
        <v>31583.735590922963</v>
      </c>
      <c r="BH974">
        <v>20.502479536657688</v>
      </c>
    </row>
    <row r="975" spans="3:60" x14ac:dyDescent="0.2">
      <c r="C975" s="138">
        <v>30825.754343602348</v>
      </c>
      <c r="D975">
        <v>21.255784301055723</v>
      </c>
      <c r="E975" s="138">
        <v>32941.150857661713</v>
      </c>
      <c r="F975" s="138">
        <v>21.231602007967645</v>
      </c>
      <c r="G975" s="138">
        <v>-2115.3965140593646</v>
      </c>
      <c r="H975" s="138">
        <v>2.4182293088077955E-2</v>
      </c>
      <c r="N975" s="138"/>
      <c r="O975" s="138"/>
      <c r="P975" s="138"/>
      <c r="R975">
        <v>293.19888319669059</v>
      </c>
      <c r="S975">
        <v>60.672497634396542</v>
      </c>
      <c r="T975">
        <v>213.53925426952847</v>
      </c>
      <c r="U975">
        <v>81.792611224510523</v>
      </c>
      <c r="X975">
        <v>0.7173988956756796</v>
      </c>
      <c r="Y975">
        <v>0.76591206467730466</v>
      </c>
      <c r="Z975">
        <v>0.87609294716944353</v>
      </c>
      <c r="AA975">
        <v>0.74858892340100347</v>
      </c>
      <c r="AB975">
        <v>0.72203502965360855</v>
      </c>
      <c r="AC975">
        <v>0.77577680373852864</v>
      </c>
      <c r="AD975">
        <v>0.59834382322002111</v>
      </c>
      <c r="AE975">
        <v>0.86502941278584333</v>
      </c>
      <c r="AH975">
        <v>0.28150630262904053</v>
      </c>
      <c r="AI975">
        <v>3.4723903784429577E-2</v>
      </c>
      <c r="AJ975">
        <v>0.18777836398757319</v>
      </c>
      <c r="AK975">
        <v>0.14496240161185714</v>
      </c>
      <c r="AL975">
        <v>0.14103007290239222</v>
      </c>
      <c r="AM975">
        <v>0.14423366698202356</v>
      </c>
      <c r="AN975">
        <v>0.2345619690971118</v>
      </c>
      <c r="AO975">
        <v>0.15763784766575184</v>
      </c>
      <c r="AR975">
        <v>9.5824793145671272E-4</v>
      </c>
      <c r="AS975">
        <v>4.8279210806606576E-3</v>
      </c>
      <c r="AT975">
        <v>0.10007204026709726</v>
      </c>
      <c r="AU975">
        <v>1.8627461070959278E-3</v>
      </c>
      <c r="AV975">
        <v>1.9688619206782291E-3</v>
      </c>
      <c r="AW975">
        <v>3.5965712858803123E-3</v>
      </c>
      <c r="AX975">
        <v>3.8805022155002759E-4</v>
      </c>
      <c r="AY975">
        <v>4.7813976249100332E-4</v>
      </c>
      <c r="BB975">
        <v>4.6712541857942907E-2</v>
      </c>
      <c r="BC975">
        <v>8.657490793225564E-2</v>
      </c>
      <c r="BE975">
        <v>30825.754343602348</v>
      </c>
      <c r="BF975">
        <v>21.255784301055723</v>
      </c>
      <c r="BG975">
        <v>32941.150857661713</v>
      </c>
      <c r="BH975">
        <v>21.231602007967645</v>
      </c>
    </row>
    <row r="976" spans="3:60" x14ac:dyDescent="0.2">
      <c r="C976" s="138">
        <v>33457.286466546429</v>
      </c>
      <c r="D976">
        <v>20.864891924739563</v>
      </c>
      <c r="E976" s="138">
        <v>35541.586180056227</v>
      </c>
      <c r="F976" s="138">
        <v>20.846530874493954</v>
      </c>
      <c r="G976" s="138">
        <v>-2084.2997135097976</v>
      </c>
      <c r="H976" s="138">
        <v>1.8361050245609079E-2</v>
      </c>
      <c r="N976" s="138"/>
      <c r="O976" s="138"/>
      <c r="P976" s="138"/>
      <c r="R976">
        <v>228.06784507035306</v>
      </c>
      <c r="S976">
        <v>77.447563775453887</v>
      </c>
      <c r="T976">
        <v>266.72564600421123</v>
      </c>
      <c r="U976">
        <v>105.31982893721762</v>
      </c>
      <c r="X976">
        <v>0.80075654839719812</v>
      </c>
      <c r="Y976">
        <v>0.7187316542465565</v>
      </c>
      <c r="Z976">
        <v>0.94715130946087378</v>
      </c>
      <c r="AA976">
        <v>0.66291126675194123</v>
      </c>
      <c r="AB976">
        <v>0.8032842107790471</v>
      </c>
      <c r="AC976">
        <v>0.83522565058334874</v>
      </c>
      <c r="AD976">
        <v>0.39129183871782663</v>
      </c>
      <c r="AE976">
        <v>0.63690053668892155</v>
      </c>
      <c r="AH976">
        <v>8.1603887738150971E-2</v>
      </c>
      <c r="AI976">
        <v>0.13472220047935979</v>
      </c>
      <c r="AJ976">
        <v>0.13559124722758953</v>
      </c>
      <c r="AK976">
        <v>0.1682570478655302</v>
      </c>
      <c r="AL976">
        <v>5.5986711928027733E-3</v>
      </c>
      <c r="AM976">
        <v>0.14862456652114531</v>
      </c>
      <c r="AN976">
        <v>0.10983323704299675</v>
      </c>
      <c r="AO976">
        <v>0.28422502345636191</v>
      </c>
      <c r="AR976">
        <v>8.7177762609138372E-4</v>
      </c>
      <c r="AS976">
        <v>4.5018389753722632E-3</v>
      </c>
      <c r="AT976">
        <v>9.9115265352492293E-2</v>
      </c>
      <c r="AU976">
        <v>1.7648192747475805E-3</v>
      </c>
      <c r="AV976">
        <v>2.1449649563236584E-3</v>
      </c>
      <c r="AW976">
        <v>3.6067094875150696E-3</v>
      </c>
      <c r="AX976">
        <v>4.1470577468294412E-4</v>
      </c>
      <c r="AY976">
        <v>4.649448512550336E-4</v>
      </c>
      <c r="BB976">
        <v>4.7652125360264357E-2</v>
      </c>
      <c r="BC976">
        <v>2.1857523169042683E-2</v>
      </c>
      <c r="BE976">
        <v>33457.286466546429</v>
      </c>
      <c r="BF976">
        <v>20.864891924739563</v>
      </c>
      <c r="BG976">
        <v>35541.586180056227</v>
      </c>
      <c r="BH976">
        <v>20.846530874493954</v>
      </c>
    </row>
    <row r="977" spans="3:60" x14ac:dyDescent="0.2">
      <c r="C977" s="138">
        <v>32014.500414304322</v>
      </c>
      <c r="D977">
        <v>21.924062333516851</v>
      </c>
      <c r="E977" s="138">
        <v>34338.015452496489</v>
      </c>
      <c r="F977" s="138">
        <v>21.923306764867206</v>
      </c>
      <c r="G977" s="138">
        <v>-2323.5150381921667</v>
      </c>
      <c r="H977" s="138">
        <v>7.5556864964454462E-4</v>
      </c>
      <c r="N977" s="138"/>
      <c r="O977" s="138"/>
      <c r="P977" s="138"/>
      <c r="R977">
        <v>333.22072686603252</v>
      </c>
      <c r="S977">
        <v>54.505721222923754</v>
      </c>
      <c r="T977">
        <v>262.29768614939888</v>
      </c>
      <c r="U977">
        <v>84.084803647219786</v>
      </c>
      <c r="X977">
        <v>0.67862472393200679</v>
      </c>
      <c r="Y977">
        <v>0.87467949547107171</v>
      </c>
      <c r="Z977">
        <v>0.87728096695770974</v>
      </c>
      <c r="AA977">
        <v>0.92004475651573059</v>
      </c>
      <c r="AB977">
        <v>0.85581861561758255</v>
      </c>
      <c r="AC977">
        <v>0.61498090922450377</v>
      </c>
      <c r="AD977">
        <v>0.78888013929317669</v>
      </c>
      <c r="AE977">
        <v>0.56094750816575711</v>
      </c>
      <c r="AH977">
        <v>0.10350353566023929</v>
      </c>
      <c r="AI977">
        <v>0.13312430258762065</v>
      </c>
      <c r="AJ977">
        <v>5.9980005739524112E-2</v>
      </c>
      <c r="AK977">
        <v>7.2337313792366187E-2</v>
      </c>
      <c r="AL977">
        <v>0.16928259367655663</v>
      </c>
      <c r="AM977">
        <v>0.47625353200271403</v>
      </c>
      <c r="AN977">
        <v>0.24825275266904145</v>
      </c>
      <c r="AO977">
        <v>0.1340800076834715</v>
      </c>
      <c r="AR977">
        <v>1.0536982008254592E-3</v>
      </c>
      <c r="AS977">
        <v>4.4485224554339431E-3</v>
      </c>
      <c r="AT977">
        <v>0.10002698345837813</v>
      </c>
      <c r="AU977">
        <v>2.0184113081105348E-3</v>
      </c>
      <c r="AV977">
        <v>2.1857932265599844E-3</v>
      </c>
      <c r="AW977">
        <v>3.4111484876147014E-3</v>
      </c>
      <c r="AX977">
        <v>4.4354299630489091E-4</v>
      </c>
      <c r="AY977">
        <v>3.9461167703960006E-4</v>
      </c>
      <c r="BB977">
        <v>5.1000093237837163E-2</v>
      </c>
      <c r="BC977">
        <v>9.7478306407575377E-2</v>
      </c>
      <c r="BE977">
        <v>32014.500414304322</v>
      </c>
      <c r="BF977">
        <v>21.924062333516851</v>
      </c>
      <c r="BG977">
        <v>34338.015452496489</v>
      </c>
      <c r="BH977">
        <v>21.923306764867206</v>
      </c>
    </row>
    <row r="978" spans="3:60" x14ac:dyDescent="0.2">
      <c r="C978" s="138">
        <v>41680.785571274442</v>
      </c>
      <c r="D978">
        <v>21.123691090581545</v>
      </c>
      <c r="E978" s="138">
        <v>44133.596647028957</v>
      </c>
      <c r="F978" s="138">
        <v>21.111549094569845</v>
      </c>
      <c r="G978" s="138">
        <v>-2452.8110757545146</v>
      </c>
      <c r="H978" s="138">
        <v>1.2141996011699518E-2</v>
      </c>
      <c r="N978" s="138"/>
      <c r="O978" s="138"/>
      <c r="P978" s="138"/>
      <c r="R978">
        <v>199.90211960082507</v>
      </c>
      <c r="S978">
        <v>69.425882141145337</v>
      </c>
      <c r="T978">
        <v>205.10380345885343</v>
      </c>
      <c r="U978">
        <v>101.4384024263972</v>
      </c>
      <c r="X978">
        <v>0.66074266399782555</v>
      </c>
      <c r="Y978">
        <v>0.71203402127871773</v>
      </c>
      <c r="Z978">
        <v>0.60818831852394484</v>
      </c>
      <c r="AA978">
        <v>0.81712133361155592</v>
      </c>
      <c r="AB978">
        <v>0.56580336993654223</v>
      </c>
      <c r="AC978">
        <v>0.74072032614662231</v>
      </c>
      <c r="AD978">
        <v>0.67095821906195463</v>
      </c>
      <c r="AE978">
        <v>0.81087303851955161</v>
      </c>
      <c r="AH978">
        <v>0.25346775634607754</v>
      </c>
      <c r="AI978">
        <v>0.20019001747292553</v>
      </c>
      <c r="AJ978">
        <v>0.36479678249124836</v>
      </c>
      <c r="AK978">
        <v>6.1594625608314635E-2</v>
      </c>
      <c r="AL978">
        <v>0.24942103078597688</v>
      </c>
      <c r="AM978">
        <v>0.28499015835365415</v>
      </c>
      <c r="AN978">
        <v>8.9277419212089537E-2</v>
      </c>
      <c r="AO978">
        <v>9.9627549214858169E-2</v>
      </c>
      <c r="AR978">
        <v>9.3614882164760882E-4</v>
      </c>
      <c r="AS978">
        <v>4.8853061505400586E-3</v>
      </c>
      <c r="AT978">
        <v>9.9397520927502162E-2</v>
      </c>
      <c r="AU978">
        <v>2.0311401094228465E-3</v>
      </c>
      <c r="AV978">
        <v>1.9885623020544033E-3</v>
      </c>
      <c r="AW978">
        <v>3.1937022130352584E-3</v>
      </c>
      <c r="AX978">
        <v>3.8438739304870418E-4</v>
      </c>
      <c r="AY978">
        <v>4.5835458145260244E-4</v>
      </c>
      <c r="BB978">
        <v>4.8624936993669904E-2</v>
      </c>
      <c r="BC978">
        <v>4.1514353921786436E-2</v>
      </c>
      <c r="BE978">
        <v>41680.785571274442</v>
      </c>
      <c r="BF978">
        <v>21.123691090581545</v>
      </c>
      <c r="BG978">
        <v>44133.596647028957</v>
      </c>
      <c r="BH978">
        <v>21.111549094569845</v>
      </c>
    </row>
    <row r="979" spans="3:60" x14ac:dyDescent="0.2">
      <c r="C979" s="138">
        <v>30580.730165318302</v>
      </c>
      <c r="D979">
        <v>20.96043899296459</v>
      </c>
      <c r="E979" s="138">
        <v>32318.563082753451</v>
      </c>
      <c r="F979" s="138">
        <v>20.964450968022845</v>
      </c>
      <c r="G979" s="138">
        <v>-1737.8329174351493</v>
      </c>
      <c r="H979" s="138">
        <v>-4.0119750582547908E-3</v>
      </c>
      <c r="N979" s="138"/>
      <c r="O979" s="138"/>
      <c r="P979" s="138"/>
      <c r="R979">
        <v>365.58435271376021</v>
      </c>
      <c r="S979">
        <v>61.248875114507051</v>
      </c>
      <c r="T979">
        <v>262.35266339071325</v>
      </c>
      <c r="U979">
        <v>107.92961394793485</v>
      </c>
      <c r="X979">
        <v>0.78641516218462848</v>
      </c>
      <c r="Y979">
        <v>0.78957415464336456</v>
      </c>
      <c r="Z979">
        <v>0.51429155939676285</v>
      </c>
      <c r="AA979">
        <v>0.73503003184337734</v>
      </c>
      <c r="AB979">
        <v>0.85467951167516398</v>
      </c>
      <c r="AC979">
        <v>0.77076049766095722</v>
      </c>
      <c r="AD979">
        <v>0.70383625399795868</v>
      </c>
      <c r="AE979">
        <v>0.72967920695076871</v>
      </c>
      <c r="AH979">
        <v>0.32314555784110166</v>
      </c>
      <c r="AI979">
        <v>5.9571599625698912E-2</v>
      </c>
      <c r="AJ979">
        <v>8.5205961665893559E-2</v>
      </c>
      <c r="AK979">
        <v>2.290568278057048E-2</v>
      </c>
      <c r="AL979">
        <v>0.13057846390346106</v>
      </c>
      <c r="AM979">
        <v>9.8468268039090256E-2</v>
      </c>
      <c r="AN979">
        <v>0.15461570723316409</v>
      </c>
      <c r="AO979">
        <v>0.24910752398598945</v>
      </c>
      <c r="AR979">
        <v>8.5569719196812476E-4</v>
      </c>
      <c r="AS979">
        <v>4.2212931655977691E-3</v>
      </c>
      <c r="AT979">
        <v>9.980093141111325E-2</v>
      </c>
      <c r="AU979">
        <v>2.1514835629270479E-3</v>
      </c>
      <c r="AV979">
        <v>1.8194274262826428E-3</v>
      </c>
      <c r="AW979">
        <v>3.4390947357789692E-3</v>
      </c>
      <c r="AX979">
        <v>4.7556498440370909E-4</v>
      </c>
      <c r="AY979">
        <v>4.4433246213583652E-4</v>
      </c>
      <c r="BB979">
        <v>5.005600963884993E-2</v>
      </c>
      <c r="BC979">
        <v>4.5233389484294145E-2</v>
      </c>
      <c r="BE979">
        <v>30580.730165318302</v>
      </c>
      <c r="BF979">
        <v>20.96043899296459</v>
      </c>
      <c r="BG979">
        <v>32318.563082753451</v>
      </c>
      <c r="BH979">
        <v>20.964450968022845</v>
      </c>
    </row>
    <row r="980" spans="3:60" x14ac:dyDescent="0.2">
      <c r="C980" s="138">
        <v>31634.010149897967</v>
      </c>
      <c r="D980">
        <v>20.951151040975599</v>
      </c>
      <c r="E980" s="138">
        <v>33557.121893514835</v>
      </c>
      <c r="F980" s="138">
        <v>20.915642020383061</v>
      </c>
      <c r="G980" s="138">
        <v>-1923.1117436168679</v>
      </c>
      <c r="H980" s="138">
        <v>3.5509020592538576E-2</v>
      </c>
      <c r="N980" s="138"/>
      <c r="O980" s="138"/>
      <c r="P980" s="138"/>
      <c r="R980">
        <v>335.27928543214261</v>
      </c>
      <c r="S980">
        <v>64.871802571574747</v>
      </c>
      <c r="T980">
        <v>264.2790557930478</v>
      </c>
      <c r="U980">
        <v>96.473781550152779</v>
      </c>
      <c r="X980">
        <v>0.68211184577103501</v>
      </c>
      <c r="Y980">
        <v>0.71743066486030316</v>
      </c>
      <c r="Z980">
        <v>0.75725018907503638</v>
      </c>
      <c r="AA980">
        <v>0.58081124901995351</v>
      </c>
      <c r="AB980">
        <v>0.82193769531210459</v>
      </c>
      <c r="AC980">
        <v>0.71360440764465061</v>
      </c>
      <c r="AD980">
        <v>0.72314256806098132</v>
      </c>
      <c r="AE980">
        <v>0.70684641763150891</v>
      </c>
      <c r="AH980">
        <v>0.13564074248638835</v>
      </c>
      <c r="AI980">
        <v>0.1368570307517476</v>
      </c>
      <c r="AJ980">
        <v>0.26193837403487419</v>
      </c>
      <c r="AK980">
        <v>0.18970362453288336</v>
      </c>
      <c r="AL980">
        <v>2.9593971748998915E-2</v>
      </c>
      <c r="AM980">
        <v>2.5994732406384169E-2</v>
      </c>
      <c r="AN980">
        <v>7.5496792631749687E-2</v>
      </c>
      <c r="AO980">
        <v>0.16225383295505602</v>
      </c>
      <c r="AR980">
        <v>8.0190046518591488E-4</v>
      </c>
      <c r="AS980">
        <v>4.6327192576205434E-3</v>
      </c>
      <c r="AT980">
        <v>0.1008457647426162</v>
      </c>
      <c r="AU980">
        <v>2.1518197735087563E-3</v>
      </c>
      <c r="AV980">
        <v>1.7978351904608225E-3</v>
      </c>
      <c r="AW980">
        <v>3.5214127570530884E-3</v>
      </c>
      <c r="AX980">
        <v>3.7650777510338229E-4</v>
      </c>
      <c r="AY980">
        <v>3.9693251988774512E-4</v>
      </c>
      <c r="BB980">
        <v>4.4629752031099701E-2</v>
      </c>
      <c r="BC980">
        <v>8.5130163113235735E-2</v>
      </c>
      <c r="BE980">
        <v>31634.010149897967</v>
      </c>
      <c r="BF980">
        <v>20.951151040975599</v>
      </c>
      <c r="BG980">
        <v>33557.121893514835</v>
      </c>
      <c r="BH980">
        <v>20.915642020383061</v>
      </c>
    </row>
    <row r="981" spans="3:60" x14ac:dyDescent="0.2">
      <c r="C981" s="138">
        <v>33475.234673164188</v>
      </c>
      <c r="D981">
        <v>20.417053766992584</v>
      </c>
      <c r="E981" s="138">
        <v>35301.735933466029</v>
      </c>
      <c r="F981" s="138">
        <v>20.368189007543375</v>
      </c>
      <c r="G981" s="138">
        <v>-1826.5012603018404</v>
      </c>
      <c r="H981" s="138">
        <v>4.8864759449209316E-2</v>
      </c>
      <c r="N981" s="138"/>
      <c r="O981" s="138"/>
      <c r="P981" s="138"/>
      <c r="R981">
        <v>293.28131098348138</v>
      </c>
      <c r="S981">
        <v>63.392895264156799</v>
      </c>
      <c r="T981">
        <v>254.01978616476492</v>
      </c>
      <c r="U981">
        <v>82.650588744421071</v>
      </c>
      <c r="X981">
        <v>0.73152831252132466</v>
      </c>
      <c r="Y981">
        <v>0.83767208037916951</v>
      </c>
      <c r="Z981">
        <v>0.70322899554264895</v>
      </c>
      <c r="AA981">
        <v>0.66533701412435564</v>
      </c>
      <c r="AB981">
        <v>0.78123301683837565</v>
      </c>
      <c r="AC981">
        <v>0.7568634483350738</v>
      </c>
      <c r="AD981">
        <v>0.62878778470747232</v>
      </c>
      <c r="AE981">
        <v>0.68947523452232373</v>
      </c>
      <c r="AH981">
        <v>0.21518590350153677</v>
      </c>
      <c r="AI981">
        <v>8.7864736959409107E-2</v>
      </c>
      <c r="AJ981">
        <v>9.3982616713000233E-2</v>
      </c>
      <c r="AK981">
        <v>0.17652482074598974</v>
      </c>
      <c r="AL981">
        <v>0.1905798465523223</v>
      </c>
      <c r="AM981">
        <v>0.30245538836685537</v>
      </c>
      <c r="AN981">
        <v>0.10809366418062516</v>
      </c>
      <c r="AO981">
        <v>5.8945607580557224E-2</v>
      </c>
      <c r="AR981">
        <v>1.0710270877685169E-3</v>
      </c>
      <c r="AS981">
        <v>4.5288387604671687E-3</v>
      </c>
      <c r="AT981">
        <v>0.10047133739958281</v>
      </c>
      <c r="AU981">
        <v>1.88772709206996E-3</v>
      </c>
      <c r="AV981">
        <v>1.9261934932523616E-3</v>
      </c>
      <c r="AW981">
        <v>3.3667632772372172E-3</v>
      </c>
      <c r="AX981">
        <v>4.7166204469084594E-4</v>
      </c>
      <c r="AY981">
        <v>5.7421772140364702E-4</v>
      </c>
      <c r="BB981">
        <v>4.6659321119215544E-2</v>
      </c>
      <c r="BC981">
        <v>5.3455906412800958E-2</v>
      </c>
      <c r="BE981">
        <v>33475.234673164188</v>
      </c>
      <c r="BF981">
        <v>20.417053766992584</v>
      </c>
      <c r="BG981">
        <v>35301.735933466029</v>
      </c>
      <c r="BH981">
        <v>20.368189007543375</v>
      </c>
    </row>
    <row r="982" spans="3:60" x14ac:dyDescent="0.2">
      <c r="C982" s="138">
        <v>37277.794426480003</v>
      </c>
      <c r="D982">
        <v>19.885319059165614</v>
      </c>
      <c r="E982" s="138">
        <v>38859.257088715407</v>
      </c>
      <c r="F982" s="138">
        <v>19.843068447283052</v>
      </c>
      <c r="G982" s="138">
        <v>-1581.4626622354044</v>
      </c>
      <c r="H982" s="138">
        <v>4.2250611882561628E-2</v>
      </c>
      <c r="N982" s="138"/>
      <c r="O982" s="138"/>
      <c r="P982" s="138"/>
      <c r="R982">
        <v>311.82600916602365</v>
      </c>
      <c r="S982">
        <v>76.997131457017744</v>
      </c>
      <c r="T982">
        <v>313.70035389408116</v>
      </c>
      <c r="U982">
        <v>90.090233934409568</v>
      </c>
      <c r="X982">
        <v>0.8712421471168994</v>
      </c>
      <c r="Y982">
        <v>0.69592274339441584</v>
      </c>
      <c r="Z982">
        <v>0.79634112169743432</v>
      </c>
      <c r="AA982">
        <v>0.83761713812018157</v>
      </c>
      <c r="AB982">
        <v>0.8570006260953269</v>
      </c>
      <c r="AC982">
        <v>0.61694307514960101</v>
      </c>
      <c r="AD982">
        <v>0.54217182863274649</v>
      </c>
      <c r="AE982">
        <v>0.65038204141885758</v>
      </c>
      <c r="AH982">
        <v>0.19487575746765717</v>
      </c>
      <c r="AI982">
        <v>3.6371391393341335E-2</v>
      </c>
      <c r="AJ982">
        <v>0.39180418102459513</v>
      </c>
      <c r="AK982">
        <v>9.298821972522664E-2</v>
      </c>
      <c r="AL982">
        <v>0.37715565954217489</v>
      </c>
      <c r="AM982">
        <v>0.22778179698600054</v>
      </c>
      <c r="AN982">
        <v>0.27639090388045673</v>
      </c>
      <c r="AO982">
        <v>0.13751738643312783</v>
      </c>
      <c r="AR982">
        <v>6.5971001775907219E-4</v>
      </c>
      <c r="AS982">
        <v>4.3853315795039363E-3</v>
      </c>
      <c r="AT982">
        <v>9.8895640289345596E-2</v>
      </c>
      <c r="AU982">
        <v>2.2514422288991698E-3</v>
      </c>
      <c r="AV982">
        <v>1.9690409065707651E-3</v>
      </c>
      <c r="AW982">
        <v>3.0388739879902301E-3</v>
      </c>
      <c r="AX982">
        <v>3.5840815906924243E-4</v>
      </c>
      <c r="AY982">
        <v>6.2627073512133702E-4</v>
      </c>
      <c r="BB982">
        <v>4.9343360224556938E-2</v>
      </c>
      <c r="BC982">
        <v>6.8165167109991986E-2</v>
      </c>
      <c r="BE982">
        <v>37277.794426480003</v>
      </c>
      <c r="BF982">
        <v>19.885319059165614</v>
      </c>
      <c r="BG982">
        <v>38859.257088715407</v>
      </c>
      <c r="BH982">
        <v>19.843068447283052</v>
      </c>
    </row>
    <row r="983" spans="3:60" x14ac:dyDescent="0.2">
      <c r="C983" s="138">
        <v>27537.33033414459</v>
      </c>
      <c r="D983">
        <v>21.607065343890824</v>
      </c>
      <c r="E983" s="138">
        <v>30064.244750780432</v>
      </c>
      <c r="F983" s="138">
        <v>21.607889473147544</v>
      </c>
      <c r="G983" s="138">
        <v>-2526.9144166358419</v>
      </c>
      <c r="H983" s="138">
        <v>-8.24129256720596E-4</v>
      </c>
      <c r="N983" s="138"/>
      <c r="O983" s="138"/>
      <c r="P983" s="138"/>
      <c r="R983">
        <v>45.003727095134195</v>
      </c>
      <c r="S983">
        <v>52.985178014656114</v>
      </c>
      <c r="T983">
        <v>232.65732262313662</v>
      </c>
      <c r="U983">
        <v>98.764029363727587</v>
      </c>
      <c r="X983">
        <v>0.85197739320870669</v>
      </c>
      <c r="Y983">
        <v>0.92948771017483489</v>
      </c>
      <c r="Z983">
        <v>0.74622742232458694</v>
      </c>
      <c r="AA983">
        <v>0.67850939599883997</v>
      </c>
      <c r="AB983">
        <v>0.72903143499780998</v>
      </c>
      <c r="AC983">
        <v>0.77815476606251599</v>
      </c>
      <c r="AD983">
        <v>0.82610269633220401</v>
      </c>
      <c r="AE983">
        <v>0.67331982676009683</v>
      </c>
      <c r="AH983">
        <v>0.14182347916032001</v>
      </c>
      <c r="AI983">
        <v>0.36554875113532581</v>
      </c>
      <c r="AJ983">
        <v>0.1336087172049929</v>
      </c>
      <c r="AK983">
        <v>4.4046958315551388E-2</v>
      </c>
      <c r="AL983">
        <v>1.9204068017415477E-2</v>
      </c>
      <c r="AM983">
        <v>0.1565312845764173</v>
      </c>
      <c r="AN983">
        <v>0.19347028826621182</v>
      </c>
      <c r="AO983">
        <v>7.5788202281505956E-2</v>
      </c>
      <c r="AR983">
        <v>8.5335879046701262E-4</v>
      </c>
      <c r="AS983">
        <v>4.3660073183962572E-3</v>
      </c>
      <c r="AT983">
        <v>0.10099952935065215</v>
      </c>
      <c r="AU983">
        <v>1.9473343992772504E-3</v>
      </c>
      <c r="AV983">
        <v>2.041290114373262E-3</v>
      </c>
      <c r="AW983">
        <v>3.8388001758712376E-3</v>
      </c>
      <c r="AX983">
        <v>4.115237651453052E-4</v>
      </c>
      <c r="AY983">
        <v>4.1528627078280943E-4</v>
      </c>
      <c r="BB983">
        <v>5.5810842248982251E-2</v>
      </c>
      <c r="BC983">
        <v>5.9179431506464097E-2</v>
      </c>
      <c r="BE983">
        <v>27537.33033414459</v>
      </c>
      <c r="BF983">
        <v>21.607065343890824</v>
      </c>
      <c r="BG983">
        <v>30064.244750780432</v>
      </c>
      <c r="BH983">
        <v>21.607889473147544</v>
      </c>
    </row>
    <row r="984" spans="3:60" x14ac:dyDescent="0.2">
      <c r="C984" s="138">
        <v>30311.293991016599</v>
      </c>
      <c r="D984">
        <v>20.016130793258075</v>
      </c>
      <c r="E984" s="138">
        <v>32032.836073944276</v>
      </c>
      <c r="F984" s="138">
        <v>19.973496185080073</v>
      </c>
      <c r="G984" s="138">
        <v>-1721.5420829276773</v>
      </c>
      <c r="H984" s="138">
        <v>4.2634608178001798E-2</v>
      </c>
      <c r="N984" s="138"/>
      <c r="O984" s="138"/>
      <c r="P984" s="138"/>
      <c r="R984">
        <v>261.90506499475077</v>
      </c>
      <c r="S984">
        <v>62.473535268668385</v>
      </c>
      <c r="T984">
        <v>233.11159559213206</v>
      </c>
      <c r="U984">
        <v>100.98587473279706</v>
      </c>
      <c r="X984">
        <v>0.93025028694515199</v>
      </c>
      <c r="Y984">
        <v>0.8050205899782662</v>
      </c>
      <c r="Z984">
        <v>0.58989577800863113</v>
      </c>
      <c r="AA984">
        <v>0.95476478209328119</v>
      </c>
      <c r="AB984">
        <v>0.46900509865174511</v>
      </c>
      <c r="AC984">
        <v>0.77773752022904263</v>
      </c>
      <c r="AD984">
        <v>0.85218354980969124</v>
      </c>
      <c r="AE984">
        <v>0.58916377482210602</v>
      </c>
      <c r="AH984">
        <v>0.18322081265851109</v>
      </c>
      <c r="AI984">
        <v>6.6680258188422492E-2</v>
      </c>
      <c r="AJ984">
        <v>0.12118282677558956</v>
      </c>
      <c r="AK984">
        <v>2.9805585744499208E-2</v>
      </c>
      <c r="AL984">
        <v>8.6422315455047194E-2</v>
      </c>
      <c r="AM984">
        <v>0.23802643653011313</v>
      </c>
      <c r="AN984">
        <v>0.25849023481628541</v>
      </c>
      <c r="AO984">
        <v>0.39012899091995679</v>
      </c>
      <c r="AR984">
        <v>9.1708440271520697E-4</v>
      </c>
      <c r="AS984">
        <v>4.8587977432480445E-3</v>
      </c>
      <c r="AT984">
        <v>9.9659244988311801E-2</v>
      </c>
      <c r="AU984">
        <v>1.8485367038188309E-3</v>
      </c>
      <c r="AV984">
        <v>1.8277296767254488E-3</v>
      </c>
      <c r="AW984">
        <v>3.4007364161138349E-3</v>
      </c>
      <c r="AX984">
        <v>4.3648979520349851E-4</v>
      </c>
      <c r="AY984">
        <v>5.1147630932213417E-4</v>
      </c>
      <c r="BB984">
        <v>4.8980891531212191E-2</v>
      </c>
      <c r="BC984">
        <v>3.8609891547289034E-2</v>
      </c>
      <c r="BE984">
        <v>30311.293991016599</v>
      </c>
      <c r="BF984">
        <v>20.016130793258075</v>
      </c>
      <c r="BG984">
        <v>32032.836073944276</v>
      </c>
      <c r="BH984">
        <v>19.973496185080073</v>
      </c>
    </row>
    <row r="985" spans="3:60" x14ac:dyDescent="0.2">
      <c r="C985" s="138">
        <v>37109.657365403713</v>
      </c>
      <c r="D985">
        <v>20.973675836562094</v>
      </c>
      <c r="E985" s="138">
        <v>39737.52559599786</v>
      </c>
      <c r="F985" s="138">
        <v>20.954587731709118</v>
      </c>
      <c r="G985" s="138">
        <v>-2627.8682305941475</v>
      </c>
      <c r="H985" s="138">
        <v>1.9088104852976073E-2</v>
      </c>
      <c r="N985" s="138"/>
      <c r="O985" s="138"/>
      <c r="P985" s="138"/>
      <c r="R985">
        <v>83.460192213469838</v>
      </c>
      <c r="S985">
        <v>62.885125291770613</v>
      </c>
      <c r="T985">
        <v>295.50220932226773</v>
      </c>
      <c r="U985">
        <v>116.60518324203426</v>
      </c>
      <c r="X985">
        <v>0.55408381049776145</v>
      </c>
      <c r="Y985">
        <v>0.93067749633444752</v>
      </c>
      <c r="Z985">
        <v>0.50611768691313475</v>
      </c>
      <c r="AA985">
        <v>0.88124725479962773</v>
      </c>
      <c r="AB985">
        <v>0.81067794250835246</v>
      </c>
      <c r="AC985">
        <v>0.67107139459528109</v>
      </c>
      <c r="AD985">
        <v>0.69061779698250914</v>
      </c>
      <c r="AE985">
        <v>0.46473174935282924</v>
      </c>
      <c r="AH985">
        <v>0.14145694333625369</v>
      </c>
      <c r="AI985">
        <v>1.9854235259901376E-2</v>
      </c>
      <c r="AJ985">
        <v>0.25593609074436052</v>
      </c>
      <c r="AK985">
        <v>0.20617209506486234</v>
      </c>
      <c r="AL985">
        <v>6.8128229598928502E-2</v>
      </c>
      <c r="AM985">
        <v>0.3007886487902367</v>
      </c>
      <c r="AN985">
        <v>0.27565110640065704</v>
      </c>
      <c r="AO985">
        <v>0.49795885002486218</v>
      </c>
      <c r="AR985">
        <v>9.3144708274406351E-4</v>
      </c>
      <c r="AS985">
        <v>4.6213129897294536E-3</v>
      </c>
      <c r="AT985">
        <v>0.10094612519607249</v>
      </c>
      <c r="AU985">
        <v>2.0211320264003074E-3</v>
      </c>
      <c r="AV985">
        <v>1.9919773133466184E-3</v>
      </c>
      <c r="AW985">
        <v>3.1862172784974723E-3</v>
      </c>
      <c r="AX985">
        <v>5.1771162855795971E-4</v>
      </c>
      <c r="AY985">
        <v>4.1601340265456157E-4</v>
      </c>
      <c r="BB985">
        <v>4.9033288935578921E-2</v>
      </c>
      <c r="BC985">
        <v>2.7328254667012674E-2</v>
      </c>
      <c r="BE985">
        <v>37109.657365403713</v>
      </c>
      <c r="BF985">
        <v>20.973675836562094</v>
      </c>
      <c r="BG985">
        <v>39737.52559599786</v>
      </c>
      <c r="BH985">
        <v>20.954587731709118</v>
      </c>
    </row>
    <row r="986" spans="3:60" x14ac:dyDescent="0.2">
      <c r="C986" s="138">
        <v>27546.76535733444</v>
      </c>
      <c r="D986">
        <v>21.086037293626152</v>
      </c>
      <c r="E986" s="138">
        <v>29452.485512662388</v>
      </c>
      <c r="F986" s="138">
        <v>21.044250546521695</v>
      </c>
      <c r="G986" s="138">
        <v>-1905.7201553279483</v>
      </c>
      <c r="H986" s="138">
        <v>4.1786747104456623E-2</v>
      </c>
      <c r="N986" s="138"/>
      <c r="O986" s="138"/>
      <c r="P986" s="138"/>
      <c r="R986">
        <v>259.22325369850705</v>
      </c>
      <c r="S986">
        <v>68.82707623627465</v>
      </c>
      <c r="T986">
        <v>255.98328130687202</v>
      </c>
      <c r="U986">
        <v>81.751531991061412</v>
      </c>
      <c r="X986">
        <v>0.70885688828888571</v>
      </c>
      <c r="Y986">
        <v>0.68577822180340808</v>
      </c>
      <c r="Z986">
        <v>0.80031430671500137</v>
      </c>
      <c r="AA986">
        <v>0.64306686826306214</v>
      </c>
      <c r="AB986">
        <v>0.77429363312315269</v>
      </c>
      <c r="AC986">
        <v>0.76067159745556789</v>
      </c>
      <c r="AD986">
        <v>0.81972854783488014</v>
      </c>
      <c r="AE986">
        <v>0.7587218176090017</v>
      </c>
      <c r="AH986">
        <v>0.11957288019044232</v>
      </c>
      <c r="AI986">
        <v>6.5950600620063193E-2</v>
      </c>
      <c r="AJ986">
        <v>8.4449530850914556E-2</v>
      </c>
      <c r="AK986">
        <v>9.8972801264626376E-2</v>
      </c>
      <c r="AL986">
        <v>0.31491294043908824</v>
      </c>
      <c r="AM986">
        <v>0.17415112918532083</v>
      </c>
      <c r="AN986">
        <v>0.20692170524061082</v>
      </c>
      <c r="AO986">
        <v>0.18760605470894043</v>
      </c>
      <c r="AR986">
        <v>1.0204833869619234E-3</v>
      </c>
      <c r="AS986">
        <v>4.4423739157607462E-3</v>
      </c>
      <c r="AT986">
        <v>9.977272172389183E-2</v>
      </c>
      <c r="AU986">
        <v>1.995167898537788E-3</v>
      </c>
      <c r="AV986">
        <v>1.8810142935374041E-3</v>
      </c>
      <c r="AW986">
        <v>3.4568256859655033E-3</v>
      </c>
      <c r="AX986">
        <v>4.0378015112374488E-4</v>
      </c>
      <c r="AY986">
        <v>3.9122826392828068E-4</v>
      </c>
      <c r="BB986">
        <v>5.6377218411988395E-2</v>
      </c>
      <c r="BC986">
        <v>6.3056617066329035E-2</v>
      </c>
      <c r="BE986">
        <v>27546.76535733444</v>
      </c>
      <c r="BF986">
        <v>21.086037293626152</v>
      </c>
      <c r="BG986">
        <v>29452.485512662388</v>
      </c>
      <c r="BH986">
        <v>21.044250546521695</v>
      </c>
    </row>
    <row r="987" spans="3:60" x14ac:dyDescent="0.2">
      <c r="C987" s="138">
        <v>36261.180721603116</v>
      </c>
      <c r="D987">
        <v>20.585832537482176</v>
      </c>
      <c r="E987" s="138">
        <v>38998.865401359799</v>
      </c>
      <c r="F987" s="138">
        <v>20.562929498162372</v>
      </c>
      <c r="G987" s="138">
        <v>-2737.6846797566832</v>
      </c>
      <c r="H987" s="138">
        <v>2.2903039319803753E-2</v>
      </c>
      <c r="N987" s="138"/>
      <c r="O987" s="138"/>
      <c r="P987" s="138"/>
      <c r="R987">
        <v>119.56691259577403</v>
      </c>
      <c r="S987">
        <v>67.208130104658011</v>
      </c>
      <c r="T987">
        <v>257.28685056558641</v>
      </c>
      <c r="U987">
        <v>90.64730679585854</v>
      </c>
      <c r="X987">
        <v>0.81775008172154373</v>
      </c>
      <c r="Y987">
        <v>0.89280936775484643</v>
      </c>
      <c r="Z987">
        <v>0.85287534348678284</v>
      </c>
      <c r="AA987">
        <v>0.72869105175549942</v>
      </c>
      <c r="AB987">
        <v>0.74656712624336496</v>
      </c>
      <c r="AC987">
        <v>0.80930003721558808</v>
      </c>
      <c r="AD987">
        <v>0.5593835785461686</v>
      </c>
      <c r="AE987">
        <v>0.59324809435832471</v>
      </c>
      <c r="AH987">
        <v>4.5002771916309303E-2</v>
      </c>
      <c r="AI987">
        <v>9.8867897405400917E-2</v>
      </c>
      <c r="AJ987">
        <v>3.0183719551970745E-2</v>
      </c>
      <c r="AK987">
        <v>0.10633924573601217</v>
      </c>
      <c r="AL987">
        <v>0.14056315018830545</v>
      </c>
      <c r="AM987">
        <v>7.7733224325977623E-3</v>
      </c>
      <c r="AN987">
        <v>9.098036968038925E-2</v>
      </c>
      <c r="AO987">
        <v>1.3980501306922077E-2</v>
      </c>
      <c r="AR987">
        <v>8.7030220161215502E-4</v>
      </c>
      <c r="AS987">
        <v>4.5841992030086764E-3</v>
      </c>
      <c r="AT987">
        <v>0.1002574367083281</v>
      </c>
      <c r="AU987">
        <v>2.1525926488249469E-3</v>
      </c>
      <c r="AV987">
        <v>1.7988851383127541E-3</v>
      </c>
      <c r="AW987">
        <v>3.5052610433512488E-3</v>
      </c>
      <c r="AX987">
        <v>6.4651643013124982E-4</v>
      </c>
      <c r="AY987">
        <v>5.4487789045398749E-4</v>
      </c>
      <c r="BB987">
        <v>5.4240029896350017E-2</v>
      </c>
      <c r="BC987">
        <v>4.0597169292614484E-2</v>
      </c>
      <c r="BE987">
        <v>36261.180721603116</v>
      </c>
      <c r="BF987">
        <v>20.585832537482176</v>
      </c>
      <c r="BG987">
        <v>38998.865401359799</v>
      </c>
      <c r="BH987">
        <v>20.562929498162372</v>
      </c>
    </row>
    <row r="988" spans="3:60" x14ac:dyDescent="0.2">
      <c r="C988" s="138">
        <v>32558.392417050949</v>
      </c>
      <c r="D988">
        <v>21.273846099176016</v>
      </c>
      <c r="E988" s="138">
        <v>34003.611453557925</v>
      </c>
      <c r="F988" s="138">
        <v>21.272604686349791</v>
      </c>
      <c r="G988" s="138">
        <v>-1445.2190365069764</v>
      </c>
      <c r="H988" s="138">
        <v>1.2414128262250301E-3</v>
      </c>
      <c r="N988" s="138"/>
      <c r="O988" s="138"/>
      <c r="P988" s="138"/>
      <c r="R988">
        <v>517.27369185166845</v>
      </c>
      <c r="S988">
        <v>51.788509289837997</v>
      </c>
      <c r="T988">
        <v>273.72734957105081</v>
      </c>
      <c r="U988">
        <v>78.538144849058483</v>
      </c>
      <c r="X988">
        <v>0.78745549747259291</v>
      </c>
      <c r="Y988">
        <v>0.61417001397618698</v>
      </c>
      <c r="Z988">
        <v>0.69452334079340428</v>
      </c>
      <c r="AA988">
        <v>0.85634717745867506</v>
      </c>
      <c r="AB988">
        <v>0.96375781444710906</v>
      </c>
      <c r="AC988">
        <v>0.78482757958671712</v>
      </c>
      <c r="AD988">
        <v>0.78089401218316268</v>
      </c>
      <c r="AE988">
        <v>0.73993589217004585</v>
      </c>
      <c r="AH988">
        <v>0.13506407959154576</v>
      </c>
      <c r="AI988">
        <v>6.3729552837843206E-2</v>
      </c>
      <c r="AJ988">
        <v>0.2351876377244686</v>
      </c>
      <c r="AK988">
        <v>5.7856552569187647E-2</v>
      </c>
      <c r="AL988">
        <v>0.11479295956850755</v>
      </c>
      <c r="AM988">
        <v>8.2039551312317771E-2</v>
      </c>
      <c r="AN988">
        <v>2.760169765709608E-2</v>
      </c>
      <c r="AO988">
        <v>7.8684962696019989E-2</v>
      </c>
      <c r="AR988">
        <v>9.9275875434434724E-4</v>
      </c>
      <c r="AS988">
        <v>4.5678062813903075E-3</v>
      </c>
      <c r="AT988">
        <v>9.9674245947707088E-2</v>
      </c>
      <c r="AU988">
        <v>2.0652282036787151E-3</v>
      </c>
      <c r="AV988">
        <v>1.8719408585114569E-3</v>
      </c>
      <c r="AW988">
        <v>3.8293859840161648E-3</v>
      </c>
      <c r="AX988">
        <v>3.7908538664675263E-4</v>
      </c>
      <c r="AY988">
        <v>4.624524499516891E-4</v>
      </c>
      <c r="BB988">
        <v>5.1379925755442257E-2</v>
      </c>
      <c r="BC988">
        <v>7.8215700272479927E-2</v>
      </c>
      <c r="BE988">
        <v>32558.392417050949</v>
      </c>
      <c r="BF988">
        <v>21.273846099176016</v>
      </c>
      <c r="BG988">
        <v>34003.611453557925</v>
      </c>
      <c r="BH988">
        <v>21.272604686349791</v>
      </c>
    </row>
    <row r="989" spans="3:60" x14ac:dyDescent="0.2">
      <c r="C989" s="138">
        <v>32886.510950596406</v>
      </c>
      <c r="D989">
        <v>21.295654379751173</v>
      </c>
      <c r="E989" s="138">
        <v>34720.526316344563</v>
      </c>
      <c r="F989" s="138">
        <v>21.263922028119318</v>
      </c>
      <c r="G989" s="138">
        <v>-1834.0153657481569</v>
      </c>
      <c r="H989" s="138">
        <v>3.1732351631855948E-2</v>
      </c>
      <c r="N989" s="138"/>
      <c r="O989" s="138"/>
      <c r="P989" s="138"/>
      <c r="R989">
        <v>421.62058011147639</v>
      </c>
      <c r="S989">
        <v>65.458166900888699</v>
      </c>
      <c r="T989">
        <v>249.4417774788208</v>
      </c>
      <c r="U989">
        <v>96.13375147100642</v>
      </c>
      <c r="X989">
        <v>0.63107440708314666</v>
      </c>
      <c r="Y989">
        <v>0.74282330758855286</v>
      </c>
      <c r="Z989">
        <v>0.791010303006912</v>
      </c>
      <c r="AA989">
        <v>0.83559805514785868</v>
      </c>
      <c r="AB989">
        <v>0.92237502437427288</v>
      </c>
      <c r="AC989">
        <v>0.80407846673584227</v>
      </c>
      <c r="AD989">
        <v>0.73378240461175115</v>
      </c>
      <c r="AE989">
        <v>0.85304152255731014</v>
      </c>
      <c r="AH989">
        <v>5.8064377423942215E-2</v>
      </c>
      <c r="AI989">
        <v>9.5407227249995508E-2</v>
      </c>
      <c r="AJ989">
        <v>0.10240178202861683</v>
      </c>
      <c r="AK989">
        <v>0.15219691969788562</v>
      </c>
      <c r="AL989">
        <v>0.12147668106758835</v>
      </c>
      <c r="AM989">
        <v>9.4313554306037162E-2</v>
      </c>
      <c r="AN989">
        <v>3.3137288287209632E-2</v>
      </c>
      <c r="AO989">
        <v>2.5002588399501868E-2</v>
      </c>
      <c r="AR989">
        <v>8.6400710700139036E-4</v>
      </c>
      <c r="AS989">
        <v>4.5998262766926423E-3</v>
      </c>
      <c r="AT989">
        <v>9.9847637928527758E-2</v>
      </c>
      <c r="AU989">
        <v>1.9761987629646218E-3</v>
      </c>
      <c r="AV989">
        <v>1.9589960116000713E-3</v>
      </c>
      <c r="AW989">
        <v>3.4929906527868537E-3</v>
      </c>
      <c r="AX989">
        <v>3.3516442746331972E-4</v>
      </c>
      <c r="AY989">
        <v>4.4325474213560473E-4</v>
      </c>
      <c r="BB989">
        <v>5.1812483527156061E-2</v>
      </c>
      <c r="BC989">
        <v>3.8525570889918384E-2</v>
      </c>
      <c r="BE989">
        <v>32886.510950596406</v>
      </c>
      <c r="BF989">
        <v>21.295654379751173</v>
      </c>
      <c r="BG989">
        <v>34720.526316344563</v>
      </c>
      <c r="BH989">
        <v>21.263922028119318</v>
      </c>
    </row>
    <row r="990" spans="3:60" x14ac:dyDescent="0.2">
      <c r="C990" s="138">
        <v>29466.859702857018</v>
      </c>
      <c r="D990">
        <v>21.5249097244197</v>
      </c>
      <c r="E990" s="138">
        <v>31256.800557252944</v>
      </c>
      <c r="F990" s="138">
        <v>21.533551418321597</v>
      </c>
      <c r="G990" s="138">
        <v>-1789.9408543959253</v>
      </c>
      <c r="H990" s="138">
        <v>-8.6416939018967298E-3</v>
      </c>
      <c r="N990" s="138"/>
      <c r="O990" s="138"/>
      <c r="P990" s="138"/>
      <c r="R990">
        <v>204.17267105593157</v>
      </c>
      <c r="S990">
        <v>67.950994514829688</v>
      </c>
      <c r="T990">
        <v>271.96989755507849</v>
      </c>
      <c r="U990">
        <v>90.217784586925887</v>
      </c>
      <c r="X990">
        <v>0.60251428960816211</v>
      </c>
      <c r="Y990">
        <v>0.62403489305826976</v>
      </c>
      <c r="Z990">
        <v>0.95044435220861767</v>
      </c>
      <c r="AA990">
        <v>0.62592773251536471</v>
      </c>
      <c r="AB990">
        <v>0.79558863865829232</v>
      </c>
      <c r="AC990">
        <v>0.76718233918118661</v>
      </c>
      <c r="AD990">
        <v>0.90595773305440364</v>
      </c>
      <c r="AE990">
        <v>0.69588177035020959</v>
      </c>
      <c r="AH990">
        <v>0.11452550927016203</v>
      </c>
      <c r="AI990">
        <v>0.13142367034172997</v>
      </c>
      <c r="AJ990">
        <v>0.1721901767008478</v>
      </c>
      <c r="AK990">
        <v>0.11215800906707163</v>
      </c>
      <c r="AL990">
        <v>1.8540592341264261E-2</v>
      </c>
      <c r="AM990">
        <v>0.19905238314994034</v>
      </c>
      <c r="AN990">
        <v>6.8709399374944691E-2</v>
      </c>
      <c r="AO990">
        <v>4.3505918782700714E-2</v>
      </c>
      <c r="AR990">
        <v>7.4125251396613015E-4</v>
      </c>
      <c r="AS990">
        <v>4.5634239100674767E-3</v>
      </c>
      <c r="AT990">
        <v>9.9764829339763772E-2</v>
      </c>
      <c r="AU990">
        <v>1.7156718965762564E-3</v>
      </c>
      <c r="AV990">
        <v>2.1669276263426296E-3</v>
      </c>
      <c r="AW990">
        <v>3.7455555796849227E-3</v>
      </c>
      <c r="AX990">
        <v>4.0528558597696662E-4</v>
      </c>
      <c r="AY990">
        <v>5.1779276110985872E-4</v>
      </c>
      <c r="BB990">
        <v>4.5934310161290209E-2</v>
      </c>
      <c r="BC990">
        <v>2.2455252745720227E-2</v>
      </c>
      <c r="BE990">
        <v>29466.859702857018</v>
      </c>
      <c r="BF990">
        <v>21.5249097244197</v>
      </c>
      <c r="BG990">
        <v>31256.800557252944</v>
      </c>
      <c r="BH990">
        <v>21.533551418321597</v>
      </c>
    </row>
    <row r="991" spans="3:60" x14ac:dyDescent="0.2">
      <c r="C991" s="138">
        <v>38154.729668290427</v>
      </c>
      <c r="D991">
        <v>21.568364006288245</v>
      </c>
      <c r="E991" s="138">
        <v>39889.369327161803</v>
      </c>
      <c r="F991" s="138">
        <v>21.556405174129285</v>
      </c>
      <c r="G991" s="138">
        <v>-1734.639658871376</v>
      </c>
      <c r="H991" s="138">
        <v>1.195883215896032E-2</v>
      </c>
      <c r="N991" s="138"/>
      <c r="O991" s="138"/>
      <c r="P991" s="138"/>
      <c r="R991">
        <v>353.24720513098055</v>
      </c>
      <c r="S991">
        <v>61.159171095322762</v>
      </c>
      <c r="T991">
        <v>317.77319739169155</v>
      </c>
      <c r="U991">
        <v>101.04379163078742</v>
      </c>
      <c r="X991">
        <v>0.78669546887950559</v>
      </c>
      <c r="Y991">
        <v>0.87023266742297423</v>
      </c>
      <c r="Z991">
        <v>0.55638005987495909</v>
      </c>
      <c r="AA991">
        <v>0.92199375056569277</v>
      </c>
      <c r="AB991">
        <v>0.51822949879523739</v>
      </c>
      <c r="AC991">
        <v>0.76192540960069211</v>
      </c>
      <c r="AD991">
        <v>0.73650501063168095</v>
      </c>
      <c r="AE991">
        <v>0.81832604480942828</v>
      </c>
      <c r="AH991">
        <v>0.16446239784492944</v>
      </c>
      <c r="AI991">
        <v>0.10898112576229257</v>
      </c>
      <c r="AJ991">
        <v>0.33188106194663247</v>
      </c>
      <c r="AK991">
        <v>0.26093863341682322</v>
      </c>
      <c r="AL991">
        <v>0.1792965900765342</v>
      </c>
      <c r="AM991">
        <v>7.7189973322494554E-2</v>
      </c>
      <c r="AN991">
        <v>1.8898315335116878E-2</v>
      </c>
      <c r="AO991">
        <v>0.23185083567753895</v>
      </c>
      <c r="AR991">
        <v>1.0255049505810687E-3</v>
      </c>
      <c r="AS991">
        <v>4.6066294901409011E-3</v>
      </c>
      <c r="AT991">
        <v>9.9726790978628382E-2</v>
      </c>
      <c r="AU991">
        <v>1.9844300651776915E-3</v>
      </c>
      <c r="AV991">
        <v>1.8476172576098787E-3</v>
      </c>
      <c r="AW991">
        <v>3.5005595297777914E-3</v>
      </c>
      <c r="AX991">
        <v>3.4960678274651829E-4</v>
      </c>
      <c r="AY991">
        <v>4.727632530249215E-4</v>
      </c>
      <c r="BB991">
        <v>6.3588792075794376E-2</v>
      </c>
      <c r="BC991">
        <v>2.1849276403230075E-2</v>
      </c>
      <c r="BE991">
        <v>38154.729668290427</v>
      </c>
      <c r="BF991">
        <v>21.568364006288245</v>
      </c>
      <c r="BG991">
        <v>39889.369327161803</v>
      </c>
      <c r="BH991">
        <v>21.556405174129285</v>
      </c>
    </row>
    <row r="992" spans="3:60" x14ac:dyDescent="0.2">
      <c r="C992" s="138">
        <v>32094.423617871606</v>
      </c>
      <c r="D992">
        <v>21.089279524602997</v>
      </c>
      <c r="E992" s="138">
        <v>34043.683464547154</v>
      </c>
      <c r="F992" s="138">
        <v>21.05140078629908</v>
      </c>
      <c r="G992" s="138">
        <v>-1949.259846675548</v>
      </c>
      <c r="H992" s="138">
        <v>3.7878738303916748E-2</v>
      </c>
      <c r="N992" s="138"/>
      <c r="O992" s="138"/>
      <c r="P992" s="138"/>
      <c r="R992">
        <v>211.44735683454357</v>
      </c>
      <c r="S992">
        <v>68.286299000183249</v>
      </c>
      <c r="T992">
        <v>293.51161189893287</v>
      </c>
      <c r="U992">
        <v>89.434526684984021</v>
      </c>
      <c r="X992">
        <v>0.8366940786496404</v>
      </c>
      <c r="Y992">
        <v>0.81250904871074647</v>
      </c>
      <c r="Z992">
        <v>0.70942944231824645</v>
      </c>
      <c r="AA992">
        <v>0.77591935282103042</v>
      </c>
      <c r="AB992">
        <v>0.72950333362507924</v>
      </c>
      <c r="AC992">
        <v>0.79418045796241621</v>
      </c>
      <c r="AD992">
        <v>0.79053958589201079</v>
      </c>
      <c r="AE992">
        <v>0.79913971855340871</v>
      </c>
      <c r="AH992">
        <v>3.3067910996514849E-2</v>
      </c>
      <c r="AI992">
        <v>2.496029736783445E-2</v>
      </c>
      <c r="AJ992">
        <v>8.040807477222256E-2</v>
      </c>
      <c r="AK992">
        <v>0.12402629397265474</v>
      </c>
      <c r="AL992">
        <v>9.1074848694192356E-2</v>
      </c>
      <c r="AM992">
        <v>0.11778468924991936</v>
      </c>
      <c r="AN992">
        <v>0.25732045890539279</v>
      </c>
      <c r="AO992">
        <v>0.11859155357417128</v>
      </c>
      <c r="AR992">
        <v>1.0009952375333864E-3</v>
      </c>
      <c r="AS992">
        <v>4.4195411472204944E-3</v>
      </c>
      <c r="AT992">
        <v>9.7641617023779964E-2</v>
      </c>
      <c r="AU992">
        <v>2.2358302408552744E-3</v>
      </c>
      <c r="AV992">
        <v>2.0425505890255824E-3</v>
      </c>
      <c r="AW992">
        <v>3.1688543188266309E-3</v>
      </c>
      <c r="AX992">
        <v>4.8392700510735409E-4</v>
      </c>
      <c r="AY992">
        <v>3.9916984187746867E-4</v>
      </c>
      <c r="BB992">
        <v>5.7243840903579035E-2</v>
      </c>
      <c r="BC992">
        <v>2.4105094164194738E-2</v>
      </c>
      <c r="BE992">
        <v>32094.423617871606</v>
      </c>
      <c r="BF992">
        <v>21.089279524602997</v>
      </c>
      <c r="BG992">
        <v>34043.683464547154</v>
      </c>
      <c r="BH992">
        <v>21.05140078629908</v>
      </c>
    </row>
    <row r="993" spans="3:60" x14ac:dyDescent="0.2">
      <c r="C993" s="138">
        <v>28467.102566109606</v>
      </c>
      <c r="D993">
        <v>20.962015523285665</v>
      </c>
      <c r="E993" s="138">
        <v>30508.715501036975</v>
      </c>
      <c r="F993" s="138">
        <v>20.945143333974766</v>
      </c>
      <c r="G993" s="138">
        <v>-2041.6129349273688</v>
      </c>
      <c r="H993" s="138">
        <v>1.6872189310898733E-2</v>
      </c>
      <c r="N993" s="138"/>
      <c r="O993" s="138"/>
      <c r="P993" s="138"/>
      <c r="R993">
        <v>191.14641154530594</v>
      </c>
      <c r="S993">
        <v>74.863646072246851</v>
      </c>
      <c r="T993">
        <v>192.75565613406556</v>
      </c>
      <c r="U993">
        <v>96.427947007649777</v>
      </c>
      <c r="X993">
        <v>0.55060750457097141</v>
      </c>
      <c r="Y993">
        <v>0.84200026870126221</v>
      </c>
      <c r="Z993">
        <v>0.65562696812019106</v>
      </c>
      <c r="AA993">
        <v>0.85398414584703908</v>
      </c>
      <c r="AB993">
        <v>0.74971346529270544</v>
      </c>
      <c r="AC993">
        <v>0.56457796899590007</v>
      </c>
      <c r="AD993">
        <v>0.80292814385853462</v>
      </c>
      <c r="AE993">
        <v>0.85865136166503508</v>
      </c>
      <c r="AH993">
        <v>3.4751230906491015E-2</v>
      </c>
      <c r="AI993">
        <v>5.8537029317737965E-2</v>
      </c>
      <c r="AJ993">
        <v>0.39587657456425174</v>
      </c>
      <c r="AK993">
        <v>2.9999025855286465E-2</v>
      </c>
      <c r="AL993">
        <v>0.10688660772782144</v>
      </c>
      <c r="AM993">
        <v>0.14449171550191886</v>
      </c>
      <c r="AN993">
        <v>0.11930385441386793</v>
      </c>
      <c r="AO993">
        <v>2.6430187233359215E-2</v>
      </c>
      <c r="AR993">
        <v>1.0224748828444596E-3</v>
      </c>
      <c r="AS993">
        <v>4.2280875910736884E-3</v>
      </c>
      <c r="AT993">
        <v>0.10062718361963563</v>
      </c>
      <c r="AU993">
        <v>1.9407766419737855E-3</v>
      </c>
      <c r="AV993">
        <v>1.9069882894783713E-3</v>
      </c>
      <c r="AW993">
        <v>3.1379470718730456E-3</v>
      </c>
      <c r="AX993">
        <v>3.699817372816953E-4</v>
      </c>
      <c r="AY993">
        <v>4.5226600537995321E-4</v>
      </c>
      <c r="BB993">
        <v>5.0207213512928672E-2</v>
      </c>
      <c r="BC993">
        <v>3.454302081961888E-2</v>
      </c>
      <c r="BE993">
        <v>28467.102566109606</v>
      </c>
      <c r="BF993">
        <v>20.962015523285665</v>
      </c>
      <c r="BG993">
        <v>30508.715501036975</v>
      </c>
      <c r="BH993">
        <v>20.945143333974766</v>
      </c>
    </row>
    <row r="994" spans="3:60" x14ac:dyDescent="0.2">
      <c r="C994" s="138">
        <v>26613.569997233975</v>
      </c>
      <c r="D994">
        <v>21.617585784333084</v>
      </c>
      <c r="E994" s="138">
        <v>28303.654882443032</v>
      </c>
      <c r="F994" s="138">
        <v>21.609230524724296</v>
      </c>
      <c r="G994" s="138">
        <v>-1690.0848852090567</v>
      </c>
      <c r="H994" s="138">
        <v>8.3552596087876907E-3</v>
      </c>
      <c r="N994" s="138"/>
      <c r="O994" s="138"/>
      <c r="P994" s="138"/>
      <c r="R994">
        <v>303.80936513119929</v>
      </c>
      <c r="S994">
        <v>65.790379356763282</v>
      </c>
      <c r="T994">
        <v>257.56712540195235</v>
      </c>
      <c r="U994">
        <v>95.711034454035826</v>
      </c>
      <c r="X994">
        <v>0.8763022201140428</v>
      </c>
      <c r="Y994">
        <v>0.93068173842442103</v>
      </c>
      <c r="Z994">
        <v>0.78403299055848852</v>
      </c>
      <c r="AA994">
        <v>0.77994556319143049</v>
      </c>
      <c r="AB994">
        <v>0.80157599569115345</v>
      </c>
      <c r="AC994">
        <v>0.41306666875485443</v>
      </c>
      <c r="AD994">
        <v>0.83000928016250541</v>
      </c>
      <c r="AE994">
        <v>0.92132539348368325</v>
      </c>
      <c r="AH994">
        <v>0.11525429572369539</v>
      </c>
      <c r="AI994">
        <v>0.28738519716224131</v>
      </c>
      <c r="AJ994">
        <v>0.20198450927189782</v>
      </c>
      <c r="AK994">
        <v>0.22073926083505124</v>
      </c>
      <c r="AL994">
        <v>0.18603762972122007</v>
      </c>
      <c r="AM994">
        <v>0.17678675567292845</v>
      </c>
      <c r="AN994">
        <v>0.15181871238738931</v>
      </c>
      <c r="AO994">
        <v>9.7669437005868276E-2</v>
      </c>
      <c r="AR994">
        <v>9.5147138432249978E-4</v>
      </c>
      <c r="AS994">
        <v>4.7091624667370269E-3</v>
      </c>
      <c r="AT994">
        <v>0.10020871290472966</v>
      </c>
      <c r="AU994">
        <v>2.0966643825224285E-3</v>
      </c>
      <c r="AV994">
        <v>1.8992215097148909E-3</v>
      </c>
      <c r="AW994">
        <v>3.1428504906952886E-3</v>
      </c>
      <c r="AX994">
        <v>4.10832749255019E-4</v>
      </c>
      <c r="AY994">
        <v>4.5287385481762588E-4</v>
      </c>
      <c r="BB994">
        <v>4.3292541393980984E-2</v>
      </c>
      <c r="BC994">
        <v>2.6016009288755526E-2</v>
      </c>
      <c r="BE994">
        <v>26613.569997233975</v>
      </c>
      <c r="BF994">
        <v>21.617585784333084</v>
      </c>
      <c r="BG994">
        <v>28303.654882443032</v>
      </c>
      <c r="BH994">
        <v>21.609230524724296</v>
      </c>
    </row>
    <row r="995" spans="3:60" x14ac:dyDescent="0.2">
      <c r="C995" s="138">
        <v>34454.411628518254</v>
      </c>
      <c r="D995">
        <v>21.072070407849647</v>
      </c>
      <c r="E995" s="138">
        <v>36312.272344061173</v>
      </c>
      <c r="F995" s="138">
        <v>21.066607067467771</v>
      </c>
      <c r="G995" s="138">
        <v>-1857.8607155429199</v>
      </c>
      <c r="H995" s="138">
        <v>5.4633403818762361E-3</v>
      </c>
      <c r="N995" s="138"/>
      <c r="O995" s="138"/>
      <c r="P995" s="138"/>
      <c r="R995">
        <v>251.59346895554933</v>
      </c>
      <c r="S995">
        <v>73.386895004796386</v>
      </c>
      <c r="T995">
        <v>250.05154593515442</v>
      </c>
      <c r="U995">
        <v>107.42805074299598</v>
      </c>
      <c r="X995">
        <v>0.85184349610652677</v>
      </c>
      <c r="Y995">
        <v>0.89008781637159295</v>
      </c>
      <c r="Z995">
        <v>0.58467210147391235</v>
      </c>
      <c r="AA995">
        <v>0.88650364282204108</v>
      </c>
      <c r="AB995">
        <v>0.58641405012303993</v>
      </c>
      <c r="AC995">
        <v>0.83870448384649143</v>
      </c>
      <c r="AD995">
        <v>0.77084550028345766</v>
      </c>
      <c r="AE995">
        <v>0.86876109710897176</v>
      </c>
      <c r="AH995">
        <v>5.5135463228291104E-2</v>
      </c>
      <c r="AI995">
        <v>0.20279959393130653</v>
      </c>
      <c r="AJ995">
        <v>0.14413425455551354</v>
      </c>
      <c r="AK995">
        <v>9.2339717818352263E-2</v>
      </c>
      <c r="AL995">
        <v>0.15114867521895015</v>
      </c>
      <c r="AM995">
        <v>6.9880572740452562E-2</v>
      </c>
      <c r="AN995">
        <v>3.907614940813553E-2</v>
      </c>
      <c r="AO995">
        <v>0.3256176373564047</v>
      </c>
      <c r="AR995">
        <v>8.7434723282877691E-4</v>
      </c>
      <c r="AS995">
        <v>4.7999582415176878E-3</v>
      </c>
      <c r="AT995">
        <v>9.9567043849489889E-2</v>
      </c>
      <c r="AU995">
        <v>2.187928436315989E-3</v>
      </c>
      <c r="AV995">
        <v>2.04952616497589E-3</v>
      </c>
      <c r="AW995">
        <v>3.119823310077281E-3</v>
      </c>
      <c r="AX995">
        <v>2.7758417519719024E-4</v>
      </c>
      <c r="AY995">
        <v>5.0166407619534059E-4</v>
      </c>
      <c r="BB995">
        <v>5.5637840822600149E-2</v>
      </c>
      <c r="BC995">
        <v>3.0693933532201335E-2</v>
      </c>
      <c r="BE995">
        <v>34454.411628518254</v>
      </c>
      <c r="BF995">
        <v>21.072070407849647</v>
      </c>
      <c r="BG995">
        <v>36312.272344061173</v>
      </c>
      <c r="BH995">
        <v>21.066607067467771</v>
      </c>
    </row>
    <row r="996" spans="3:60" x14ac:dyDescent="0.2">
      <c r="C996" s="138">
        <v>30623.888060674446</v>
      </c>
      <c r="D996">
        <v>21.040449583273571</v>
      </c>
      <c r="E996" s="138">
        <v>32802.419083932335</v>
      </c>
      <c r="F996" s="138">
        <v>21.00956918929306</v>
      </c>
      <c r="G996" s="138">
        <v>-2178.5310232578886</v>
      </c>
      <c r="H996" s="138">
        <v>3.0880393980510235E-2</v>
      </c>
      <c r="N996" s="138"/>
      <c r="O996" s="138"/>
      <c r="P996" s="138"/>
      <c r="R996">
        <v>115.12073486219458</v>
      </c>
      <c r="S996">
        <v>58.429954893192829</v>
      </c>
      <c r="T996">
        <v>269.32219134566736</v>
      </c>
      <c r="U996">
        <v>84.506976456873105</v>
      </c>
      <c r="X996">
        <v>0.57278728182402616</v>
      </c>
      <c r="Y996">
        <v>0.88331090744897844</v>
      </c>
      <c r="Z996">
        <v>0.68641179624728599</v>
      </c>
      <c r="AA996">
        <v>0.8931596794817539</v>
      </c>
      <c r="AB996">
        <v>0.68982136944069949</v>
      </c>
      <c r="AC996">
        <v>0.68355660556987408</v>
      </c>
      <c r="AD996">
        <v>0.86086259402458798</v>
      </c>
      <c r="AE996">
        <v>0.85927603607339675</v>
      </c>
      <c r="AH996">
        <v>8.462018235188995E-2</v>
      </c>
      <c r="AI996">
        <v>0.22512060844171966</v>
      </c>
      <c r="AJ996">
        <v>9.9399797046259675E-2</v>
      </c>
      <c r="AK996">
        <v>0.15628813103605621</v>
      </c>
      <c r="AL996">
        <v>0.21650982528395535</v>
      </c>
      <c r="AM996">
        <v>3.5652226401957643E-2</v>
      </c>
      <c r="AN996">
        <v>0.25794647896603884</v>
      </c>
      <c r="AO996">
        <v>5.8268499195707091E-2</v>
      </c>
      <c r="AR996">
        <v>9.9928166308571598E-4</v>
      </c>
      <c r="AS996">
        <v>4.5013287353217191E-3</v>
      </c>
      <c r="AT996">
        <v>0.10060336874212994</v>
      </c>
      <c r="AU996">
        <v>1.97662379474367E-3</v>
      </c>
      <c r="AV996">
        <v>1.8006720510084216E-3</v>
      </c>
      <c r="AW996">
        <v>3.6528262582394833E-3</v>
      </c>
      <c r="AX996">
        <v>4.0609312458073088E-4</v>
      </c>
      <c r="AY996">
        <v>5.5320554718274462E-4</v>
      </c>
      <c r="BB996">
        <v>4.5133043332108345E-2</v>
      </c>
      <c r="BC996">
        <v>8.0697720862062172E-2</v>
      </c>
      <c r="BE996">
        <v>30623.888060674446</v>
      </c>
      <c r="BF996">
        <v>21.040449583273571</v>
      </c>
      <c r="BG996">
        <v>32802.419083932335</v>
      </c>
      <c r="BH996">
        <v>21.00956918929306</v>
      </c>
    </row>
    <row r="997" spans="3:60" x14ac:dyDescent="0.2">
      <c r="C997" s="138">
        <v>32500.183159980457</v>
      </c>
      <c r="D997">
        <v>20.530258782557624</v>
      </c>
      <c r="E997" s="138">
        <v>34282.907326405024</v>
      </c>
      <c r="F997" s="138">
        <v>20.487314973072003</v>
      </c>
      <c r="G997" s="138">
        <v>-1782.7241664245666</v>
      </c>
      <c r="H997" s="138">
        <v>4.2943809485620932E-2</v>
      </c>
      <c r="N997" s="138"/>
      <c r="O997" s="138"/>
      <c r="P997" s="138"/>
      <c r="R997">
        <v>228.61275573998989</v>
      </c>
      <c r="S997">
        <v>55.93281242835512</v>
      </c>
      <c r="T997">
        <v>248.62915137078073</v>
      </c>
      <c r="U997">
        <v>125.89466373701381</v>
      </c>
      <c r="X997">
        <v>0.85140212480130395</v>
      </c>
      <c r="Y997">
        <v>0.61505996203683078</v>
      </c>
      <c r="Z997">
        <v>0.79747783152227458</v>
      </c>
      <c r="AA997">
        <v>0.59470297210814071</v>
      </c>
      <c r="AB997">
        <v>0.84861544482649032</v>
      </c>
      <c r="AC997">
        <v>0.69326926306891479</v>
      </c>
      <c r="AD997">
        <v>0.64489989809535164</v>
      </c>
      <c r="AE997">
        <v>0.79222581398964276</v>
      </c>
      <c r="AH997">
        <v>0.16445616995706758</v>
      </c>
      <c r="AI997">
        <v>0.161864055250308</v>
      </c>
      <c r="AJ997">
        <v>0.15201737005232518</v>
      </c>
      <c r="AK997">
        <v>0.15234835469704822</v>
      </c>
      <c r="AL997">
        <v>7.0737358426928298E-2</v>
      </c>
      <c r="AM997">
        <v>0.15978761465066915</v>
      </c>
      <c r="AN997">
        <v>1.5849555504700463E-2</v>
      </c>
      <c r="AO997">
        <v>0.17913833107302679</v>
      </c>
      <c r="AR997">
        <v>1.0208957918970141E-3</v>
      </c>
      <c r="AS997">
        <v>4.1110515392910208E-3</v>
      </c>
      <c r="AT997">
        <v>0.10029970035043556</v>
      </c>
      <c r="AU997">
        <v>1.8879507733079806E-3</v>
      </c>
      <c r="AV997">
        <v>1.9141732876900755E-3</v>
      </c>
      <c r="AW997">
        <v>3.3797885266164777E-3</v>
      </c>
      <c r="AX997">
        <v>4.2505596387409916E-4</v>
      </c>
      <c r="AY997">
        <v>3.9993641587295054E-4</v>
      </c>
      <c r="BB997">
        <v>4.7759969467770322E-2</v>
      </c>
      <c r="BC997">
        <v>7.8009131853275404E-2</v>
      </c>
      <c r="BE997">
        <v>32500.183159980457</v>
      </c>
      <c r="BF997">
        <v>20.530258782557624</v>
      </c>
      <c r="BG997">
        <v>34282.907326405024</v>
      </c>
      <c r="BH997">
        <v>20.487314973072003</v>
      </c>
    </row>
    <row r="998" spans="3:60" x14ac:dyDescent="0.2">
      <c r="C998" s="138">
        <v>28731.971188530031</v>
      </c>
      <c r="D998">
        <v>20.882774966584588</v>
      </c>
      <c r="E998" s="138">
        <v>30574.006205199134</v>
      </c>
      <c r="F998" s="138">
        <v>20.864514266660258</v>
      </c>
      <c r="G998" s="138">
        <v>-1842.0350166691023</v>
      </c>
      <c r="H998" s="138">
        <v>1.8260699924329771E-2</v>
      </c>
      <c r="N998" s="138"/>
      <c r="O998" s="138"/>
      <c r="P998" s="138"/>
      <c r="R998">
        <v>324.46693314288643</v>
      </c>
      <c r="S998">
        <v>62.59169609475709</v>
      </c>
      <c r="T998">
        <v>218.27813572550357</v>
      </c>
      <c r="U998">
        <v>94.36989176226254</v>
      </c>
      <c r="X998">
        <v>0.83445621325422992</v>
      </c>
      <c r="Y998">
        <v>0.68588202041532254</v>
      </c>
      <c r="Z998">
        <v>0.82036090904820691</v>
      </c>
      <c r="AA998">
        <v>0.81223181212980755</v>
      </c>
      <c r="AB998">
        <v>0.8769612595296451</v>
      </c>
      <c r="AC998">
        <v>0.4452412931275927</v>
      </c>
      <c r="AD998">
        <v>0.38607678538318579</v>
      </c>
      <c r="AE998">
        <v>0.86332739504732159</v>
      </c>
      <c r="AH998">
        <v>0.30741336197575753</v>
      </c>
      <c r="AI998">
        <v>4.4927993258434551E-2</v>
      </c>
      <c r="AJ998">
        <v>0.34596169387008491</v>
      </c>
      <c r="AK998">
        <v>2.1811458261262739E-2</v>
      </c>
      <c r="AL998">
        <v>4.7705921174599819E-2</v>
      </c>
      <c r="AM998">
        <v>6.7538190350634242E-2</v>
      </c>
      <c r="AN998">
        <v>0.10110268174249559</v>
      </c>
      <c r="AO998">
        <v>3.8741372577137168E-2</v>
      </c>
      <c r="AR998">
        <v>9.0295133071771616E-4</v>
      </c>
      <c r="AS998">
        <v>4.3468251784599468E-3</v>
      </c>
      <c r="AT998">
        <v>9.9300641240841508E-2</v>
      </c>
      <c r="AU998">
        <v>2.2247504569069543E-3</v>
      </c>
      <c r="AV998">
        <v>1.8359236906516831E-3</v>
      </c>
      <c r="AW998">
        <v>3.4908859691036298E-3</v>
      </c>
      <c r="AX998">
        <v>3.6381703763200353E-4</v>
      </c>
      <c r="AY998">
        <v>4.4491536403531192E-4</v>
      </c>
      <c r="BB998">
        <v>4.9700953280470209E-2</v>
      </c>
      <c r="BC998">
        <v>3.8082153562271216E-2</v>
      </c>
      <c r="BE998">
        <v>28731.971188530031</v>
      </c>
      <c r="BF998">
        <v>20.882774966584588</v>
      </c>
      <c r="BG998">
        <v>30574.006205199134</v>
      </c>
      <c r="BH998">
        <v>20.864514266660258</v>
      </c>
    </row>
    <row r="999" spans="3:60" x14ac:dyDescent="0.2">
      <c r="C999" s="138">
        <v>33894.545700005132</v>
      </c>
      <c r="D999">
        <v>21.285932354372434</v>
      </c>
      <c r="E999" s="138">
        <v>35696.772720436442</v>
      </c>
      <c r="F999" s="138">
        <v>21.29136725990611</v>
      </c>
      <c r="G999" s="138">
        <v>-1802.2270204313099</v>
      </c>
      <c r="H999" s="138">
        <v>-5.4349055336757601E-3</v>
      </c>
      <c r="N999" s="138"/>
      <c r="O999" s="138"/>
      <c r="P999" s="138"/>
      <c r="R999">
        <v>370.06217318158855</v>
      </c>
      <c r="S999">
        <v>69.283488685993788</v>
      </c>
      <c r="T999">
        <v>194.59652386815543</v>
      </c>
      <c r="U999">
        <v>109.32729719955881</v>
      </c>
      <c r="X999">
        <v>0.62030966979908209</v>
      </c>
      <c r="Y999">
        <v>0.5334737277312297</v>
      </c>
      <c r="Z999">
        <v>0.83614202982322428</v>
      </c>
      <c r="AA999">
        <v>0.71776455677783646</v>
      </c>
      <c r="AB999">
        <v>0.65619208860543599</v>
      </c>
      <c r="AC999">
        <v>0.89620009558423264</v>
      </c>
      <c r="AD999">
        <v>0.71673038657775689</v>
      </c>
      <c r="AE999">
        <v>0.96017555727130888</v>
      </c>
      <c r="AH999">
        <v>8.36222689319297E-2</v>
      </c>
      <c r="AI999">
        <v>0.13889495689148657</v>
      </c>
      <c r="AJ999">
        <v>0.30979662523906293</v>
      </c>
      <c r="AK999">
        <v>9.2197817422595474E-2</v>
      </c>
      <c r="AL999">
        <v>3.0736124200800963E-2</v>
      </c>
      <c r="AM999">
        <v>0.27571483089847859</v>
      </c>
      <c r="AN999">
        <v>9.8319874307469801E-2</v>
      </c>
      <c r="AO999">
        <v>0.19856495310341593</v>
      </c>
      <c r="AR999">
        <v>9.0364135572762461E-4</v>
      </c>
      <c r="AS999">
        <v>4.1592529969716454E-3</v>
      </c>
      <c r="AT999">
        <v>9.9606527404465781E-2</v>
      </c>
      <c r="AU999">
        <v>1.8171000004413684E-3</v>
      </c>
      <c r="AV999">
        <v>1.7900066170533171E-3</v>
      </c>
      <c r="AW999">
        <v>3.2305392246348755E-3</v>
      </c>
      <c r="AX999">
        <v>3.6738542155760693E-4</v>
      </c>
      <c r="AY999">
        <v>4.731628558199974E-4</v>
      </c>
      <c r="BB999">
        <v>6.3254963189517288E-2</v>
      </c>
      <c r="BC999">
        <v>3.9198244500620684E-2</v>
      </c>
      <c r="BE999">
        <v>33894.545700005132</v>
      </c>
      <c r="BF999">
        <v>21.285932354372434</v>
      </c>
      <c r="BG999">
        <v>35696.772720436442</v>
      </c>
      <c r="BH999">
        <v>21.29136725990611</v>
      </c>
    </row>
    <row r="1000" spans="3:60" x14ac:dyDescent="0.2">
      <c r="C1000" s="138">
        <v>26146.601335308093</v>
      </c>
      <c r="D1000">
        <v>21.550099245961668</v>
      </c>
      <c r="E1000" s="138">
        <v>27760.240031248446</v>
      </c>
      <c r="F1000" s="138">
        <v>21.555827039373071</v>
      </c>
      <c r="G1000" s="138">
        <v>-1613.6386959403535</v>
      </c>
      <c r="H1000" s="138">
        <v>-5.7277934114026152E-3</v>
      </c>
      <c r="N1000" s="138"/>
      <c r="O1000" s="138"/>
      <c r="P1000" s="138"/>
      <c r="R1000">
        <v>94.594587100845786</v>
      </c>
      <c r="S1000">
        <v>64.902751770676389</v>
      </c>
      <c r="T1000">
        <v>204.84455302023065</v>
      </c>
      <c r="U1000">
        <v>111.57790708677877</v>
      </c>
      <c r="X1000">
        <v>0.8555982724916924</v>
      </c>
      <c r="Y1000">
        <v>0.88581610432695013</v>
      </c>
      <c r="Z1000">
        <v>0.66205513685897022</v>
      </c>
      <c r="AA1000">
        <v>0.82865098174893614</v>
      </c>
      <c r="AB1000">
        <v>0.78721170388513217</v>
      </c>
      <c r="AC1000">
        <v>0.61862217376588979</v>
      </c>
      <c r="AD1000">
        <v>0.86545513436360511</v>
      </c>
      <c r="AE1000">
        <v>0.77494914950163341</v>
      </c>
      <c r="AH1000">
        <v>8.3190033862577062E-2</v>
      </c>
      <c r="AI1000">
        <v>7.6483883429459332E-2</v>
      </c>
      <c r="AJ1000">
        <v>3.019207717248007E-2</v>
      </c>
      <c r="AK1000">
        <v>0.1225475143685465</v>
      </c>
      <c r="AL1000">
        <v>0.33687762941026422</v>
      </c>
      <c r="AM1000">
        <v>0.1582580522159478</v>
      </c>
      <c r="AN1000">
        <v>0.23073968301266967</v>
      </c>
      <c r="AO1000">
        <v>5.1306947422503302E-2</v>
      </c>
      <c r="AR1000">
        <v>7.7821954193208951E-4</v>
      </c>
      <c r="AS1000">
        <v>4.6926383927959892E-3</v>
      </c>
      <c r="AT1000">
        <v>0.10090682015693186</v>
      </c>
      <c r="AU1000">
        <v>2.0023599072570564E-3</v>
      </c>
      <c r="AV1000">
        <v>1.8210763872943216E-3</v>
      </c>
      <c r="AW1000">
        <v>3.2949316505318104E-3</v>
      </c>
      <c r="AX1000">
        <v>3.4841438537896194E-4</v>
      </c>
      <c r="AY1000">
        <v>5.6284183634458529E-4</v>
      </c>
      <c r="BB1000">
        <v>4.8640069778194982E-2</v>
      </c>
      <c r="BC1000">
        <v>2.5245462075314046E-2</v>
      </c>
      <c r="BE1000">
        <v>26146.601335308093</v>
      </c>
      <c r="BF1000">
        <v>21.550099245961668</v>
      </c>
      <c r="BG1000">
        <v>27760.240031248446</v>
      </c>
      <c r="BH1000">
        <v>21.555827039373071</v>
      </c>
    </row>
    <row r="1001" spans="3:60" x14ac:dyDescent="0.2">
      <c r="C1001" s="138">
        <v>32512.989150482645</v>
      </c>
      <c r="D1001">
        <v>21.472024102043601</v>
      </c>
      <c r="E1001" s="138">
        <v>34841.261677806244</v>
      </c>
      <c r="F1001" s="138">
        <v>21.475569011117472</v>
      </c>
      <c r="G1001" s="138">
        <v>-2328.2725273235992</v>
      </c>
      <c r="H1001" s="138">
        <v>-3.5449090738701727E-3</v>
      </c>
      <c r="N1001" s="138"/>
      <c r="O1001" s="138"/>
      <c r="P1001" s="138"/>
      <c r="R1001">
        <v>185.53422333109467</v>
      </c>
      <c r="S1001">
        <v>62.172634994605787</v>
      </c>
      <c r="T1001">
        <v>258.23933635255361</v>
      </c>
      <c r="U1001">
        <v>93.24627287799575</v>
      </c>
      <c r="X1001">
        <v>0.58768740063812652</v>
      </c>
      <c r="Y1001">
        <v>0.86069767681304499</v>
      </c>
      <c r="Z1001">
        <v>0.83235385381067506</v>
      </c>
      <c r="AA1001">
        <v>0.47538824806600438</v>
      </c>
      <c r="AB1001">
        <v>0.86842805127235823</v>
      </c>
      <c r="AC1001">
        <v>0.87319954215840068</v>
      </c>
      <c r="AD1001">
        <v>0.76175622379956998</v>
      </c>
      <c r="AE1001">
        <v>0.76402553160157938</v>
      </c>
      <c r="AH1001">
        <v>3.197059867240426E-2</v>
      </c>
      <c r="AI1001">
        <v>6.897385052079108E-2</v>
      </c>
      <c r="AJ1001">
        <v>3.6893138585040175E-2</v>
      </c>
      <c r="AK1001">
        <v>0.23128260523128208</v>
      </c>
      <c r="AL1001">
        <v>0.10175471692744786</v>
      </c>
      <c r="AM1001">
        <v>0.34598140642260478</v>
      </c>
      <c r="AN1001">
        <v>0.23087378411480408</v>
      </c>
      <c r="AO1001">
        <v>0.2160980051907011</v>
      </c>
      <c r="AR1001">
        <v>8.7089204088484451E-4</v>
      </c>
      <c r="AS1001">
        <v>4.7264380767988445E-3</v>
      </c>
      <c r="AT1001">
        <v>0.10095840036006165</v>
      </c>
      <c r="AU1001">
        <v>1.8519054539830986E-3</v>
      </c>
      <c r="AV1001">
        <v>2.0317938767221433E-3</v>
      </c>
      <c r="AW1001">
        <v>3.2762976752127846E-3</v>
      </c>
      <c r="AX1001">
        <v>3.4619522806596194E-4</v>
      </c>
      <c r="AY1001">
        <v>4.8415509312338401E-4</v>
      </c>
      <c r="BB1001">
        <v>5.1565780416347295E-2</v>
      </c>
      <c r="BC1001">
        <v>3.6059748051509591E-2</v>
      </c>
      <c r="BE1001">
        <v>32512.989150482645</v>
      </c>
      <c r="BF1001">
        <v>21.472024102043601</v>
      </c>
      <c r="BG1001">
        <v>34841.261677806244</v>
      </c>
      <c r="BH1001">
        <v>21.475569011117472</v>
      </c>
    </row>
    <row r="1002" spans="3:60" x14ac:dyDescent="0.2">
      <c r="C1002" s="138">
        <v>35460.138470970589</v>
      </c>
      <c r="D1002">
        <v>20.64234763221797</v>
      </c>
      <c r="E1002" s="138">
        <v>37575.805251273436</v>
      </c>
      <c r="F1002" s="138">
        <v>20.629256232577927</v>
      </c>
      <c r="G1002" s="138">
        <v>-2115.6667803028467</v>
      </c>
      <c r="H1002" s="138">
        <v>1.3091399640043022E-2</v>
      </c>
      <c r="N1002" s="138"/>
      <c r="O1002" s="138"/>
      <c r="P1002" s="138"/>
      <c r="R1002">
        <v>288.22065538932645</v>
      </c>
      <c r="S1002">
        <v>49.949375306194909</v>
      </c>
      <c r="T1002">
        <v>207.51796086205871</v>
      </c>
      <c r="U1002">
        <v>93.239827675048247</v>
      </c>
      <c r="X1002">
        <v>0.85211159730419983</v>
      </c>
      <c r="Y1002">
        <v>0.87964881723360155</v>
      </c>
      <c r="Z1002">
        <v>0.6422152822759537</v>
      </c>
      <c r="AA1002">
        <v>0.80008324686393828</v>
      </c>
      <c r="AB1002">
        <v>0.81102161134232642</v>
      </c>
      <c r="AC1002">
        <v>0.93018543476802551</v>
      </c>
      <c r="AD1002">
        <v>0.44702332686155788</v>
      </c>
      <c r="AE1002">
        <v>0.76319227163528691</v>
      </c>
      <c r="AH1002">
        <v>0.2365668684831953</v>
      </c>
      <c r="AI1002">
        <v>0.14578264386455442</v>
      </c>
      <c r="AJ1002">
        <v>9.1050102020376888E-2</v>
      </c>
      <c r="AK1002">
        <v>0.12719375541715794</v>
      </c>
      <c r="AL1002">
        <v>6.2786528802014963E-2</v>
      </c>
      <c r="AM1002">
        <v>0.17857428394456965</v>
      </c>
      <c r="AN1002">
        <v>0.16571106037027172</v>
      </c>
      <c r="AO1002">
        <v>2.3541737402587137E-2</v>
      </c>
      <c r="AR1002">
        <v>1.0228334624802216E-3</v>
      </c>
      <c r="AS1002">
        <v>4.629680985364204E-3</v>
      </c>
      <c r="AT1002">
        <v>9.9381581946117389E-2</v>
      </c>
      <c r="AU1002">
        <v>1.98428579951137E-3</v>
      </c>
      <c r="AV1002">
        <v>2.2320148881752599E-3</v>
      </c>
      <c r="AW1002">
        <v>3.3481910162852921E-3</v>
      </c>
      <c r="AX1002">
        <v>5.6403057568321646E-4</v>
      </c>
      <c r="AY1002">
        <v>3.4046720911123593E-4</v>
      </c>
      <c r="BB1002">
        <v>5.3604322785657299E-2</v>
      </c>
      <c r="BC1002">
        <v>3.7984316400333569E-2</v>
      </c>
      <c r="BE1002">
        <v>35460.138470970589</v>
      </c>
      <c r="BF1002">
        <v>20.64234763221797</v>
      </c>
      <c r="BG1002">
        <v>37575.805251273436</v>
      </c>
      <c r="BH1002">
        <v>20.629256232577927</v>
      </c>
    </row>
    <row r="1003" spans="3:60" x14ac:dyDescent="0.2">
      <c r="C1003" s="138">
        <v>33046.379324667389</v>
      </c>
      <c r="D1003">
        <v>21.516154451476201</v>
      </c>
      <c r="E1003" s="138">
        <v>34805.051209980789</v>
      </c>
      <c r="F1003" s="138">
        <v>21.51597144329499</v>
      </c>
      <c r="G1003" s="138">
        <v>-1758.6718853134007</v>
      </c>
      <c r="H1003" s="138">
        <v>1.8300818121019802E-4</v>
      </c>
      <c r="N1003" s="138"/>
      <c r="O1003" s="138"/>
      <c r="P1003" s="138"/>
      <c r="R1003">
        <v>145.85467237335649</v>
      </c>
      <c r="S1003">
        <v>57.539104814960105</v>
      </c>
      <c r="T1003">
        <v>246.2339699125599</v>
      </c>
      <c r="U1003">
        <v>108.57755845577014</v>
      </c>
      <c r="X1003">
        <v>0.83180439821064622</v>
      </c>
      <c r="Y1003">
        <v>0.81399456907616163</v>
      </c>
      <c r="Z1003">
        <v>0.6674313143596059</v>
      </c>
      <c r="AA1003">
        <v>0.77741643166840535</v>
      </c>
      <c r="AB1003">
        <v>0.76876811458146621</v>
      </c>
      <c r="AC1003">
        <v>0.94782301344021835</v>
      </c>
      <c r="AD1003">
        <v>0.49195653426011965</v>
      </c>
      <c r="AE1003">
        <v>0.84804528588162009</v>
      </c>
      <c r="AH1003">
        <v>4.6441666383469138E-2</v>
      </c>
      <c r="AI1003">
        <v>5.9155653221261373E-2</v>
      </c>
      <c r="AJ1003">
        <v>0.11751701503261724</v>
      </c>
      <c r="AK1003">
        <v>6.8578764657977409E-2</v>
      </c>
      <c r="AL1003">
        <v>0.11768526084533337</v>
      </c>
      <c r="AM1003">
        <v>6.9528842126244772E-2</v>
      </c>
      <c r="AN1003">
        <v>4.0483124983249796E-2</v>
      </c>
      <c r="AO1003">
        <v>0.16255050085292133</v>
      </c>
      <c r="AR1003">
        <v>9.6442132354512822E-4</v>
      </c>
      <c r="AS1003">
        <v>4.3603212786799571E-3</v>
      </c>
      <c r="AT1003">
        <v>0.10004692315141839</v>
      </c>
      <c r="AU1003">
        <v>1.9687243285965283E-3</v>
      </c>
      <c r="AV1003">
        <v>1.939531107686988E-3</v>
      </c>
      <c r="AW1003">
        <v>3.4588352641481412E-3</v>
      </c>
      <c r="AX1003">
        <v>3.0982937633352334E-4</v>
      </c>
      <c r="AY1003">
        <v>4.8137585360852331E-4</v>
      </c>
      <c r="BB1003">
        <v>4.2970588983847924E-2</v>
      </c>
      <c r="BC1003">
        <v>7.0635121702121495E-2</v>
      </c>
      <c r="BE1003">
        <v>33046.379324667389</v>
      </c>
      <c r="BF1003">
        <v>21.516154451476201</v>
      </c>
      <c r="BG1003">
        <v>34805.051209980789</v>
      </c>
      <c r="BH1003">
        <v>21.51597144329499</v>
      </c>
    </row>
    <row r="1004" spans="3:60" x14ac:dyDescent="0.2">
      <c r="C1004" s="138">
        <v>29004.662842304024</v>
      </c>
      <c r="D1004">
        <v>21.343145215595353</v>
      </c>
      <c r="E1004" s="138">
        <v>30691.926252527566</v>
      </c>
      <c r="F1004" s="138">
        <v>21.317555858598816</v>
      </c>
      <c r="G1004" s="138">
        <v>-1687.2634102235425</v>
      </c>
      <c r="H1004" s="138">
        <v>2.5589356996537305E-2</v>
      </c>
      <c r="N1004" s="138"/>
      <c r="O1004" s="138"/>
      <c r="P1004" s="138"/>
      <c r="R1004">
        <v>246.20398289246745</v>
      </c>
      <c r="S1004">
        <v>66.480189983084486</v>
      </c>
      <c r="T1004">
        <v>181.84214001744112</v>
      </c>
      <c r="U1004">
        <v>91.107938345288716</v>
      </c>
      <c r="X1004">
        <v>0.78190280039621773</v>
      </c>
      <c r="Y1004">
        <v>0.73985562509878766</v>
      </c>
      <c r="Z1004">
        <v>0.86260805784988825</v>
      </c>
      <c r="AA1004">
        <v>0.8534552116300973</v>
      </c>
      <c r="AB1004">
        <v>0.9200124699668365</v>
      </c>
      <c r="AC1004">
        <v>0.85510738940555386</v>
      </c>
      <c r="AD1004">
        <v>0.75141850569690827</v>
      </c>
      <c r="AE1004">
        <v>0.79555216911286131</v>
      </c>
      <c r="AH1004">
        <v>3.7258098919953797E-2</v>
      </c>
      <c r="AI1004">
        <v>0.23026835984939154</v>
      </c>
      <c r="AJ1004">
        <v>0.14889762802465645</v>
      </c>
      <c r="AK1004">
        <v>0.38336756957075036</v>
      </c>
      <c r="AL1004">
        <v>7.6460301187274538E-2</v>
      </c>
      <c r="AM1004">
        <v>0.44363523603534061</v>
      </c>
      <c r="AN1004">
        <v>0.10474865280212686</v>
      </c>
      <c r="AO1004">
        <v>0.12175140532610385</v>
      </c>
      <c r="AR1004">
        <v>8.8403670372749375E-4</v>
      </c>
      <c r="AS1004">
        <v>4.2757854860452664E-3</v>
      </c>
      <c r="AT1004">
        <v>9.99672856468138E-2</v>
      </c>
      <c r="AU1004">
        <v>1.887425680132162E-3</v>
      </c>
      <c r="AV1004">
        <v>2.1953551523222758E-3</v>
      </c>
      <c r="AW1004">
        <v>3.3868602346319274E-3</v>
      </c>
      <c r="AX1004">
        <v>4.2852788375247197E-4</v>
      </c>
      <c r="AY1004">
        <v>4.7208776711993305E-4</v>
      </c>
      <c r="BB1004">
        <v>4.987216535694694E-2</v>
      </c>
      <c r="BC1004">
        <v>8.6064105735198071E-2</v>
      </c>
      <c r="BE1004">
        <v>29004.662842304024</v>
      </c>
      <c r="BF1004">
        <v>21.343145215595353</v>
      </c>
      <c r="BG1004">
        <v>30691.926252527566</v>
      </c>
      <c r="BH1004">
        <v>21.317555858598816</v>
      </c>
    </row>
    <row r="1005" spans="3:60" x14ac:dyDescent="0.2">
      <c r="C1005" s="138">
        <v>34099.367589001995</v>
      </c>
      <c r="D1005">
        <v>20.22910988267396</v>
      </c>
      <c r="E1005" s="138">
        <v>35947.204099429044</v>
      </c>
      <c r="F1005" s="138">
        <v>20.155389098048175</v>
      </c>
      <c r="G1005" s="138">
        <v>-1847.8365104270488</v>
      </c>
      <c r="H1005" s="138">
        <v>7.3720784625784574E-2</v>
      </c>
      <c r="N1005" s="138"/>
      <c r="O1005" s="138"/>
      <c r="P1005" s="138"/>
      <c r="R1005">
        <v>188.41731551239624</v>
      </c>
      <c r="S1005">
        <v>66.618988174111664</v>
      </c>
      <c r="T1005">
        <v>275.95305257543282</v>
      </c>
      <c r="U1005">
        <v>91.161566257452023</v>
      </c>
      <c r="X1005">
        <v>0.69752347712139617</v>
      </c>
      <c r="Y1005">
        <v>0.78807259170402288</v>
      </c>
      <c r="Z1005">
        <v>0.68844000330349708</v>
      </c>
      <c r="AA1005">
        <v>0.88216737359297448</v>
      </c>
      <c r="AB1005">
        <v>0.90367606910108644</v>
      </c>
      <c r="AC1005">
        <v>0.60819437613731797</v>
      </c>
      <c r="AD1005">
        <v>0.76168719032324017</v>
      </c>
      <c r="AE1005">
        <v>0.62295830788408302</v>
      </c>
      <c r="AH1005">
        <v>2.3909916130217201E-2</v>
      </c>
      <c r="AI1005">
        <v>4.8570564346995582E-2</v>
      </c>
      <c r="AJ1005">
        <v>1.7731784894030045E-2</v>
      </c>
      <c r="AK1005">
        <v>2.2716703584341746E-2</v>
      </c>
      <c r="AL1005">
        <v>0.10295791885015848</v>
      </c>
      <c r="AM1005">
        <v>0.1651151400185642</v>
      </c>
      <c r="AN1005">
        <v>0.19867199458624374</v>
      </c>
      <c r="AO1005">
        <v>4.1993169144474374E-2</v>
      </c>
      <c r="AR1005">
        <v>7.3801525704476174E-4</v>
      </c>
      <c r="AS1005">
        <v>4.3239668410932968E-3</v>
      </c>
      <c r="AT1005">
        <v>0.10067220219591155</v>
      </c>
      <c r="AU1005">
        <v>1.9955545844618583E-3</v>
      </c>
      <c r="AV1005">
        <v>1.8337610416861556E-3</v>
      </c>
      <c r="AW1005">
        <v>3.1366103506238448E-3</v>
      </c>
      <c r="AX1005">
        <v>2.8205774847193889E-4</v>
      </c>
      <c r="AY1005">
        <v>4.8648144248608638E-4</v>
      </c>
      <c r="BB1005">
        <v>5.858992075132019E-2</v>
      </c>
      <c r="BC1005">
        <v>1.4683488740504388E-2</v>
      </c>
      <c r="BE1005">
        <v>34099.367589001995</v>
      </c>
      <c r="BF1005">
        <v>20.22910988267396</v>
      </c>
      <c r="BG1005">
        <v>35947.204099429044</v>
      </c>
      <c r="BH1005">
        <v>20.155389098048175</v>
      </c>
    </row>
    <row r="1006" spans="3:60" x14ac:dyDescent="0.2">
      <c r="C1006" s="138">
        <v>30291.13169267714</v>
      </c>
      <c r="D1006">
        <v>20.260839261157116</v>
      </c>
      <c r="E1006" s="138">
        <v>32378.546039075805</v>
      </c>
      <c r="F1006" s="138">
        <v>20.19305634611683</v>
      </c>
      <c r="G1006" s="138">
        <v>-2087.4143463986657</v>
      </c>
      <c r="H1006" s="138">
        <v>6.778291504028644E-2</v>
      </c>
      <c r="N1006" s="138"/>
      <c r="O1006" s="138"/>
      <c r="P1006" s="138"/>
      <c r="R1006">
        <v>294.42025450620849</v>
      </c>
      <c r="S1006">
        <v>52.911322531211702</v>
      </c>
      <c r="T1006">
        <v>232.82015620092071</v>
      </c>
      <c r="U1006">
        <v>88.879630939034612</v>
      </c>
      <c r="X1006">
        <v>0.54654829212009381</v>
      </c>
      <c r="Y1006">
        <v>0.71518519700784067</v>
      </c>
      <c r="Z1006">
        <v>0.66992109084409424</v>
      </c>
      <c r="AA1006">
        <v>0.85528137338008559</v>
      </c>
      <c r="AB1006">
        <v>0.72072189510966433</v>
      </c>
      <c r="AC1006">
        <v>0.90878917605134768</v>
      </c>
      <c r="AD1006">
        <v>0.70473919510613181</v>
      </c>
      <c r="AE1006">
        <v>0.72788223176122502</v>
      </c>
      <c r="AH1006">
        <v>0.25271943156129706</v>
      </c>
      <c r="AI1006">
        <v>0.14585944992596767</v>
      </c>
      <c r="AJ1006">
        <v>0.25392310310603805</v>
      </c>
      <c r="AK1006">
        <v>3.1915648377697114E-2</v>
      </c>
      <c r="AL1006">
        <v>0.12651926461413043</v>
      </c>
      <c r="AM1006">
        <v>0.14112315268108189</v>
      </c>
      <c r="AN1006">
        <v>0.20336311346496549</v>
      </c>
      <c r="AO1006">
        <v>0.18180043757129072</v>
      </c>
      <c r="AR1006">
        <v>1.0200280735301881E-3</v>
      </c>
      <c r="AS1006">
        <v>4.5663471633899944E-3</v>
      </c>
      <c r="AT1006">
        <v>0.10229411144139433</v>
      </c>
      <c r="AU1006">
        <v>1.8087457892503676E-3</v>
      </c>
      <c r="AV1006">
        <v>1.8420018365349975E-3</v>
      </c>
      <c r="AW1006">
        <v>3.2570140800381904E-3</v>
      </c>
      <c r="AX1006">
        <v>4.7595444168690992E-4</v>
      </c>
      <c r="AY1006">
        <v>3.5751646137382093E-4</v>
      </c>
      <c r="BB1006">
        <v>5.4725884562640825E-2</v>
      </c>
      <c r="BC1006">
        <v>4.1762897003345421E-2</v>
      </c>
      <c r="BE1006">
        <v>30291.13169267714</v>
      </c>
      <c r="BF1006">
        <v>20.260839261157116</v>
      </c>
      <c r="BG1006">
        <v>32378.546039075805</v>
      </c>
      <c r="BH1006">
        <v>20.19305634611683</v>
      </c>
    </row>
    <row r="1007" spans="3:60" x14ac:dyDescent="0.2">
      <c r="C1007" s="138">
        <v>35277.794026094467</v>
      </c>
      <c r="D1007">
        <v>20.554821678157715</v>
      </c>
      <c r="E1007" s="138">
        <v>37778.538743065554</v>
      </c>
      <c r="F1007" s="138">
        <v>20.526482375891586</v>
      </c>
      <c r="G1007" s="138">
        <v>-2500.7447169710867</v>
      </c>
      <c r="H1007" s="138">
        <v>2.8339302266129351E-2</v>
      </c>
      <c r="N1007" s="138"/>
      <c r="O1007" s="138"/>
      <c r="P1007" s="138"/>
      <c r="R1007">
        <v>299.59521004032121</v>
      </c>
      <c r="S1007">
        <v>55.454500103458201</v>
      </c>
      <c r="T1007">
        <v>304.94216912205951</v>
      </c>
      <c r="U1007">
        <v>93.7045038491501</v>
      </c>
      <c r="X1007">
        <v>0.81760508441287527</v>
      </c>
      <c r="Y1007">
        <v>0.9012155006519339</v>
      </c>
      <c r="Z1007">
        <v>0.71711560375372885</v>
      </c>
      <c r="AA1007">
        <v>0.93100370377713471</v>
      </c>
      <c r="AB1007">
        <v>0.90295330550033626</v>
      </c>
      <c r="AC1007">
        <v>0.84951338206047355</v>
      </c>
      <c r="AD1007">
        <v>0.63532960732129207</v>
      </c>
      <c r="AE1007">
        <v>0.84714741170252861</v>
      </c>
      <c r="AH1007">
        <v>0.12439955754317711</v>
      </c>
      <c r="AI1007">
        <v>0.13279438857435</v>
      </c>
      <c r="AJ1007">
        <v>6.018936567929023E-2</v>
      </c>
      <c r="AK1007">
        <v>8.0713219005691506E-2</v>
      </c>
      <c r="AL1007">
        <v>5.5173986749217363E-2</v>
      </c>
      <c r="AM1007">
        <v>0.22225643220160829</v>
      </c>
      <c r="AN1007">
        <v>0.24401344824924986</v>
      </c>
      <c r="AO1007">
        <v>0.13050851060085511</v>
      </c>
      <c r="AR1007">
        <v>7.3052316321017819E-4</v>
      </c>
      <c r="AS1007">
        <v>4.4722199428319466E-3</v>
      </c>
      <c r="AT1007">
        <v>0.10078280177218779</v>
      </c>
      <c r="AU1007">
        <v>2.0212653508175915E-3</v>
      </c>
      <c r="AV1007">
        <v>1.925715045249662E-3</v>
      </c>
      <c r="AW1007">
        <v>3.5795675624570311E-3</v>
      </c>
      <c r="AX1007">
        <v>4.1809758920674511E-4</v>
      </c>
      <c r="AY1007">
        <v>3.8528109770103792E-4</v>
      </c>
      <c r="BB1007">
        <v>5.0769406455191457E-2</v>
      </c>
      <c r="BC1007">
        <v>4.0975047234689504E-2</v>
      </c>
      <c r="BE1007">
        <v>35277.794026094467</v>
      </c>
      <c r="BF1007">
        <v>20.554821678157715</v>
      </c>
      <c r="BG1007">
        <v>37778.538743065554</v>
      </c>
      <c r="BH1007">
        <v>20.526482375891586</v>
      </c>
    </row>
    <row r="1008" spans="3:60" x14ac:dyDescent="0.2">
      <c r="C1008" s="138">
        <v>31057.228581604144</v>
      </c>
      <c r="D1008">
        <v>21.424961258104542</v>
      </c>
      <c r="E1008" s="138">
        <v>32865.362281596026</v>
      </c>
      <c r="F1008" s="138">
        <v>21.404372853895595</v>
      </c>
      <c r="G1008" s="138">
        <v>-1808.1336999918822</v>
      </c>
      <c r="H1008" s="138">
        <v>2.0588404208947253E-2</v>
      </c>
      <c r="N1008" s="138"/>
      <c r="O1008" s="138"/>
      <c r="P1008" s="138"/>
      <c r="R1008">
        <v>285.03637539961898</v>
      </c>
      <c r="S1008">
        <v>69.430408560012154</v>
      </c>
      <c r="T1008">
        <v>220.46558250694355</v>
      </c>
      <c r="U1008">
        <v>99.039934354646306</v>
      </c>
      <c r="X1008">
        <v>0.79785780197677103</v>
      </c>
      <c r="Y1008">
        <v>0.83708128506281465</v>
      </c>
      <c r="Z1008">
        <v>0.8912797180724108</v>
      </c>
      <c r="AA1008">
        <v>0.79196541817048649</v>
      </c>
      <c r="AB1008">
        <v>0.80484966958470561</v>
      </c>
      <c r="AC1008">
        <v>0.65649384470188588</v>
      </c>
      <c r="AD1008">
        <v>0.65782047446751823</v>
      </c>
      <c r="AE1008">
        <v>0.47175357099161047</v>
      </c>
      <c r="AH1008">
        <v>0.37912692249355651</v>
      </c>
      <c r="AI1008">
        <v>0.11137985813806117</v>
      </c>
      <c r="AJ1008">
        <v>0.10209339360273173</v>
      </c>
      <c r="AK1008">
        <v>0.1128383887601736</v>
      </c>
      <c r="AL1008">
        <v>3.2555861725551472E-2</v>
      </c>
      <c r="AM1008">
        <v>8.3538414311979947E-3</v>
      </c>
      <c r="AN1008">
        <v>0.17736758073647774</v>
      </c>
      <c r="AO1008">
        <v>6.9475979940782473E-2</v>
      </c>
      <c r="AR1008">
        <v>8.7385416982288099E-4</v>
      </c>
      <c r="AS1008">
        <v>4.6890934368475357E-3</v>
      </c>
      <c r="AT1008">
        <v>0.10049124034618251</v>
      </c>
      <c r="AU1008">
        <v>2.0381201142407601E-3</v>
      </c>
      <c r="AV1008">
        <v>2.0696916155638068E-3</v>
      </c>
      <c r="AW1008">
        <v>3.4951379352485823E-3</v>
      </c>
      <c r="AX1008">
        <v>4.0032492159236543E-4</v>
      </c>
      <c r="AY1008">
        <v>4.5744454983864813E-4</v>
      </c>
      <c r="BB1008">
        <v>4.8248292859297125E-2</v>
      </c>
      <c r="BC1008">
        <v>5.6427438008974651E-2</v>
      </c>
      <c r="BE1008">
        <v>31057.228581604144</v>
      </c>
      <c r="BF1008">
        <v>21.424961258104542</v>
      </c>
      <c r="BG1008">
        <v>32865.362281596026</v>
      </c>
      <c r="BH1008">
        <v>21.404372853895595</v>
      </c>
    </row>
    <row r="1009" spans="3:60" x14ac:dyDescent="0.2">
      <c r="C1009" s="138">
        <v>32959.403880219012</v>
      </c>
      <c r="D1009">
        <v>21.241036758425402</v>
      </c>
      <c r="E1009" s="138">
        <v>35214.48449848163</v>
      </c>
      <c r="F1009" s="138">
        <v>21.239030624931257</v>
      </c>
      <c r="G1009" s="138">
        <v>-2255.0806182626184</v>
      </c>
      <c r="H1009" s="138">
        <v>2.0061334941452458E-3</v>
      </c>
      <c r="N1009" s="138"/>
      <c r="O1009" s="138"/>
      <c r="P1009" s="138"/>
      <c r="R1009">
        <v>211.27683613847449</v>
      </c>
      <c r="S1009">
        <v>79.565718467123872</v>
      </c>
      <c r="T1009">
        <v>214.24672518473483</v>
      </c>
      <c r="U1009">
        <v>99.066738171476203</v>
      </c>
      <c r="X1009">
        <v>0.91687941132263462</v>
      </c>
      <c r="Y1009">
        <v>0.88356071419627247</v>
      </c>
      <c r="Z1009">
        <v>0.9204553341257995</v>
      </c>
      <c r="AA1009">
        <v>0.53641669708145012</v>
      </c>
      <c r="AB1009">
        <v>0.75348273433642821</v>
      </c>
      <c r="AC1009">
        <v>0.56821818676916358</v>
      </c>
      <c r="AD1009">
        <v>0.85675405043192032</v>
      </c>
      <c r="AE1009">
        <v>0.6120164934050909</v>
      </c>
      <c r="AH1009">
        <v>0.15239745448654807</v>
      </c>
      <c r="AI1009">
        <v>5.5912934548338233E-2</v>
      </c>
      <c r="AJ1009">
        <v>7.5114694572456564E-2</v>
      </c>
      <c r="AK1009">
        <v>4.0655006315766684E-2</v>
      </c>
      <c r="AL1009">
        <v>9.6482937343722153E-2</v>
      </c>
      <c r="AM1009">
        <v>5.590641401955565E-2</v>
      </c>
      <c r="AN1009">
        <v>0.13138139618665257</v>
      </c>
      <c r="AO1009">
        <v>7.4031878414815289E-2</v>
      </c>
      <c r="AR1009">
        <v>9.7853909334844058E-4</v>
      </c>
      <c r="AS1009">
        <v>4.5180560716878704E-3</v>
      </c>
      <c r="AT1009">
        <v>0.1007565651348854</v>
      </c>
      <c r="AU1009">
        <v>1.768165544539075E-3</v>
      </c>
      <c r="AV1009">
        <v>2.0497418418545799E-3</v>
      </c>
      <c r="AW1009">
        <v>3.5348080887435129E-3</v>
      </c>
      <c r="AX1009">
        <v>4.1422981700733885E-4</v>
      </c>
      <c r="AY1009">
        <v>4.722224118576257E-4</v>
      </c>
      <c r="BB1009">
        <v>4.8643941973730384E-2</v>
      </c>
      <c r="BC1009">
        <v>2.7882694230758665E-2</v>
      </c>
      <c r="BE1009">
        <v>32959.403880219012</v>
      </c>
      <c r="BF1009">
        <v>21.241036758425402</v>
      </c>
      <c r="BG1009">
        <v>35214.48449848163</v>
      </c>
      <c r="BH1009">
        <v>21.239030624931257</v>
      </c>
    </row>
    <row r="1010" spans="3:60" x14ac:dyDescent="0.2">
      <c r="C1010" s="138">
        <v>31720.173323678246</v>
      </c>
      <c r="D1010">
        <v>21.409500069784166</v>
      </c>
      <c r="E1010" s="138">
        <v>33752.829939900861</v>
      </c>
      <c r="F1010" s="138">
        <v>21.390705929865018</v>
      </c>
      <c r="G1010" s="138">
        <v>-2032.6566162226154</v>
      </c>
      <c r="H1010" s="138">
        <v>1.8794139919148023E-2</v>
      </c>
      <c r="N1010" s="138"/>
      <c r="O1010" s="138"/>
      <c r="P1010" s="138"/>
      <c r="R1010">
        <v>172.40632847532547</v>
      </c>
      <c r="S1010">
        <v>61.48952602069339</v>
      </c>
      <c r="T1010">
        <v>305.33486623704704</v>
      </c>
      <c r="U1010">
        <v>96.509401446027951</v>
      </c>
      <c r="X1010">
        <v>0.76213768512116709</v>
      </c>
      <c r="Y1010">
        <v>0.65218899642866734</v>
      </c>
      <c r="Z1010">
        <v>0.84097816370660872</v>
      </c>
      <c r="AA1010">
        <v>0.87766940859858988</v>
      </c>
      <c r="AB1010">
        <v>0.94011707989540527</v>
      </c>
      <c r="AC1010">
        <v>0.881975333363201</v>
      </c>
      <c r="AD1010">
        <v>0.6418323959691401</v>
      </c>
      <c r="AE1010">
        <v>0.67386742420849444</v>
      </c>
      <c r="AH1010">
        <v>0.10453265295428549</v>
      </c>
      <c r="AI1010">
        <v>0.20435718945267123</v>
      </c>
      <c r="AJ1010">
        <v>0.16707930084603762</v>
      </c>
      <c r="AK1010">
        <v>9.3900730295199075E-2</v>
      </c>
      <c r="AL1010">
        <v>6.9642883701010128E-2</v>
      </c>
      <c r="AM1010">
        <v>0.12842870659918892</v>
      </c>
      <c r="AN1010">
        <v>4.1730617490935096E-2</v>
      </c>
      <c r="AO1010">
        <v>5.1619829834642861E-2</v>
      </c>
      <c r="AR1010">
        <v>9.3593072164022129E-4</v>
      </c>
      <c r="AS1010">
        <v>4.6165027913516177E-3</v>
      </c>
      <c r="AT1010">
        <v>9.8185014731040743E-2</v>
      </c>
      <c r="AU1010">
        <v>1.7686749190549075E-3</v>
      </c>
      <c r="AV1010">
        <v>1.9092663696122837E-3</v>
      </c>
      <c r="AW1010">
        <v>3.4071163568425433E-3</v>
      </c>
      <c r="AX1010">
        <v>3.1839925751762232E-4</v>
      </c>
      <c r="AY1010">
        <v>4.1471424857275765E-4</v>
      </c>
      <c r="BB1010">
        <v>5.1118037963438945E-2</v>
      </c>
      <c r="BC1010">
        <v>5.4667158866770094E-2</v>
      </c>
      <c r="BE1010">
        <v>31720.173323678246</v>
      </c>
      <c r="BF1010">
        <v>21.409500069784166</v>
      </c>
      <c r="BG1010">
        <v>33752.829939900861</v>
      </c>
      <c r="BH1010">
        <v>21.390705929865018</v>
      </c>
    </row>
    <row r="1011" spans="3:60" x14ac:dyDescent="0.2">
      <c r="C1011" s="138">
        <v>27233.627121123154</v>
      </c>
      <c r="D1011">
        <v>21.16777053036472</v>
      </c>
      <c r="E1011" s="138">
        <v>29178.124516422096</v>
      </c>
      <c r="F1011" s="138">
        <v>21.139791041948207</v>
      </c>
      <c r="G1011" s="138">
        <v>-1944.4973952989421</v>
      </c>
      <c r="H1011" s="138">
        <v>2.7979488416512766E-2</v>
      </c>
      <c r="N1011" s="138"/>
      <c r="O1011" s="138"/>
      <c r="P1011" s="138"/>
      <c r="R1011">
        <v>217.33075062679291</v>
      </c>
      <c r="S1011">
        <v>68.25954938829409</v>
      </c>
      <c r="T1011">
        <v>245.73016343643187</v>
      </c>
      <c r="U1011">
        <v>84.568922538811663</v>
      </c>
      <c r="X1011">
        <v>0.89319638068117713</v>
      </c>
      <c r="Y1011">
        <v>0.76973279466787881</v>
      </c>
      <c r="Z1011">
        <v>0.7236484755621958</v>
      </c>
      <c r="AA1011">
        <v>0.89964270144178649</v>
      </c>
      <c r="AB1011">
        <v>0.78508730245945513</v>
      </c>
      <c r="AC1011">
        <v>0.64844333319134806</v>
      </c>
      <c r="AD1011">
        <v>0.72090777741746137</v>
      </c>
      <c r="AE1011">
        <v>0.74117670173492767</v>
      </c>
      <c r="AH1011">
        <v>3.6535490894212042E-2</v>
      </c>
      <c r="AI1011">
        <v>0.12110184845406358</v>
      </c>
      <c r="AJ1011">
        <v>7.8683647690786951E-2</v>
      </c>
      <c r="AK1011">
        <v>0.20425489679405762</v>
      </c>
      <c r="AL1011">
        <v>0.10036975285151073</v>
      </c>
      <c r="AM1011">
        <v>0.11869695534113422</v>
      </c>
      <c r="AN1011">
        <v>0.12748736074221245</v>
      </c>
      <c r="AO1011">
        <v>0.13103239749695728</v>
      </c>
      <c r="AR1011">
        <v>8.803911309919341E-4</v>
      </c>
      <c r="AS1011">
        <v>4.8524519876020911E-3</v>
      </c>
      <c r="AT1011">
        <v>9.907968724121409E-2</v>
      </c>
      <c r="AU1011">
        <v>2.0289459430195E-3</v>
      </c>
      <c r="AV1011">
        <v>2.0530645213603371E-3</v>
      </c>
      <c r="AW1011">
        <v>3.0676605788665426E-3</v>
      </c>
      <c r="AX1011">
        <v>4.3249660531630152E-4</v>
      </c>
      <c r="AY1011">
        <v>4.0586529289934323E-4</v>
      </c>
      <c r="BB1011">
        <v>4.8892412402049779E-2</v>
      </c>
      <c r="BC1011">
        <v>3.2855983348353893E-2</v>
      </c>
      <c r="BE1011">
        <v>27233.627121123154</v>
      </c>
      <c r="BF1011">
        <v>21.16777053036472</v>
      </c>
      <c r="BG1011">
        <v>29178.124516422096</v>
      </c>
      <c r="BH1011">
        <v>21.139791041948207</v>
      </c>
    </row>
    <row r="1012" spans="3:60" x14ac:dyDescent="0.2">
      <c r="C1012" s="138">
        <v>31809.008951936114</v>
      </c>
      <c r="D1012">
        <v>21.182362091103922</v>
      </c>
      <c r="E1012" s="138">
        <v>33883.516120027452</v>
      </c>
      <c r="F1012" s="138">
        <v>21.168820693304514</v>
      </c>
      <c r="G1012" s="138">
        <v>-2074.5071680913388</v>
      </c>
      <c r="H1012" s="138">
        <v>1.3541397799407662E-2</v>
      </c>
      <c r="N1012" s="138"/>
      <c r="O1012" s="138"/>
      <c r="P1012" s="138"/>
      <c r="R1012">
        <v>186.44605556995015</v>
      </c>
      <c r="S1012">
        <v>56.360677614307853</v>
      </c>
      <c r="T1012">
        <v>199.63648183553326</v>
      </c>
      <c r="U1012">
        <v>105.71717383594574</v>
      </c>
      <c r="X1012">
        <v>0.87520436846497907</v>
      </c>
      <c r="Y1012">
        <v>0.78897543066791109</v>
      </c>
      <c r="Z1012">
        <v>0.57798643288091633</v>
      </c>
      <c r="AA1012">
        <v>0.90373980681081556</v>
      </c>
      <c r="AB1012">
        <v>0.63326226522487228</v>
      </c>
      <c r="AC1012">
        <v>0.84441505148630425</v>
      </c>
      <c r="AD1012">
        <v>0.67947190290040271</v>
      </c>
      <c r="AE1012">
        <v>0.75798385222468945</v>
      </c>
      <c r="AH1012">
        <v>5.9646751786794461E-2</v>
      </c>
      <c r="AI1012">
        <v>0.16887587543305738</v>
      </c>
      <c r="AJ1012">
        <v>0.1048989737266639</v>
      </c>
      <c r="AK1012">
        <v>0.13126779145964229</v>
      </c>
      <c r="AL1012">
        <v>8.1673653242632094E-2</v>
      </c>
      <c r="AM1012">
        <v>0.18715389746224043</v>
      </c>
      <c r="AN1012">
        <v>0.17820361706456833</v>
      </c>
      <c r="AO1012">
        <v>0.27453619167115895</v>
      </c>
      <c r="AR1012">
        <v>7.6172132953507201E-4</v>
      </c>
      <c r="AS1012">
        <v>4.4134839182148793E-3</v>
      </c>
      <c r="AT1012">
        <v>0.10024417352770443</v>
      </c>
      <c r="AU1012">
        <v>2.0234267500734981E-3</v>
      </c>
      <c r="AV1012">
        <v>1.7468185642814677E-3</v>
      </c>
      <c r="AW1012">
        <v>3.4210841067719988E-3</v>
      </c>
      <c r="AX1012">
        <v>3.8099395273677651E-4</v>
      </c>
      <c r="AY1012">
        <v>4.4361584534694963E-4</v>
      </c>
      <c r="BB1012">
        <v>5.77130672785785E-2</v>
      </c>
      <c r="BC1012">
        <v>4.2778053390003588E-2</v>
      </c>
      <c r="BE1012">
        <v>31809.008951936114</v>
      </c>
      <c r="BF1012">
        <v>21.182362091103922</v>
      </c>
      <c r="BG1012">
        <v>33883.516120027452</v>
      </c>
      <c r="BH1012">
        <v>21.168820693304514</v>
      </c>
    </row>
    <row r="1013" spans="3:60" x14ac:dyDescent="0.2">
      <c r="C1013" s="138">
        <v>41644.278999363938</v>
      </c>
      <c r="D1013">
        <v>21.000746368227212</v>
      </c>
      <c r="E1013" s="138">
        <v>44122.07381729949</v>
      </c>
      <c r="F1013" s="138">
        <v>20.976034794121077</v>
      </c>
      <c r="G1013" s="138">
        <v>-2477.7948179355517</v>
      </c>
      <c r="H1013" s="138">
        <v>2.4711574106135004E-2</v>
      </c>
      <c r="N1013" s="138"/>
      <c r="O1013" s="138"/>
      <c r="P1013" s="138"/>
      <c r="R1013">
        <v>233.29948028512271</v>
      </c>
      <c r="S1013">
        <v>65.069916971760648</v>
      </c>
      <c r="T1013">
        <v>258.07355419463261</v>
      </c>
      <c r="U1013">
        <v>66.617545488627769</v>
      </c>
      <c r="X1013">
        <v>0.81724648580520975</v>
      </c>
      <c r="Y1013">
        <v>0.67440718213023676</v>
      </c>
      <c r="Z1013">
        <v>0.48374372858705794</v>
      </c>
      <c r="AA1013">
        <v>0.66051751922817115</v>
      </c>
      <c r="AB1013">
        <v>0.7926153652370963</v>
      </c>
      <c r="AC1013">
        <v>0.75823263123664963</v>
      </c>
      <c r="AD1013">
        <v>0.8778540134601549</v>
      </c>
      <c r="AE1013">
        <v>0.6715830881127387</v>
      </c>
      <c r="AH1013">
        <v>0.15819485940811395</v>
      </c>
      <c r="AI1013">
        <v>0.13523259836723378</v>
      </c>
      <c r="AJ1013">
        <v>0.1499937124886046</v>
      </c>
      <c r="AK1013">
        <v>5.2415717150736008E-2</v>
      </c>
      <c r="AL1013">
        <v>1.7552720083282236E-2</v>
      </c>
      <c r="AM1013">
        <v>6.7625266562502451E-2</v>
      </c>
      <c r="AN1013">
        <v>0.14846074226157591</v>
      </c>
      <c r="AO1013">
        <v>7.2281820553486531E-2</v>
      </c>
      <c r="AR1013">
        <v>9.1759745234443191E-4</v>
      </c>
      <c r="AS1013">
        <v>4.6097847714559048E-3</v>
      </c>
      <c r="AT1013">
        <v>0.10235744001975922</v>
      </c>
      <c r="AU1013">
        <v>2.0366489464850313E-3</v>
      </c>
      <c r="AV1013">
        <v>2.0242455616203969E-3</v>
      </c>
      <c r="AW1013">
        <v>3.4769190113946857E-3</v>
      </c>
      <c r="AX1013">
        <v>3.1308786109307356E-4</v>
      </c>
      <c r="AY1013">
        <v>4.8658640186882707E-4</v>
      </c>
      <c r="BB1013">
        <v>4.7091643229939951E-2</v>
      </c>
      <c r="BC1013">
        <v>2.2969119127497641E-2</v>
      </c>
      <c r="BE1013">
        <v>41644.278999363938</v>
      </c>
      <c r="BF1013">
        <v>21.000746368227212</v>
      </c>
      <c r="BG1013">
        <v>44122.07381729949</v>
      </c>
      <c r="BH1013">
        <v>20.976034794121077</v>
      </c>
    </row>
    <row r="1014" spans="3:60" x14ac:dyDescent="0.2">
      <c r="C1014" s="138">
        <v>33800.079286352549</v>
      </c>
      <c r="D1014">
        <v>21.700548664214061</v>
      </c>
      <c r="E1014" s="138">
        <v>35620.703158586963</v>
      </c>
      <c r="F1014" s="138">
        <v>21.704101527641331</v>
      </c>
      <c r="G1014" s="138">
        <v>-1820.6238722344133</v>
      </c>
      <c r="H1014" s="138">
        <v>-3.5528634272701254E-3</v>
      </c>
      <c r="N1014" s="138"/>
      <c r="O1014" s="138"/>
      <c r="P1014" s="138"/>
      <c r="R1014">
        <v>154.53088137883023</v>
      </c>
      <c r="S1014">
        <v>54.49475904788882</v>
      </c>
      <c r="T1014">
        <v>278.99813957338705</v>
      </c>
      <c r="U1014">
        <v>93.131772644550097</v>
      </c>
      <c r="X1014">
        <v>0.6559677245532255</v>
      </c>
      <c r="Y1014">
        <v>0.76368772843550836</v>
      </c>
      <c r="Z1014">
        <v>0.76503939404291266</v>
      </c>
      <c r="AA1014">
        <v>0.98600755794740413</v>
      </c>
      <c r="AB1014">
        <v>0.61087444175069394</v>
      </c>
      <c r="AC1014">
        <v>0.78311993970549798</v>
      </c>
      <c r="AD1014">
        <v>0.86836989350921501</v>
      </c>
      <c r="AE1014">
        <v>0.94685948774602169</v>
      </c>
      <c r="AH1014">
        <v>0.2430353210730325</v>
      </c>
      <c r="AI1014">
        <v>0.19688945140066183</v>
      </c>
      <c r="AJ1014">
        <v>0.17752640349926929</v>
      </c>
      <c r="AK1014">
        <v>7.946630770697527E-2</v>
      </c>
      <c r="AL1014">
        <v>0.21340272330160204</v>
      </c>
      <c r="AM1014">
        <v>3.0131077916487392E-2</v>
      </c>
      <c r="AN1014">
        <v>8.0699718471847315E-2</v>
      </c>
      <c r="AO1014">
        <v>0.12898107851802054</v>
      </c>
      <c r="AR1014">
        <v>9.4314186409805156E-4</v>
      </c>
      <c r="AS1014">
        <v>4.8272063710861346E-3</v>
      </c>
      <c r="AT1014">
        <v>9.9107546104016953E-2</v>
      </c>
      <c r="AU1014">
        <v>1.9461442907020294E-3</v>
      </c>
      <c r="AV1014">
        <v>1.9508526380847323E-3</v>
      </c>
      <c r="AW1014">
        <v>3.2518513990010323E-3</v>
      </c>
      <c r="AX1014">
        <v>5.1784579742175652E-4</v>
      </c>
      <c r="AY1014">
        <v>4.829288471097648E-4</v>
      </c>
      <c r="BB1014">
        <v>5.5867315840977483E-2</v>
      </c>
      <c r="BC1014">
        <v>7.7217987239406649E-2</v>
      </c>
      <c r="BE1014">
        <v>33800.079286352549</v>
      </c>
      <c r="BF1014">
        <v>21.700548664214061</v>
      </c>
      <c r="BG1014">
        <v>35620.703158586963</v>
      </c>
      <c r="BH1014">
        <v>21.704101527641331</v>
      </c>
    </row>
    <row r="1015" spans="3:60" x14ac:dyDescent="0.2">
      <c r="C1015" s="138">
        <v>25815.28764034716</v>
      </c>
      <c r="D1015">
        <v>20.436566417826263</v>
      </c>
      <c r="E1015" s="138">
        <v>27920.05186988179</v>
      </c>
      <c r="F1015" s="138">
        <v>20.375008512000143</v>
      </c>
      <c r="G1015" s="138">
        <v>-2104.7642295346304</v>
      </c>
      <c r="H1015" s="138">
        <v>6.1557905826120418E-2</v>
      </c>
      <c r="N1015" s="138"/>
      <c r="O1015" s="138"/>
      <c r="P1015" s="138"/>
      <c r="R1015">
        <v>328.58537692919185</v>
      </c>
      <c r="S1015">
        <v>60.755805690540839</v>
      </c>
      <c r="T1015">
        <v>271.27242805452107</v>
      </c>
      <c r="U1015">
        <v>88.41311844466162</v>
      </c>
      <c r="X1015">
        <v>0.85801681943218777</v>
      </c>
      <c r="Y1015">
        <v>0.59196468551439618</v>
      </c>
      <c r="Z1015">
        <v>0.43103730728399997</v>
      </c>
      <c r="AA1015">
        <v>0.98978200953063866</v>
      </c>
      <c r="AB1015">
        <v>0.84311117925880275</v>
      </c>
      <c r="AC1015">
        <v>0.82323271815749566</v>
      </c>
      <c r="AD1015">
        <v>0.76893163063230618</v>
      </c>
      <c r="AE1015">
        <v>0.95803292753543312</v>
      </c>
      <c r="AH1015">
        <v>0.30469901311210978</v>
      </c>
      <c r="AI1015">
        <v>7.6457651878137911E-2</v>
      </c>
      <c r="AJ1015">
        <v>4.9251817241886875E-2</v>
      </c>
      <c r="AK1015">
        <v>1.6517614989459917E-2</v>
      </c>
      <c r="AL1015">
        <v>8.7807855460303785E-2</v>
      </c>
      <c r="AM1015">
        <v>0.12509063421826805</v>
      </c>
      <c r="AN1015">
        <v>0.15723838965507575</v>
      </c>
      <c r="AO1015">
        <v>7.900678579442455E-2</v>
      </c>
      <c r="AR1015">
        <v>9.5097513386799282E-4</v>
      </c>
      <c r="AS1015">
        <v>4.5085189211476751E-3</v>
      </c>
      <c r="AT1015">
        <v>0.10171323859741688</v>
      </c>
      <c r="AU1015">
        <v>1.9934924289199316E-3</v>
      </c>
      <c r="AV1015">
        <v>2.051031435296391E-3</v>
      </c>
      <c r="AW1015">
        <v>3.5074932393295288E-3</v>
      </c>
      <c r="AX1015">
        <v>3.0657549989195629E-4</v>
      </c>
      <c r="AY1015">
        <v>5.2892047568442457E-4</v>
      </c>
      <c r="BB1015">
        <v>4.8108966002822197E-2</v>
      </c>
      <c r="BC1015">
        <v>5.9495003271473945E-2</v>
      </c>
      <c r="BE1015">
        <v>25815.28764034716</v>
      </c>
      <c r="BF1015">
        <v>20.436566417826263</v>
      </c>
      <c r="BG1015">
        <v>27920.05186988179</v>
      </c>
      <c r="BH1015">
        <v>20.375008512000143</v>
      </c>
    </row>
    <row r="1016" spans="3:60" x14ac:dyDescent="0.2">
      <c r="C1016" s="138"/>
      <c r="E1016" s="138"/>
      <c r="F1016" s="138"/>
      <c r="G1016" s="138"/>
      <c r="H1016" s="138"/>
    </row>
    <row r="1017" spans="3:60" x14ac:dyDescent="0.2">
      <c r="C1017" s="138"/>
      <c r="E1017" s="138"/>
      <c r="F1017" s="138"/>
      <c r="G1017" s="138"/>
      <c r="H1017" s="138"/>
    </row>
    <row r="1018" spans="3:60" x14ac:dyDescent="0.2">
      <c r="C1018" s="140">
        <v>21899.21</v>
      </c>
      <c r="D1018">
        <v>19.117478008558901</v>
      </c>
      <c r="E1018" s="140">
        <v>23310.66</v>
      </c>
      <c r="F1018" s="140">
        <v>19</v>
      </c>
      <c r="G1018" s="140">
        <v>-3367.48</v>
      </c>
      <c r="H1018" s="140">
        <v>-0.06</v>
      </c>
      <c r="R1018">
        <v>-41.40054743871184</v>
      </c>
      <c r="S1018">
        <v>42.7084658025477</v>
      </c>
      <c r="T1018">
        <v>161.45274004252238</v>
      </c>
      <c r="U1018">
        <v>66.373426704737341</v>
      </c>
      <c r="V1018">
        <v>0</v>
      </c>
      <c r="W1018">
        <v>0</v>
      </c>
      <c r="X1018">
        <v>0.30935404528840127</v>
      </c>
      <c r="Y1018">
        <v>0.29890724314054196</v>
      </c>
      <c r="Z1018">
        <v>0.29055748254685032</v>
      </c>
      <c r="AA1018">
        <v>0.33359896589852739</v>
      </c>
      <c r="AB1018">
        <v>0.27416925357654687</v>
      </c>
      <c r="AC1018">
        <v>0.29365130564784125</v>
      </c>
      <c r="AD1018">
        <v>0.30220411684686815</v>
      </c>
      <c r="AE1018">
        <v>0.2187472575131007</v>
      </c>
      <c r="AF1018">
        <v>0</v>
      </c>
      <c r="AG1018">
        <v>0</v>
      </c>
      <c r="AH1018">
        <v>2.8454482616152577E-3</v>
      </c>
      <c r="AI1018">
        <v>1.6984319428108297E-3</v>
      </c>
      <c r="AJ1018">
        <v>2.7619390726254522E-3</v>
      </c>
      <c r="AK1018">
        <v>3.6218288334328719E-3</v>
      </c>
      <c r="AL1018">
        <v>1.0657248185758084E-3</v>
      </c>
      <c r="AM1018">
        <v>1.1388932692875109E-3</v>
      </c>
      <c r="AN1018">
        <v>2.4930664862348184E-3</v>
      </c>
      <c r="AO1018">
        <v>4.3347212105286914E-3</v>
      </c>
      <c r="AP1018">
        <v>0</v>
      </c>
      <c r="AQ1018">
        <v>0</v>
      </c>
      <c r="AR1018">
        <v>5.7106810314141152E-4</v>
      </c>
      <c r="AS1018">
        <v>3.8147533367242112E-3</v>
      </c>
      <c r="AT1018">
        <v>9.7271751898191164E-2</v>
      </c>
      <c r="AU1018">
        <v>1.540672035022027E-3</v>
      </c>
      <c r="AV1018">
        <v>1.5519684783977658E-3</v>
      </c>
      <c r="AW1018">
        <v>2.8003952023293167E-3</v>
      </c>
      <c r="AX1018">
        <v>2.3845783335597079E-4</v>
      </c>
      <c r="AY1018">
        <v>2.5825324967495509E-4</v>
      </c>
      <c r="AZ1018">
        <v>0</v>
      </c>
      <c r="BA1018">
        <v>0</v>
      </c>
      <c r="BB1018">
        <v>3.6962092909646034E-2</v>
      </c>
      <c r="BC1018">
        <v>4.7764321127776324E-3</v>
      </c>
      <c r="BD1018">
        <v>0</v>
      </c>
      <c r="BE1018">
        <v>21899.206392521653</v>
      </c>
      <c r="BF1018">
        <v>19.117478008558901</v>
      </c>
      <c r="BG1018">
        <v>23310.660087429078</v>
      </c>
      <c r="BH1018">
        <v>19.001122409119393</v>
      </c>
    </row>
    <row r="1019" spans="3:60" x14ac:dyDescent="0.2">
      <c r="C1019" s="138">
        <v>22126.85222222222</v>
      </c>
      <c r="D1019">
        <v>19.146005559063052</v>
      </c>
      <c r="E1019" s="138">
        <v>23555.263131313131</v>
      </c>
      <c r="F1019" s="138">
        <v>19.030872713856837</v>
      </c>
      <c r="G1019" s="138">
        <v>-3346.648787878788</v>
      </c>
      <c r="H1019" s="138">
        <v>-6.0440817338158766E-2</v>
      </c>
      <c r="R1019">
        <v>-35.167942991996</v>
      </c>
      <c r="S1019">
        <v>43.103222178482284</v>
      </c>
      <c r="T1019">
        <v>163.03173456120086</v>
      </c>
      <c r="U1019">
        <v>66.982043281570171</v>
      </c>
      <c r="V1019">
        <v>0</v>
      </c>
      <c r="W1019">
        <v>0</v>
      </c>
      <c r="X1019">
        <v>0.31625043434093153</v>
      </c>
      <c r="Y1019">
        <v>0.30578549136740607</v>
      </c>
      <c r="Z1019">
        <v>0.29767650778752519</v>
      </c>
      <c r="AA1019">
        <v>0.3402270774503669</v>
      </c>
      <c r="AB1019">
        <v>0.28131121212803939</v>
      </c>
      <c r="AC1019">
        <v>0.30061118184030194</v>
      </c>
      <c r="AD1019">
        <v>0.30905068875242508</v>
      </c>
      <c r="AE1019">
        <v>0.22652810082771677</v>
      </c>
      <c r="AF1019">
        <v>0</v>
      </c>
      <c r="AG1019">
        <v>0</v>
      </c>
      <c r="AH1019">
        <v>8.2396916563875246E-3</v>
      </c>
      <c r="AI1019">
        <v>6.8432098626614087E-3</v>
      </c>
      <c r="AJ1019">
        <v>7.1338245129858166E-3</v>
      </c>
      <c r="AK1019">
        <v>8.3416260728907746E-3</v>
      </c>
      <c r="AL1019">
        <v>5.7016191180424098E-3</v>
      </c>
      <c r="AM1019">
        <v>5.9380310342716175E-3</v>
      </c>
      <c r="AN1019">
        <v>7.0514646823946724E-3</v>
      </c>
      <c r="AO1019">
        <v>9.3212168618545983E-3</v>
      </c>
      <c r="AP1019">
        <v>0</v>
      </c>
      <c r="AQ1019">
        <v>0</v>
      </c>
      <c r="AR1019">
        <v>5.7750944509764638E-4</v>
      </c>
      <c r="AS1019">
        <v>3.8290251266501645E-3</v>
      </c>
      <c r="AT1019">
        <v>9.7331744660137484E-2</v>
      </c>
      <c r="AU1019">
        <v>1.5501117270684706E-3</v>
      </c>
      <c r="AV1019">
        <v>1.5612858696920022E-3</v>
      </c>
      <c r="AW1019">
        <v>2.8128518314912525E-3</v>
      </c>
      <c r="AX1019">
        <v>2.4257963736380188E-4</v>
      </c>
      <c r="AY1019">
        <v>2.6346028709347131E-4</v>
      </c>
      <c r="AZ1019">
        <v>0</v>
      </c>
      <c r="BA1019">
        <v>0</v>
      </c>
      <c r="BB1019">
        <v>3.7250925067707191E-2</v>
      </c>
      <c r="BC1019">
        <v>6.3507144383354013E-3</v>
      </c>
      <c r="BD1019">
        <v>0</v>
      </c>
      <c r="BE1019">
        <v>22126.84868475467</v>
      </c>
      <c r="BF1019">
        <v>19.146005559063052</v>
      </c>
      <c r="BG1019">
        <v>23555.263259433432</v>
      </c>
      <c r="BH1019">
        <v>19.030872713856837</v>
      </c>
    </row>
    <row r="1020" spans="3:60" x14ac:dyDescent="0.2">
      <c r="C1020" s="138">
        <v>22354.494444444441</v>
      </c>
      <c r="D1020">
        <v>19.174533109567204</v>
      </c>
      <c r="E1020" s="138">
        <v>23799.866262626263</v>
      </c>
      <c r="F1020" s="138">
        <v>19.060623018594281</v>
      </c>
      <c r="G1020" s="138">
        <v>-3325.8175757575759</v>
      </c>
      <c r="H1020" s="138">
        <v>-5.8636772268998896E-2</v>
      </c>
      <c r="R1020">
        <v>-28.93533854528016</v>
      </c>
      <c r="S1020">
        <v>43.497978554416868</v>
      </c>
      <c r="T1020">
        <v>164.61072907987935</v>
      </c>
      <c r="U1020">
        <v>67.590659858403001</v>
      </c>
      <c r="V1020">
        <v>0</v>
      </c>
      <c r="W1020">
        <v>0</v>
      </c>
      <c r="X1020">
        <v>0.32314682339346179</v>
      </c>
      <c r="Y1020">
        <v>0.31266373959427018</v>
      </c>
      <c r="Z1020">
        <v>0.30479553302820006</v>
      </c>
      <c r="AA1020">
        <v>0.34685518900220641</v>
      </c>
      <c r="AB1020">
        <v>0.28845317067953191</v>
      </c>
      <c r="AC1020">
        <v>0.30757105803276263</v>
      </c>
      <c r="AD1020">
        <v>0.31589726065798202</v>
      </c>
      <c r="AE1020">
        <v>0.23430894414233283</v>
      </c>
      <c r="AF1020">
        <v>0</v>
      </c>
      <c r="AG1020">
        <v>0</v>
      </c>
      <c r="AH1020">
        <v>1.3633935051159791E-2</v>
      </c>
      <c r="AI1020">
        <v>1.1987987782511988E-2</v>
      </c>
      <c r="AJ1020">
        <v>1.1505709953346181E-2</v>
      </c>
      <c r="AK1020">
        <v>1.3061423312348677E-2</v>
      </c>
      <c r="AL1020">
        <v>1.0337513417509011E-2</v>
      </c>
      <c r="AM1020">
        <v>1.0737168799255724E-2</v>
      </c>
      <c r="AN1020">
        <v>1.1609862878554526E-2</v>
      </c>
      <c r="AO1020">
        <v>1.4307712513180505E-2</v>
      </c>
      <c r="AP1020">
        <v>0</v>
      </c>
      <c r="AQ1020">
        <v>0</v>
      </c>
      <c r="AR1020">
        <v>5.8395078705388123E-4</v>
      </c>
      <c r="AS1020">
        <v>3.8432969165761179E-3</v>
      </c>
      <c r="AT1020">
        <v>9.7391737422083804E-2</v>
      </c>
      <c r="AU1020">
        <v>1.5595514191149142E-3</v>
      </c>
      <c r="AV1020">
        <v>1.5706032609862385E-3</v>
      </c>
      <c r="AW1020">
        <v>2.8253084606531882E-3</v>
      </c>
      <c r="AX1020">
        <v>2.4670144137163298E-4</v>
      </c>
      <c r="AY1020">
        <v>2.6866732451198753E-4</v>
      </c>
      <c r="AZ1020">
        <v>0</v>
      </c>
      <c r="BA1020">
        <v>0</v>
      </c>
      <c r="BB1020">
        <v>3.7539757225768348E-2</v>
      </c>
      <c r="BC1020">
        <v>7.9249967638931711E-3</v>
      </c>
      <c r="BD1020">
        <v>0</v>
      </c>
      <c r="BE1020">
        <v>22354.490976987687</v>
      </c>
      <c r="BF1020">
        <v>19.174533109567204</v>
      </c>
      <c r="BG1020">
        <v>23799.866431437786</v>
      </c>
      <c r="BH1020">
        <v>19.060623018594281</v>
      </c>
    </row>
    <row r="1021" spans="3:60" x14ac:dyDescent="0.2">
      <c r="C1021" s="138">
        <v>22582.136666666662</v>
      </c>
      <c r="D1021">
        <v>19.203060660071355</v>
      </c>
      <c r="E1021" s="138">
        <v>24044.469393939395</v>
      </c>
      <c r="F1021" s="138">
        <v>19.090373323331725</v>
      </c>
      <c r="G1021" s="138">
        <v>-3304.9863636363639</v>
      </c>
      <c r="H1021" s="138">
        <v>-5.6832727199839027E-2</v>
      </c>
      <c r="R1021">
        <v>-22.702734098564321</v>
      </c>
      <c r="S1021">
        <v>43.892734930351452</v>
      </c>
      <c r="T1021">
        <v>166.18972359855783</v>
      </c>
      <c r="U1021">
        <v>68.199276435235831</v>
      </c>
      <c r="V1021">
        <v>0</v>
      </c>
      <c r="W1021">
        <v>0</v>
      </c>
      <c r="X1021">
        <v>0.33004321244599205</v>
      </c>
      <c r="Y1021">
        <v>0.3195419878211343</v>
      </c>
      <c r="Z1021">
        <v>0.31191455826887493</v>
      </c>
      <c r="AA1021">
        <v>0.35348330055404592</v>
      </c>
      <c r="AB1021">
        <v>0.29559512923102443</v>
      </c>
      <c r="AC1021">
        <v>0.31453093422522332</v>
      </c>
      <c r="AD1021">
        <v>0.32274383256353895</v>
      </c>
      <c r="AE1021">
        <v>0.2420897874569489</v>
      </c>
      <c r="AF1021">
        <v>0</v>
      </c>
      <c r="AG1021">
        <v>0</v>
      </c>
      <c r="AH1021">
        <v>1.9028178445932058E-2</v>
      </c>
      <c r="AI1021">
        <v>1.7132765702362565E-2</v>
      </c>
      <c r="AJ1021">
        <v>1.5877595393706544E-2</v>
      </c>
      <c r="AK1021">
        <v>1.778122055180658E-2</v>
      </c>
      <c r="AL1021">
        <v>1.4973407716975612E-2</v>
      </c>
      <c r="AM1021">
        <v>1.5536306564239832E-2</v>
      </c>
      <c r="AN1021">
        <v>1.616826107471438E-2</v>
      </c>
      <c r="AO1021">
        <v>1.9294208164506412E-2</v>
      </c>
      <c r="AP1021">
        <v>0</v>
      </c>
      <c r="AQ1021">
        <v>0</v>
      </c>
      <c r="AR1021">
        <v>5.9039212901011609E-4</v>
      </c>
      <c r="AS1021">
        <v>3.8575687065020713E-3</v>
      </c>
      <c r="AT1021">
        <v>9.7451730184030125E-2</v>
      </c>
      <c r="AU1021">
        <v>1.5689911111613577E-3</v>
      </c>
      <c r="AV1021">
        <v>1.5799206522804749E-3</v>
      </c>
      <c r="AW1021">
        <v>2.837765089815124E-3</v>
      </c>
      <c r="AX1021">
        <v>2.508232453794641E-4</v>
      </c>
      <c r="AY1021">
        <v>2.7387436193050376E-4</v>
      </c>
      <c r="AZ1021">
        <v>0</v>
      </c>
      <c r="BA1021">
        <v>0</v>
      </c>
      <c r="BB1021">
        <v>3.7828589383829506E-2</v>
      </c>
      <c r="BC1021">
        <v>9.4992790894509391E-3</v>
      </c>
      <c r="BD1021">
        <v>0</v>
      </c>
      <c r="BE1021">
        <v>22582.133269220703</v>
      </c>
      <c r="BF1021">
        <v>19.203060660071355</v>
      </c>
      <c r="BG1021">
        <v>24044.469603442139</v>
      </c>
      <c r="BH1021">
        <v>19.090373323331725</v>
      </c>
    </row>
    <row r="1022" spans="3:60" x14ac:dyDescent="0.2">
      <c r="C1022" s="138">
        <v>22809.778888888883</v>
      </c>
      <c r="D1022">
        <v>19.231588210575506</v>
      </c>
      <c r="E1022" s="138">
        <v>24289.072525252526</v>
      </c>
      <c r="F1022" s="138">
        <v>19.12012362806917</v>
      </c>
      <c r="G1022" s="138">
        <v>-3284.1551515151518</v>
      </c>
      <c r="H1022" s="138">
        <v>-5.5028682130679157E-2</v>
      </c>
      <c r="R1022">
        <v>-16.470129651848481</v>
      </c>
      <c r="S1022">
        <v>44.287491306286036</v>
      </c>
      <c r="T1022">
        <v>167.76871811723632</v>
      </c>
      <c r="U1022">
        <v>68.807893012068661</v>
      </c>
      <c r="V1022">
        <v>0</v>
      </c>
      <c r="W1022">
        <v>0</v>
      </c>
      <c r="X1022">
        <v>0.33693960149852231</v>
      </c>
      <c r="Y1022">
        <v>0.32642023604799841</v>
      </c>
      <c r="Z1022">
        <v>0.3190335835095498</v>
      </c>
      <c r="AA1022">
        <v>0.36011141210588543</v>
      </c>
      <c r="AB1022">
        <v>0.30273708778251696</v>
      </c>
      <c r="AC1022">
        <v>0.32149081041768401</v>
      </c>
      <c r="AD1022">
        <v>0.32959040446909588</v>
      </c>
      <c r="AE1022">
        <v>0.24987063077156496</v>
      </c>
      <c r="AF1022">
        <v>0</v>
      </c>
      <c r="AG1022">
        <v>0</v>
      </c>
      <c r="AH1022">
        <v>2.4422421840704325E-2</v>
      </c>
      <c r="AI1022">
        <v>2.2277543622213146E-2</v>
      </c>
      <c r="AJ1022">
        <v>2.024948083406691E-2</v>
      </c>
      <c r="AK1022">
        <v>2.2501017791264483E-2</v>
      </c>
      <c r="AL1022">
        <v>1.9609302016442214E-2</v>
      </c>
      <c r="AM1022">
        <v>2.0335444329223937E-2</v>
      </c>
      <c r="AN1022">
        <v>2.0726659270874234E-2</v>
      </c>
      <c r="AO1022">
        <v>2.4280703815832319E-2</v>
      </c>
      <c r="AP1022">
        <v>0</v>
      </c>
      <c r="AQ1022">
        <v>0</v>
      </c>
      <c r="AR1022">
        <v>5.9683347096635094E-4</v>
      </c>
      <c r="AS1022">
        <v>3.8718404964280246E-3</v>
      </c>
      <c r="AT1022">
        <v>9.7511722945976445E-2</v>
      </c>
      <c r="AU1022">
        <v>1.5784308032078013E-3</v>
      </c>
      <c r="AV1022">
        <v>1.5892380435747113E-3</v>
      </c>
      <c r="AW1022">
        <v>2.8502217189770598E-3</v>
      </c>
      <c r="AX1022">
        <v>2.5494504938729522E-4</v>
      </c>
      <c r="AY1022">
        <v>2.7908139934901998E-4</v>
      </c>
      <c r="AZ1022">
        <v>0</v>
      </c>
      <c r="BA1022">
        <v>0</v>
      </c>
      <c r="BB1022">
        <v>3.8117421541890663E-2</v>
      </c>
      <c r="BC1022">
        <v>1.1073561415008707E-2</v>
      </c>
      <c r="BD1022">
        <v>0</v>
      </c>
      <c r="BE1022">
        <v>22809.77556145372</v>
      </c>
      <c r="BF1022">
        <v>19.231588210575506</v>
      </c>
      <c r="BG1022">
        <v>24289.072775446493</v>
      </c>
      <c r="BH1022">
        <v>19.12012362806917</v>
      </c>
    </row>
    <row r="1023" spans="3:60" x14ac:dyDescent="0.2">
      <c r="C1023" s="138">
        <v>23037.421111111104</v>
      </c>
      <c r="D1023">
        <v>19.260115761079657</v>
      </c>
      <c r="E1023" s="138">
        <v>24533.675656565658</v>
      </c>
      <c r="F1023" s="138">
        <v>19.149873932806614</v>
      </c>
      <c r="G1023" s="138">
        <v>-3263.3239393939398</v>
      </c>
      <c r="H1023" s="138">
        <v>-5.3224637061519288E-2</v>
      </c>
      <c r="R1023">
        <v>-10.237525205132643</v>
      </c>
      <c r="S1023">
        <v>44.68224768222062</v>
      </c>
      <c r="T1023">
        <v>169.3477126359148</v>
      </c>
      <c r="U1023">
        <v>69.416509588901491</v>
      </c>
      <c r="V1023">
        <v>0</v>
      </c>
      <c r="W1023">
        <v>0</v>
      </c>
      <c r="X1023">
        <v>0.34383599055105257</v>
      </c>
      <c r="Y1023">
        <v>0.33329848427486253</v>
      </c>
      <c r="Z1023">
        <v>0.32615260875022467</v>
      </c>
      <c r="AA1023">
        <v>0.36673952365772494</v>
      </c>
      <c r="AB1023">
        <v>0.30987904633400948</v>
      </c>
      <c r="AC1023">
        <v>0.3284506866101447</v>
      </c>
      <c r="AD1023">
        <v>0.33643697637465281</v>
      </c>
      <c r="AE1023">
        <v>0.257651474086181</v>
      </c>
      <c r="AF1023">
        <v>0</v>
      </c>
      <c r="AG1023">
        <v>0</v>
      </c>
      <c r="AH1023">
        <v>2.9816665235476592E-2</v>
      </c>
      <c r="AI1023">
        <v>2.7422321542063727E-2</v>
      </c>
      <c r="AJ1023">
        <v>2.4621366274427275E-2</v>
      </c>
      <c r="AK1023">
        <v>2.7220815030722385E-2</v>
      </c>
      <c r="AL1023">
        <v>2.4245196315908817E-2</v>
      </c>
      <c r="AM1023">
        <v>2.5134582094208043E-2</v>
      </c>
      <c r="AN1023">
        <v>2.5285057467034088E-2</v>
      </c>
      <c r="AO1023">
        <v>2.9267199467158226E-2</v>
      </c>
      <c r="AP1023">
        <v>0</v>
      </c>
      <c r="AQ1023">
        <v>0</v>
      </c>
      <c r="AR1023">
        <v>6.032748129225858E-4</v>
      </c>
      <c r="AS1023">
        <v>3.886112286353978E-3</v>
      </c>
      <c r="AT1023">
        <v>9.7571715707922765E-2</v>
      </c>
      <c r="AU1023">
        <v>1.5878704952542449E-3</v>
      </c>
      <c r="AV1023">
        <v>1.5985554348689477E-3</v>
      </c>
      <c r="AW1023">
        <v>2.8626783481389955E-3</v>
      </c>
      <c r="AX1023">
        <v>2.5906685339512634E-4</v>
      </c>
      <c r="AY1023">
        <v>2.842884367675362E-4</v>
      </c>
      <c r="AZ1023">
        <v>0</v>
      </c>
      <c r="BA1023">
        <v>0</v>
      </c>
      <c r="BB1023">
        <v>3.840625369995182E-2</v>
      </c>
      <c r="BC1023">
        <v>1.2647843740566475E-2</v>
      </c>
      <c r="BD1023">
        <v>0</v>
      </c>
      <c r="BE1023">
        <v>23037.417853686737</v>
      </c>
      <c r="BF1023">
        <v>19.260115761079657</v>
      </c>
      <c r="BG1023">
        <v>24533.675947450847</v>
      </c>
      <c r="BH1023">
        <v>19.149873932806614</v>
      </c>
    </row>
    <row r="1024" spans="3:60" x14ac:dyDescent="0.2">
      <c r="C1024" s="138">
        <v>23265.063333333324</v>
      </c>
      <c r="D1024">
        <v>19.288643311583808</v>
      </c>
      <c r="E1024" s="138">
        <v>24778.278787878789</v>
      </c>
      <c r="F1024" s="138">
        <v>19.179624237544058</v>
      </c>
      <c r="G1024" s="138">
        <v>-3242.4927272727277</v>
      </c>
      <c r="H1024" s="138">
        <v>-5.1420591992359418E-2</v>
      </c>
      <c r="R1024">
        <v>-4.0049207584168052</v>
      </c>
      <c r="S1024">
        <v>45.077004058155204</v>
      </c>
      <c r="T1024">
        <v>170.92670715459329</v>
      </c>
      <c r="U1024">
        <v>70.025126165734321</v>
      </c>
      <c r="V1024">
        <v>0</v>
      </c>
      <c r="W1024">
        <v>0</v>
      </c>
      <c r="X1024">
        <v>0.35073237960358283</v>
      </c>
      <c r="Y1024">
        <v>0.34017673250172664</v>
      </c>
      <c r="Z1024">
        <v>0.33327163399089954</v>
      </c>
      <c r="AA1024">
        <v>0.37336763520956445</v>
      </c>
      <c r="AB1024">
        <v>0.317021004885502</v>
      </c>
      <c r="AC1024">
        <v>0.33541056280260539</v>
      </c>
      <c r="AD1024">
        <v>0.34328354828020974</v>
      </c>
      <c r="AE1024">
        <v>0.26543231740079704</v>
      </c>
      <c r="AF1024">
        <v>0</v>
      </c>
      <c r="AG1024">
        <v>0</v>
      </c>
      <c r="AH1024">
        <v>3.5210908630248859E-2</v>
      </c>
      <c r="AI1024">
        <v>3.2567099461914308E-2</v>
      </c>
      <c r="AJ1024">
        <v>2.899325171478764E-2</v>
      </c>
      <c r="AK1024">
        <v>3.1940612270180288E-2</v>
      </c>
      <c r="AL1024">
        <v>2.8881090615375419E-2</v>
      </c>
      <c r="AM1024">
        <v>2.9933719859192149E-2</v>
      </c>
      <c r="AN1024">
        <v>2.9843455663193942E-2</v>
      </c>
      <c r="AO1024">
        <v>3.4253695118484133E-2</v>
      </c>
      <c r="AP1024">
        <v>0</v>
      </c>
      <c r="AQ1024">
        <v>0</v>
      </c>
      <c r="AR1024">
        <v>6.0971615487882065E-4</v>
      </c>
      <c r="AS1024">
        <v>3.9003840762799314E-3</v>
      </c>
      <c r="AT1024">
        <v>9.7631708469869086E-2</v>
      </c>
      <c r="AU1024">
        <v>1.5973101873006884E-3</v>
      </c>
      <c r="AV1024">
        <v>1.6078728261631841E-3</v>
      </c>
      <c r="AW1024">
        <v>2.8751349773009313E-3</v>
      </c>
      <c r="AX1024">
        <v>2.6318865740295746E-4</v>
      </c>
      <c r="AY1024">
        <v>2.8949547418605242E-4</v>
      </c>
      <c r="AZ1024">
        <v>0</v>
      </c>
      <c r="BA1024">
        <v>0</v>
      </c>
      <c r="BB1024">
        <v>3.8695085858012977E-2</v>
      </c>
      <c r="BC1024">
        <v>1.4222126066124243E-2</v>
      </c>
      <c r="BD1024">
        <v>0</v>
      </c>
      <c r="BE1024">
        <v>23265.060145919753</v>
      </c>
      <c r="BF1024">
        <v>19.288643311583808</v>
      </c>
      <c r="BG1024">
        <v>24778.279119455201</v>
      </c>
      <c r="BH1024">
        <v>19.179624237544058</v>
      </c>
    </row>
    <row r="1025" spans="3:60" x14ac:dyDescent="0.2">
      <c r="C1025" s="138">
        <v>23492.705555555545</v>
      </c>
      <c r="D1025">
        <v>19.317170862087959</v>
      </c>
      <c r="E1025" s="138">
        <v>25022.881919191921</v>
      </c>
      <c r="F1025" s="138">
        <v>19.209374542281502</v>
      </c>
      <c r="G1025" s="138">
        <v>-3221.6615151515157</v>
      </c>
      <c r="H1025" s="138">
        <v>-4.9616546923199549E-2</v>
      </c>
      <c r="R1025">
        <v>2.2276836882990327</v>
      </c>
      <c r="S1025">
        <v>45.471760434089788</v>
      </c>
      <c r="T1025">
        <v>172.50570167327177</v>
      </c>
      <c r="U1025">
        <v>70.633742742567151</v>
      </c>
      <c r="V1025">
        <v>0</v>
      </c>
      <c r="W1025">
        <v>0</v>
      </c>
      <c r="X1025">
        <v>0.35762876865611309</v>
      </c>
      <c r="Y1025">
        <v>0.34705498072859076</v>
      </c>
      <c r="Z1025">
        <v>0.34039065923157441</v>
      </c>
      <c r="AA1025">
        <v>0.37999574676140396</v>
      </c>
      <c r="AB1025">
        <v>0.32416296343699452</v>
      </c>
      <c r="AC1025">
        <v>0.34237043899506608</v>
      </c>
      <c r="AD1025">
        <v>0.35013012018576667</v>
      </c>
      <c r="AE1025">
        <v>0.27321316071541307</v>
      </c>
      <c r="AF1025">
        <v>0</v>
      </c>
      <c r="AG1025">
        <v>0</v>
      </c>
      <c r="AH1025">
        <v>4.060515202502113E-2</v>
      </c>
      <c r="AI1025">
        <v>3.7711877381764888E-2</v>
      </c>
      <c r="AJ1025">
        <v>3.3365137155148002E-2</v>
      </c>
      <c r="AK1025">
        <v>3.6660409509638191E-2</v>
      </c>
      <c r="AL1025">
        <v>3.3516984914842021E-2</v>
      </c>
      <c r="AM1025">
        <v>3.4732857624176258E-2</v>
      </c>
      <c r="AN1025">
        <v>3.4401853859353793E-2</v>
      </c>
      <c r="AO1025">
        <v>3.9240190769810036E-2</v>
      </c>
      <c r="AP1025">
        <v>0</v>
      </c>
      <c r="AQ1025">
        <v>0</v>
      </c>
      <c r="AR1025">
        <v>6.1615749683505551E-4</v>
      </c>
      <c r="AS1025">
        <v>3.9146558662058852E-3</v>
      </c>
      <c r="AT1025">
        <v>9.7691701231815406E-2</v>
      </c>
      <c r="AU1025">
        <v>1.606749879347132E-3</v>
      </c>
      <c r="AV1025">
        <v>1.6171902174574205E-3</v>
      </c>
      <c r="AW1025">
        <v>2.887591606462867E-3</v>
      </c>
      <c r="AX1025">
        <v>2.6731046141078858E-4</v>
      </c>
      <c r="AY1025">
        <v>2.9470251160456864E-4</v>
      </c>
      <c r="AZ1025">
        <v>0</v>
      </c>
      <c r="BA1025">
        <v>0</v>
      </c>
      <c r="BB1025">
        <v>3.8983918016074134E-2</v>
      </c>
      <c r="BC1025">
        <v>1.5796408391682011E-2</v>
      </c>
      <c r="BD1025">
        <v>0</v>
      </c>
      <c r="BE1025">
        <v>23492.70243815277</v>
      </c>
      <c r="BF1025">
        <v>19.317170862087959</v>
      </c>
      <c r="BG1025">
        <v>25022.882291459555</v>
      </c>
      <c r="BH1025">
        <v>19.209374542281502</v>
      </c>
    </row>
    <row r="1026" spans="3:60" x14ac:dyDescent="0.2">
      <c r="C1026" s="138">
        <v>23720.347777777766</v>
      </c>
      <c r="D1026">
        <v>19.34569841259211</v>
      </c>
      <c r="E1026" s="138">
        <v>25267.485050505053</v>
      </c>
      <c r="F1026" s="138">
        <v>19.239124847018946</v>
      </c>
      <c r="G1026" s="138">
        <v>-3200.8303030303036</v>
      </c>
      <c r="H1026" s="138">
        <v>-4.781250185403968E-2</v>
      </c>
      <c r="R1026">
        <v>8.4602881350148706</v>
      </c>
      <c r="S1026">
        <v>45.866516810024372</v>
      </c>
      <c r="T1026">
        <v>174.08469619195026</v>
      </c>
      <c r="U1026">
        <v>71.242359319399981</v>
      </c>
      <c r="V1026">
        <v>0</v>
      </c>
      <c r="W1026">
        <v>0</v>
      </c>
      <c r="X1026">
        <v>0.36452515770864335</v>
      </c>
      <c r="Y1026">
        <v>0.35393322895545487</v>
      </c>
      <c r="Z1026">
        <v>0.34750968447224928</v>
      </c>
      <c r="AA1026">
        <v>0.38662385831324347</v>
      </c>
      <c r="AB1026">
        <v>0.33130492198848704</v>
      </c>
      <c r="AC1026">
        <v>0.34933031518752677</v>
      </c>
      <c r="AD1026">
        <v>0.3569766920913236</v>
      </c>
      <c r="AE1026">
        <v>0.28099400403002911</v>
      </c>
      <c r="AF1026">
        <v>0</v>
      </c>
      <c r="AG1026">
        <v>0</v>
      </c>
      <c r="AH1026">
        <v>4.5999395419793393E-2</v>
      </c>
      <c r="AI1026">
        <v>4.2856655301615469E-2</v>
      </c>
      <c r="AJ1026">
        <v>3.7737022595508367E-2</v>
      </c>
      <c r="AK1026">
        <v>4.1380206749096093E-2</v>
      </c>
      <c r="AL1026">
        <v>3.815287921430862E-2</v>
      </c>
      <c r="AM1026">
        <v>3.9531995389160364E-2</v>
      </c>
      <c r="AN1026">
        <v>3.896025205551365E-2</v>
      </c>
      <c r="AO1026">
        <v>4.422668642113594E-2</v>
      </c>
      <c r="AP1026">
        <v>0</v>
      </c>
      <c r="AQ1026">
        <v>0</v>
      </c>
      <c r="AR1026">
        <v>6.2259883879129036E-4</v>
      </c>
      <c r="AS1026">
        <v>3.9289276561318386E-3</v>
      </c>
      <c r="AT1026">
        <v>9.7751693993761726E-2</v>
      </c>
      <c r="AU1026">
        <v>1.6161895713935755E-3</v>
      </c>
      <c r="AV1026">
        <v>1.6265076087516568E-3</v>
      </c>
      <c r="AW1026">
        <v>2.9000482356248028E-3</v>
      </c>
      <c r="AX1026">
        <v>2.714322654186197E-4</v>
      </c>
      <c r="AY1026">
        <v>2.9990954902308487E-4</v>
      </c>
      <c r="AZ1026">
        <v>0</v>
      </c>
      <c r="BA1026">
        <v>0</v>
      </c>
      <c r="BB1026">
        <v>3.9272750174135292E-2</v>
      </c>
      <c r="BC1026">
        <v>1.7370690717239779E-2</v>
      </c>
      <c r="BD1026">
        <v>0</v>
      </c>
      <c r="BE1026">
        <v>23720.344730385787</v>
      </c>
      <c r="BF1026">
        <v>19.34569841259211</v>
      </c>
      <c r="BG1026">
        <v>25267.485463463909</v>
      </c>
      <c r="BH1026">
        <v>19.239124847018946</v>
      </c>
    </row>
    <row r="1027" spans="3:60" x14ac:dyDescent="0.2">
      <c r="C1027" s="138">
        <v>23947.989999999987</v>
      </c>
      <c r="D1027">
        <v>19.374225963096261</v>
      </c>
      <c r="E1027" s="138">
        <v>25512.088181818184</v>
      </c>
      <c r="F1027" s="138">
        <v>19.26887515175639</v>
      </c>
      <c r="G1027" s="138">
        <v>-3179.9990909090916</v>
      </c>
      <c r="H1027" s="138">
        <v>-4.600845678487981E-2</v>
      </c>
      <c r="R1027">
        <v>14.692892581730709</v>
      </c>
      <c r="S1027">
        <v>46.261273185958956</v>
      </c>
      <c r="T1027">
        <v>175.66369071062874</v>
      </c>
      <c r="U1027">
        <v>71.850975896232811</v>
      </c>
      <c r="V1027">
        <v>0</v>
      </c>
      <c r="W1027">
        <v>0</v>
      </c>
      <c r="X1027">
        <v>0.37142154676117362</v>
      </c>
      <c r="Y1027">
        <v>0.36081147718231898</v>
      </c>
      <c r="Z1027">
        <v>0.35462870971292415</v>
      </c>
      <c r="AA1027">
        <v>0.39325196986508298</v>
      </c>
      <c r="AB1027">
        <v>0.33844688053997957</v>
      </c>
      <c r="AC1027">
        <v>0.35629019137998746</v>
      </c>
      <c r="AD1027">
        <v>0.36382326399688053</v>
      </c>
      <c r="AE1027">
        <v>0.28877484734464515</v>
      </c>
      <c r="AF1027">
        <v>0</v>
      </c>
      <c r="AG1027">
        <v>0</v>
      </c>
      <c r="AH1027">
        <v>5.1393638814565656E-2</v>
      </c>
      <c r="AI1027">
        <v>4.800143322146605E-2</v>
      </c>
      <c r="AJ1027">
        <v>4.2108908035868732E-2</v>
      </c>
      <c r="AK1027">
        <v>4.6100003988553996E-2</v>
      </c>
      <c r="AL1027">
        <v>4.2788773513775219E-2</v>
      </c>
      <c r="AM1027">
        <v>4.433113315414447E-2</v>
      </c>
      <c r="AN1027">
        <v>4.3518650251673507E-2</v>
      </c>
      <c r="AO1027">
        <v>4.9213182072461843E-2</v>
      </c>
      <c r="AP1027">
        <v>0</v>
      </c>
      <c r="AQ1027">
        <v>0</v>
      </c>
      <c r="AR1027">
        <v>6.2904018074752522E-4</v>
      </c>
      <c r="AS1027">
        <v>3.9431994460577919E-3</v>
      </c>
      <c r="AT1027">
        <v>9.7811686755708047E-2</v>
      </c>
      <c r="AU1027">
        <v>1.6256292634400191E-3</v>
      </c>
      <c r="AV1027">
        <v>1.6358250000458932E-3</v>
      </c>
      <c r="AW1027">
        <v>2.9125048647867385E-3</v>
      </c>
      <c r="AX1027">
        <v>2.7555406942645082E-4</v>
      </c>
      <c r="AY1027">
        <v>3.0511658644160109E-4</v>
      </c>
      <c r="AZ1027">
        <v>0</v>
      </c>
      <c r="BA1027">
        <v>0</v>
      </c>
      <c r="BB1027">
        <v>3.9561582332196449E-2</v>
      </c>
      <c r="BC1027">
        <v>1.8944973042797547E-2</v>
      </c>
      <c r="BD1027">
        <v>0</v>
      </c>
      <c r="BE1027">
        <v>23947.987022618803</v>
      </c>
      <c r="BF1027">
        <v>19.374225963096261</v>
      </c>
      <c r="BG1027">
        <v>25512.088635468263</v>
      </c>
      <c r="BH1027">
        <v>19.26887515175639</v>
      </c>
    </row>
    <row r="1028" spans="3:60" x14ac:dyDescent="0.2">
      <c r="C1028" s="138">
        <v>24175.632222222208</v>
      </c>
      <c r="D1028">
        <v>19.402753513600413</v>
      </c>
      <c r="E1028" s="138">
        <v>25756.691313131316</v>
      </c>
      <c r="F1028" s="138">
        <v>19.298625456493834</v>
      </c>
      <c r="G1028" s="138">
        <v>-3159.1678787878795</v>
      </c>
      <c r="H1028" s="138">
        <v>-4.4204411715719941E-2</v>
      </c>
      <c r="R1028">
        <v>20.925497028446546</v>
      </c>
      <c r="S1028">
        <v>46.65602956189354</v>
      </c>
      <c r="T1028">
        <v>177.24268522930723</v>
      </c>
      <c r="U1028">
        <v>72.459592473065641</v>
      </c>
      <c r="V1028">
        <v>0</v>
      </c>
      <c r="W1028">
        <v>0</v>
      </c>
      <c r="X1028">
        <v>0.37831793581370388</v>
      </c>
      <c r="Y1028">
        <v>0.3676897254091831</v>
      </c>
      <c r="Z1028">
        <v>0.36174773495359902</v>
      </c>
      <c r="AA1028">
        <v>0.39988008141692249</v>
      </c>
      <c r="AB1028">
        <v>0.34558883909147209</v>
      </c>
      <c r="AC1028">
        <v>0.36325006757244815</v>
      </c>
      <c r="AD1028">
        <v>0.37066983590243746</v>
      </c>
      <c r="AE1028">
        <v>0.29655569065926118</v>
      </c>
      <c r="AF1028">
        <v>0</v>
      </c>
      <c r="AG1028">
        <v>0</v>
      </c>
      <c r="AH1028">
        <v>5.678788220933792E-2</v>
      </c>
      <c r="AI1028">
        <v>5.3146211141316631E-2</v>
      </c>
      <c r="AJ1028">
        <v>4.6480793476229097E-2</v>
      </c>
      <c r="AK1028">
        <v>5.0819801228011899E-2</v>
      </c>
      <c r="AL1028">
        <v>4.7424667813241818E-2</v>
      </c>
      <c r="AM1028">
        <v>4.9130270919128576E-2</v>
      </c>
      <c r="AN1028">
        <v>4.8077048447833365E-2</v>
      </c>
      <c r="AO1028">
        <v>5.4199677723787747E-2</v>
      </c>
      <c r="AP1028">
        <v>0</v>
      </c>
      <c r="AQ1028">
        <v>0</v>
      </c>
      <c r="AR1028">
        <v>6.3548152270376007E-4</v>
      </c>
      <c r="AS1028">
        <v>3.9574712359837453E-3</v>
      </c>
      <c r="AT1028">
        <v>9.7871679517654367E-2</v>
      </c>
      <c r="AU1028">
        <v>1.6350689554864627E-3</v>
      </c>
      <c r="AV1028">
        <v>1.6451423913401296E-3</v>
      </c>
      <c r="AW1028">
        <v>2.9249614939486743E-3</v>
      </c>
      <c r="AX1028">
        <v>2.7967587343428194E-4</v>
      </c>
      <c r="AY1028">
        <v>3.1032362386011731E-4</v>
      </c>
      <c r="AZ1028">
        <v>0</v>
      </c>
      <c r="BA1028">
        <v>0</v>
      </c>
      <c r="BB1028">
        <v>3.9850414490257606E-2</v>
      </c>
      <c r="BC1028">
        <v>2.0519255368355315E-2</v>
      </c>
      <c r="BD1028">
        <v>0</v>
      </c>
      <c r="BE1028">
        <v>24175.62931485182</v>
      </c>
      <c r="BF1028">
        <v>19.402753513600413</v>
      </c>
      <c r="BG1028">
        <v>25756.691807472616</v>
      </c>
      <c r="BH1028">
        <v>19.298625456493834</v>
      </c>
    </row>
    <row r="1029" spans="3:60" x14ac:dyDescent="0.2">
      <c r="C1029" s="138">
        <v>24403.274444444429</v>
      </c>
      <c r="D1029">
        <v>19.431281064104564</v>
      </c>
      <c r="E1029" s="138">
        <v>26001.294444444447</v>
      </c>
      <c r="F1029" s="138">
        <v>19.328375761231278</v>
      </c>
      <c r="G1029" s="138">
        <v>-3138.3366666666675</v>
      </c>
      <c r="H1029" s="138">
        <v>-4.2400366646560071E-2</v>
      </c>
      <c r="R1029">
        <v>27.158101475162383</v>
      </c>
      <c r="S1029">
        <v>47.050785937828124</v>
      </c>
      <c r="T1029">
        <v>178.82167974798571</v>
      </c>
      <c r="U1029">
        <v>73.068209049898471</v>
      </c>
      <c r="V1029">
        <v>0</v>
      </c>
      <c r="W1029">
        <v>0</v>
      </c>
      <c r="X1029">
        <v>0.38521432486623414</v>
      </c>
      <c r="Y1029">
        <v>0.37456797363604721</v>
      </c>
      <c r="Z1029">
        <v>0.36886676019427389</v>
      </c>
      <c r="AA1029">
        <v>0.40650819296876201</v>
      </c>
      <c r="AB1029">
        <v>0.35273079764296461</v>
      </c>
      <c r="AC1029">
        <v>0.37020994376490884</v>
      </c>
      <c r="AD1029">
        <v>0.37751640780799439</v>
      </c>
      <c r="AE1029">
        <v>0.30433653397387722</v>
      </c>
      <c r="AF1029">
        <v>0</v>
      </c>
      <c r="AG1029">
        <v>0</v>
      </c>
      <c r="AH1029">
        <v>6.2182125604110183E-2</v>
      </c>
      <c r="AI1029">
        <v>5.8290989061167212E-2</v>
      </c>
      <c r="AJ1029">
        <v>5.0852678916589462E-2</v>
      </c>
      <c r="AK1029">
        <v>5.5539598467469802E-2</v>
      </c>
      <c r="AL1029">
        <v>5.2060562112708417E-2</v>
      </c>
      <c r="AM1029">
        <v>5.3929408684112681E-2</v>
      </c>
      <c r="AN1029">
        <v>5.2635446643993222E-2</v>
      </c>
      <c r="AO1029">
        <v>5.918617337511365E-2</v>
      </c>
      <c r="AP1029">
        <v>0</v>
      </c>
      <c r="AQ1029">
        <v>0</v>
      </c>
      <c r="AR1029">
        <v>6.4192286465999493E-4</v>
      </c>
      <c r="AS1029">
        <v>3.9717430259096987E-3</v>
      </c>
      <c r="AT1029">
        <v>9.7931672279600687E-2</v>
      </c>
      <c r="AU1029">
        <v>1.6445086475329062E-3</v>
      </c>
      <c r="AV1029">
        <v>1.654459782634366E-3</v>
      </c>
      <c r="AW1029">
        <v>2.93741812311061E-3</v>
      </c>
      <c r="AX1029">
        <v>2.8379767744211306E-4</v>
      </c>
      <c r="AY1029">
        <v>3.1553066127863353E-4</v>
      </c>
      <c r="AZ1029">
        <v>0</v>
      </c>
      <c r="BA1029">
        <v>0</v>
      </c>
      <c r="BB1029">
        <v>4.0139246648318763E-2</v>
      </c>
      <c r="BC1029">
        <v>2.2093537693913083E-2</v>
      </c>
      <c r="BD1029">
        <v>0</v>
      </c>
      <c r="BE1029">
        <v>24403.271607084836</v>
      </c>
      <c r="BF1029">
        <v>19.431281064104564</v>
      </c>
      <c r="BG1029">
        <v>26001.29497947697</v>
      </c>
      <c r="BH1029">
        <v>19.328375761231278</v>
      </c>
    </row>
    <row r="1030" spans="3:60" x14ac:dyDescent="0.2">
      <c r="C1030" s="138">
        <v>24630.91666666665</v>
      </c>
      <c r="D1030">
        <v>19.459808614608715</v>
      </c>
      <c r="E1030" s="138">
        <v>26245.897575757579</v>
      </c>
      <c r="F1030" s="138">
        <v>19.358126065968722</v>
      </c>
      <c r="G1030" s="138">
        <v>-3117.5054545454554</v>
      </c>
      <c r="H1030" s="138">
        <v>-4.0596321577400202E-2</v>
      </c>
      <c r="R1030">
        <v>33.390705921878222</v>
      </c>
      <c r="S1030">
        <v>47.445542313762708</v>
      </c>
      <c r="T1030">
        <v>180.4006742666642</v>
      </c>
      <c r="U1030">
        <v>73.676825626731301</v>
      </c>
      <c r="V1030">
        <v>0</v>
      </c>
      <c r="W1030">
        <v>0</v>
      </c>
      <c r="X1030">
        <v>0.3921107139187644</v>
      </c>
      <c r="Y1030">
        <v>0.38144622186291133</v>
      </c>
      <c r="Z1030">
        <v>0.37598578543494876</v>
      </c>
      <c r="AA1030">
        <v>0.41313630452060152</v>
      </c>
      <c r="AB1030">
        <v>0.35987275619445713</v>
      </c>
      <c r="AC1030">
        <v>0.37716981995736953</v>
      </c>
      <c r="AD1030">
        <v>0.38436297971355132</v>
      </c>
      <c r="AE1030">
        <v>0.31211737728849326</v>
      </c>
      <c r="AF1030">
        <v>0</v>
      </c>
      <c r="AG1030">
        <v>0</v>
      </c>
      <c r="AH1030">
        <v>6.7576368998882447E-2</v>
      </c>
      <c r="AI1030">
        <v>6.3435766981017785E-2</v>
      </c>
      <c r="AJ1030">
        <v>5.5224564356949828E-2</v>
      </c>
      <c r="AK1030">
        <v>6.0259395706927704E-2</v>
      </c>
      <c r="AL1030">
        <v>5.6696456412175016E-2</v>
      </c>
      <c r="AM1030">
        <v>5.8728546449096787E-2</v>
      </c>
      <c r="AN1030">
        <v>5.719384484015308E-2</v>
      </c>
      <c r="AO1030">
        <v>6.4172669026439561E-2</v>
      </c>
      <c r="AP1030">
        <v>0</v>
      </c>
      <c r="AQ1030">
        <v>0</v>
      </c>
      <c r="AR1030">
        <v>6.4836420661622978E-4</v>
      </c>
      <c r="AS1030">
        <v>3.986014815835652E-3</v>
      </c>
      <c r="AT1030">
        <v>9.7991665041547008E-2</v>
      </c>
      <c r="AU1030">
        <v>1.6539483395793498E-3</v>
      </c>
      <c r="AV1030">
        <v>1.6637771739286024E-3</v>
      </c>
      <c r="AW1030">
        <v>2.9498747522725458E-3</v>
      </c>
      <c r="AX1030">
        <v>2.8791948144994418E-4</v>
      </c>
      <c r="AY1030">
        <v>3.2073769869714975E-4</v>
      </c>
      <c r="AZ1030">
        <v>0</v>
      </c>
      <c r="BA1030">
        <v>0</v>
      </c>
      <c r="BB1030">
        <v>4.042807880637992E-2</v>
      </c>
      <c r="BC1030">
        <v>2.3667820019470851E-2</v>
      </c>
      <c r="BD1030">
        <v>0</v>
      </c>
      <c r="BE1030">
        <v>24630.913899317853</v>
      </c>
      <c r="BF1030">
        <v>19.459808614608715</v>
      </c>
      <c r="BG1030">
        <v>26245.898151481324</v>
      </c>
      <c r="BH1030">
        <v>19.358126065968722</v>
      </c>
    </row>
    <row r="1031" spans="3:60" x14ac:dyDescent="0.2">
      <c r="C1031" s="138">
        <v>24858.558888888871</v>
      </c>
      <c r="D1031">
        <v>19.488336165112866</v>
      </c>
      <c r="E1031" s="138">
        <v>26490.500707070711</v>
      </c>
      <c r="F1031" s="138">
        <v>19.387876370706167</v>
      </c>
      <c r="G1031" s="138">
        <v>-3096.6742424242434</v>
      </c>
      <c r="H1031" s="138">
        <v>-3.8792276508240332E-2</v>
      </c>
      <c r="R1031">
        <v>39.623310368594062</v>
      </c>
      <c r="S1031">
        <v>47.840298689697292</v>
      </c>
      <c r="T1031">
        <v>181.97966878534268</v>
      </c>
      <c r="U1031">
        <v>74.285442203564131</v>
      </c>
      <c r="V1031">
        <v>0</v>
      </c>
      <c r="W1031">
        <v>0</v>
      </c>
      <c r="X1031">
        <v>0.39900710297129466</v>
      </c>
      <c r="Y1031">
        <v>0.38832447008977544</v>
      </c>
      <c r="Z1031">
        <v>0.38310481067562363</v>
      </c>
      <c r="AA1031">
        <v>0.41976441607244103</v>
      </c>
      <c r="AB1031">
        <v>0.36701471474594966</v>
      </c>
      <c r="AC1031">
        <v>0.38412969614983022</v>
      </c>
      <c r="AD1031">
        <v>0.39120955161910825</v>
      </c>
      <c r="AE1031">
        <v>0.3198982206031093</v>
      </c>
      <c r="AF1031">
        <v>0</v>
      </c>
      <c r="AG1031">
        <v>0</v>
      </c>
      <c r="AH1031">
        <v>7.297061239365471E-2</v>
      </c>
      <c r="AI1031">
        <v>6.8580544900868359E-2</v>
      </c>
      <c r="AJ1031">
        <v>5.9596449797310193E-2</v>
      </c>
      <c r="AK1031">
        <v>6.49791929463856E-2</v>
      </c>
      <c r="AL1031">
        <v>6.1332350711641614E-2</v>
      </c>
      <c r="AM1031">
        <v>6.3527684214080893E-2</v>
      </c>
      <c r="AN1031">
        <v>6.1752243036312937E-2</v>
      </c>
      <c r="AO1031">
        <v>6.9159164677765464E-2</v>
      </c>
      <c r="AP1031">
        <v>0</v>
      </c>
      <c r="AQ1031">
        <v>0</v>
      </c>
      <c r="AR1031">
        <v>6.5480554857246464E-4</v>
      </c>
      <c r="AS1031">
        <v>4.0002866057616054E-3</v>
      </c>
      <c r="AT1031">
        <v>9.8051657803493328E-2</v>
      </c>
      <c r="AU1031">
        <v>1.6633880316257934E-3</v>
      </c>
      <c r="AV1031">
        <v>1.6730945652228388E-3</v>
      </c>
      <c r="AW1031">
        <v>2.9623313814344816E-3</v>
      </c>
      <c r="AX1031">
        <v>2.920412854577753E-4</v>
      </c>
      <c r="AY1031">
        <v>3.2594473611566598E-4</v>
      </c>
      <c r="AZ1031">
        <v>0</v>
      </c>
      <c r="BA1031">
        <v>0</v>
      </c>
      <c r="BB1031">
        <v>4.0716910964441078E-2</v>
      </c>
      <c r="BC1031">
        <v>2.5242102345028619E-2</v>
      </c>
      <c r="BD1031">
        <v>0</v>
      </c>
      <c r="BE1031">
        <v>24858.55619155087</v>
      </c>
      <c r="BF1031">
        <v>19.488336165112866</v>
      </c>
      <c r="BG1031">
        <v>26490.501323485678</v>
      </c>
      <c r="BH1031">
        <v>19.387876370706167</v>
      </c>
    </row>
    <row r="1032" spans="3:60" x14ac:dyDescent="0.2">
      <c r="C1032" s="138">
        <v>25086.201111111091</v>
      </c>
      <c r="D1032">
        <v>19.516863715617017</v>
      </c>
      <c r="E1032" s="138">
        <v>26735.103838383842</v>
      </c>
      <c r="F1032" s="138">
        <v>19.417626675443611</v>
      </c>
      <c r="G1032" s="138">
        <v>-3075.8430303030314</v>
      </c>
      <c r="H1032" s="138">
        <v>-3.6988231439080463E-2</v>
      </c>
      <c r="R1032">
        <v>45.855914815309902</v>
      </c>
      <c r="S1032">
        <v>48.235055065631876</v>
      </c>
      <c r="T1032">
        <v>183.55866330402117</v>
      </c>
      <c r="U1032">
        <v>74.894058780396961</v>
      </c>
      <c r="V1032">
        <v>0</v>
      </c>
      <c r="W1032">
        <v>0</v>
      </c>
      <c r="X1032">
        <v>0.40590349202382492</v>
      </c>
      <c r="Y1032">
        <v>0.39520271831663956</v>
      </c>
      <c r="Z1032">
        <v>0.3902238359162985</v>
      </c>
      <c r="AA1032">
        <v>0.42639252762428054</v>
      </c>
      <c r="AB1032">
        <v>0.37415667329744218</v>
      </c>
      <c r="AC1032">
        <v>0.39108957234229091</v>
      </c>
      <c r="AD1032">
        <v>0.39805612352466518</v>
      </c>
      <c r="AE1032">
        <v>0.32767906391772533</v>
      </c>
      <c r="AF1032">
        <v>0</v>
      </c>
      <c r="AG1032">
        <v>0</v>
      </c>
      <c r="AH1032">
        <v>7.8364855788426974E-2</v>
      </c>
      <c r="AI1032">
        <v>7.3725322820718933E-2</v>
      </c>
      <c r="AJ1032">
        <v>6.3968335237670551E-2</v>
      </c>
      <c r="AK1032">
        <v>6.9698990185843496E-2</v>
      </c>
      <c r="AL1032">
        <v>6.596824501110822E-2</v>
      </c>
      <c r="AM1032">
        <v>6.8326821979065006E-2</v>
      </c>
      <c r="AN1032">
        <v>6.6310641232472795E-2</v>
      </c>
      <c r="AO1032">
        <v>7.4145660329091367E-2</v>
      </c>
      <c r="AP1032">
        <v>0</v>
      </c>
      <c r="AQ1032">
        <v>0</v>
      </c>
      <c r="AR1032">
        <v>6.6124689052869949E-4</v>
      </c>
      <c r="AS1032">
        <v>4.0145583956875588E-3</v>
      </c>
      <c r="AT1032">
        <v>9.8111650565439648E-2</v>
      </c>
      <c r="AU1032">
        <v>1.6728277236722369E-3</v>
      </c>
      <c r="AV1032">
        <v>1.6824119565170752E-3</v>
      </c>
      <c r="AW1032">
        <v>2.9747880105964173E-3</v>
      </c>
      <c r="AX1032">
        <v>2.9616308946560642E-4</v>
      </c>
      <c r="AY1032">
        <v>3.311517735341822E-4</v>
      </c>
      <c r="AZ1032">
        <v>0</v>
      </c>
      <c r="BA1032">
        <v>0</v>
      </c>
      <c r="BB1032">
        <v>4.1005743122502235E-2</v>
      </c>
      <c r="BC1032">
        <v>2.6816384670586387E-2</v>
      </c>
      <c r="BD1032">
        <v>0</v>
      </c>
      <c r="BE1032">
        <v>25086.198483783886</v>
      </c>
      <c r="BF1032">
        <v>19.516863715617017</v>
      </c>
      <c r="BG1032">
        <v>26735.104495490032</v>
      </c>
      <c r="BH1032">
        <v>19.417626675443611</v>
      </c>
    </row>
    <row r="1033" spans="3:60" x14ac:dyDescent="0.2">
      <c r="C1033" s="138">
        <v>25313.843333333312</v>
      </c>
      <c r="D1033">
        <v>19.545391266121168</v>
      </c>
      <c r="E1033" s="138">
        <v>26979.706969696974</v>
      </c>
      <c r="F1033" s="138">
        <v>19.447376980181055</v>
      </c>
      <c r="G1033" s="138">
        <v>-3055.0118181818193</v>
      </c>
      <c r="H1033" s="138">
        <v>-3.5184186369920593E-2</v>
      </c>
      <c r="R1033">
        <v>52.088519262025741</v>
      </c>
      <c r="S1033">
        <v>48.62981144156646</v>
      </c>
      <c r="T1033">
        <v>185.13765782269965</v>
      </c>
      <c r="U1033">
        <v>75.502675357229791</v>
      </c>
      <c r="V1033">
        <v>0</v>
      </c>
      <c r="W1033">
        <v>0</v>
      </c>
      <c r="X1033">
        <v>0.41279988107635518</v>
      </c>
      <c r="Y1033">
        <v>0.40208096654350367</v>
      </c>
      <c r="Z1033">
        <v>0.39734286115697337</v>
      </c>
      <c r="AA1033">
        <v>0.43302063917612005</v>
      </c>
      <c r="AB1033">
        <v>0.3812986318489347</v>
      </c>
      <c r="AC1033">
        <v>0.3980494485347516</v>
      </c>
      <c r="AD1033">
        <v>0.40490269543022211</v>
      </c>
      <c r="AE1033">
        <v>0.33545990723234137</v>
      </c>
      <c r="AF1033">
        <v>0</v>
      </c>
      <c r="AG1033">
        <v>0</v>
      </c>
      <c r="AH1033">
        <v>8.3759099183199237E-2</v>
      </c>
      <c r="AI1033">
        <v>7.8870100740569507E-2</v>
      </c>
      <c r="AJ1033">
        <v>6.8340220678030916E-2</v>
      </c>
      <c r="AK1033">
        <v>7.4418787425301391E-2</v>
      </c>
      <c r="AL1033">
        <v>7.0604139310574826E-2</v>
      </c>
      <c r="AM1033">
        <v>7.3125959744049118E-2</v>
      </c>
      <c r="AN1033">
        <v>7.0869039428632652E-2</v>
      </c>
      <c r="AO1033">
        <v>7.9132155980417271E-2</v>
      </c>
      <c r="AP1033">
        <v>0</v>
      </c>
      <c r="AQ1033">
        <v>0</v>
      </c>
      <c r="AR1033">
        <v>6.6768823248493435E-4</v>
      </c>
      <c r="AS1033">
        <v>4.0288301856135121E-3</v>
      </c>
      <c r="AT1033">
        <v>9.8171643327385968E-2</v>
      </c>
      <c r="AU1033">
        <v>1.6822674157186805E-3</v>
      </c>
      <c r="AV1033">
        <v>1.6917293478113115E-3</v>
      </c>
      <c r="AW1033">
        <v>2.9872446397583531E-3</v>
      </c>
      <c r="AX1033">
        <v>3.0028489347343754E-4</v>
      </c>
      <c r="AY1033">
        <v>3.3635881095269842E-4</v>
      </c>
      <c r="AZ1033">
        <v>0</v>
      </c>
      <c r="BA1033">
        <v>0</v>
      </c>
      <c r="BB1033">
        <v>4.1294575280563392E-2</v>
      </c>
      <c r="BC1033">
        <v>2.8390666996144155E-2</v>
      </c>
      <c r="BD1033">
        <v>0</v>
      </c>
      <c r="BE1033">
        <v>25313.840776016903</v>
      </c>
      <c r="BF1033">
        <v>19.545391266121168</v>
      </c>
      <c r="BG1033">
        <v>26979.707667494386</v>
      </c>
      <c r="BH1033">
        <v>19.447376980181055</v>
      </c>
    </row>
    <row r="1034" spans="3:60" x14ac:dyDescent="0.2">
      <c r="C1034" s="138">
        <v>25541.485555555533</v>
      </c>
      <c r="D1034">
        <v>19.573918816625319</v>
      </c>
      <c r="E1034" s="138">
        <v>27224.310101010105</v>
      </c>
      <c r="F1034" s="138">
        <v>19.477127284918499</v>
      </c>
      <c r="G1034" s="138">
        <v>-3034.1806060606073</v>
      </c>
      <c r="H1034" s="138">
        <v>-3.3380141300760724E-2</v>
      </c>
      <c r="R1034">
        <v>58.321123708741581</v>
      </c>
      <c r="S1034">
        <v>49.024567817501044</v>
      </c>
      <c r="T1034">
        <v>186.71665234137814</v>
      </c>
      <c r="U1034">
        <v>76.111291934062621</v>
      </c>
      <c r="V1034">
        <v>0</v>
      </c>
      <c r="W1034">
        <v>0</v>
      </c>
      <c r="X1034">
        <v>0.41969627012888544</v>
      </c>
      <c r="Y1034">
        <v>0.40895921477036778</v>
      </c>
      <c r="Z1034">
        <v>0.40446188639764824</v>
      </c>
      <c r="AA1034">
        <v>0.43964875072795956</v>
      </c>
      <c r="AB1034">
        <v>0.38844059040042722</v>
      </c>
      <c r="AC1034">
        <v>0.40500932472721229</v>
      </c>
      <c r="AD1034">
        <v>0.41174926733577905</v>
      </c>
      <c r="AE1034">
        <v>0.34324075054695741</v>
      </c>
      <c r="AF1034">
        <v>0</v>
      </c>
      <c r="AG1034">
        <v>0</v>
      </c>
      <c r="AH1034">
        <v>8.9153342577971501E-2</v>
      </c>
      <c r="AI1034">
        <v>8.4014878660420081E-2</v>
      </c>
      <c r="AJ1034">
        <v>7.2712106118391281E-2</v>
      </c>
      <c r="AK1034">
        <v>7.9138584664759287E-2</v>
      </c>
      <c r="AL1034">
        <v>7.5240033610041432E-2</v>
      </c>
      <c r="AM1034">
        <v>7.7925097509033231E-2</v>
      </c>
      <c r="AN1034">
        <v>7.5427437624792509E-2</v>
      </c>
      <c r="AO1034">
        <v>8.4118651631743174E-2</v>
      </c>
      <c r="AP1034">
        <v>0</v>
      </c>
      <c r="AQ1034">
        <v>0</v>
      </c>
      <c r="AR1034">
        <v>6.741295744411692E-4</v>
      </c>
      <c r="AS1034">
        <v>4.0431019755394655E-3</v>
      </c>
      <c r="AT1034">
        <v>9.8231636089332289E-2</v>
      </c>
      <c r="AU1034">
        <v>1.6917071077651241E-3</v>
      </c>
      <c r="AV1034">
        <v>1.7010467391055479E-3</v>
      </c>
      <c r="AW1034">
        <v>2.9997012689202888E-3</v>
      </c>
      <c r="AX1034">
        <v>3.0440669748126866E-4</v>
      </c>
      <c r="AY1034">
        <v>3.4156584837121464E-4</v>
      </c>
      <c r="AZ1034">
        <v>0</v>
      </c>
      <c r="BA1034">
        <v>0</v>
      </c>
      <c r="BB1034">
        <v>4.1583407438624549E-2</v>
      </c>
      <c r="BC1034">
        <v>2.9964949321701923E-2</v>
      </c>
      <c r="BD1034">
        <v>0</v>
      </c>
      <c r="BE1034">
        <v>25541.48306824992</v>
      </c>
      <c r="BF1034">
        <v>19.573918816625319</v>
      </c>
      <c r="BG1034">
        <v>27224.310839498739</v>
      </c>
      <c r="BH1034">
        <v>19.477127284918499</v>
      </c>
    </row>
    <row r="1035" spans="3:60" x14ac:dyDescent="0.2">
      <c r="C1035" s="138">
        <v>25769.127777777754</v>
      </c>
      <c r="D1035">
        <v>19.60244636712947</v>
      </c>
      <c r="E1035" s="138">
        <v>27468.913232323237</v>
      </c>
      <c r="F1035" s="138">
        <v>19.506877589655943</v>
      </c>
      <c r="G1035" s="138">
        <v>-3013.3493939393952</v>
      </c>
      <c r="H1035" s="138">
        <v>-3.1576096231600854E-2</v>
      </c>
      <c r="R1035">
        <v>64.553728155457421</v>
      </c>
      <c r="S1035">
        <v>49.419324193435628</v>
      </c>
      <c r="T1035">
        <v>188.29564686005662</v>
      </c>
      <c r="U1035">
        <v>76.719908510895451</v>
      </c>
      <c r="V1035">
        <v>0</v>
      </c>
      <c r="W1035">
        <v>0</v>
      </c>
      <c r="X1035">
        <v>0.4265926591814157</v>
      </c>
      <c r="Y1035">
        <v>0.4158374629972319</v>
      </c>
      <c r="Z1035">
        <v>0.41158091163832311</v>
      </c>
      <c r="AA1035">
        <v>0.44627686227979907</v>
      </c>
      <c r="AB1035">
        <v>0.39558254895191974</v>
      </c>
      <c r="AC1035">
        <v>0.41196920091967298</v>
      </c>
      <c r="AD1035">
        <v>0.41859583924133598</v>
      </c>
      <c r="AE1035">
        <v>0.35102159386157344</v>
      </c>
      <c r="AF1035">
        <v>0</v>
      </c>
      <c r="AG1035">
        <v>0</v>
      </c>
      <c r="AH1035">
        <v>9.4547585972743764E-2</v>
      </c>
      <c r="AI1035">
        <v>8.9159656580270655E-2</v>
      </c>
      <c r="AJ1035">
        <v>7.7083991558751647E-2</v>
      </c>
      <c r="AK1035">
        <v>8.3858381904217183E-2</v>
      </c>
      <c r="AL1035">
        <v>7.9875927909508038E-2</v>
      </c>
      <c r="AM1035">
        <v>8.2724235274017344E-2</v>
      </c>
      <c r="AN1035">
        <v>7.9985835820952367E-2</v>
      </c>
      <c r="AO1035">
        <v>8.9105147283069078E-2</v>
      </c>
      <c r="AP1035">
        <v>0</v>
      </c>
      <c r="AQ1035">
        <v>0</v>
      </c>
      <c r="AR1035">
        <v>6.8057091639740406E-4</v>
      </c>
      <c r="AS1035">
        <v>4.0573737654654189E-3</v>
      </c>
      <c r="AT1035">
        <v>9.8291628851278609E-2</v>
      </c>
      <c r="AU1035">
        <v>1.7011467998115676E-3</v>
      </c>
      <c r="AV1035">
        <v>1.7103641303997843E-3</v>
      </c>
      <c r="AW1035">
        <v>3.0121578980822246E-3</v>
      </c>
      <c r="AX1035">
        <v>3.0852850148909978E-4</v>
      </c>
      <c r="AY1035">
        <v>3.4677288578973086E-4</v>
      </c>
      <c r="AZ1035">
        <v>0</v>
      </c>
      <c r="BA1035">
        <v>0</v>
      </c>
      <c r="BB1035">
        <v>4.1872239596685706E-2</v>
      </c>
      <c r="BC1035">
        <v>3.1539231647259691E-2</v>
      </c>
      <c r="BD1035">
        <v>0</v>
      </c>
      <c r="BE1035">
        <v>25769.125360482936</v>
      </c>
      <c r="BF1035">
        <v>19.60244636712947</v>
      </c>
      <c r="BG1035">
        <v>27468.914011503093</v>
      </c>
      <c r="BH1035">
        <v>19.506877589655943</v>
      </c>
    </row>
    <row r="1036" spans="3:60" x14ac:dyDescent="0.2">
      <c r="C1036" s="138">
        <v>25996.769999999975</v>
      </c>
      <c r="D1036">
        <v>19.630973917633622</v>
      </c>
      <c r="E1036" s="138">
        <v>27713.516363636369</v>
      </c>
      <c r="F1036" s="138">
        <v>19.536627894393387</v>
      </c>
      <c r="G1036" s="138">
        <v>-2992.5181818181832</v>
      </c>
      <c r="H1036" s="138">
        <v>-2.9772051162440989E-2</v>
      </c>
      <c r="R1036">
        <v>70.78633260217326</v>
      </c>
      <c r="S1036">
        <v>49.814080569370212</v>
      </c>
      <c r="T1036">
        <v>189.87464137873511</v>
      </c>
      <c r="U1036">
        <v>77.328525087728281</v>
      </c>
      <c r="V1036">
        <v>0</v>
      </c>
      <c r="W1036">
        <v>0</v>
      </c>
      <c r="X1036">
        <v>0.43348904823394596</v>
      </c>
      <c r="Y1036">
        <v>0.42271571122409601</v>
      </c>
      <c r="Z1036">
        <v>0.41869993687899798</v>
      </c>
      <c r="AA1036">
        <v>0.45290497383163858</v>
      </c>
      <c r="AB1036">
        <v>0.40272450750341227</v>
      </c>
      <c r="AC1036">
        <v>0.41892907711213367</v>
      </c>
      <c r="AD1036">
        <v>0.42544241114689291</v>
      </c>
      <c r="AE1036">
        <v>0.35880243717618948</v>
      </c>
      <c r="AF1036">
        <v>0</v>
      </c>
      <c r="AG1036">
        <v>0</v>
      </c>
      <c r="AH1036">
        <v>9.9941829367516027E-2</v>
      </c>
      <c r="AI1036">
        <v>9.4304434500121229E-2</v>
      </c>
      <c r="AJ1036">
        <v>8.1455876999112012E-2</v>
      </c>
      <c r="AK1036">
        <v>8.8578179143675079E-2</v>
      </c>
      <c r="AL1036">
        <v>8.4511822208974643E-2</v>
      </c>
      <c r="AM1036">
        <v>8.7523373039001456E-2</v>
      </c>
      <c r="AN1036">
        <v>8.4544234017112224E-2</v>
      </c>
      <c r="AO1036">
        <v>9.4091642934394981E-2</v>
      </c>
      <c r="AP1036">
        <v>0</v>
      </c>
      <c r="AQ1036">
        <v>0</v>
      </c>
      <c r="AR1036">
        <v>6.8701225835363891E-4</v>
      </c>
      <c r="AS1036">
        <v>4.0716455553913723E-3</v>
      </c>
      <c r="AT1036">
        <v>9.8351621613224929E-2</v>
      </c>
      <c r="AU1036">
        <v>1.7105864918580112E-3</v>
      </c>
      <c r="AV1036">
        <v>1.7196815216940207E-3</v>
      </c>
      <c r="AW1036">
        <v>3.0246145272441603E-3</v>
      </c>
      <c r="AX1036">
        <v>3.126503054969309E-4</v>
      </c>
      <c r="AY1036">
        <v>3.5197992320824709E-4</v>
      </c>
      <c r="AZ1036">
        <v>0</v>
      </c>
      <c r="BA1036">
        <v>0</v>
      </c>
      <c r="BB1036">
        <v>4.2161071754746864E-2</v>
      </c>
      <c r="BC1036">
        <v>3.3113513972817463E-2</v>
      </c>
      <c r="BD1036">
        <v>0</v>
      </c>
      <c r="BE1036">
        <v>25996.767652715953</v>
      </c>
      <c r="BF1036">
        <v>19.630973917633622</v>
      </c>
      <c r="BG1036">
        <v>27713.517183507447</v>
      </c>
      <c r="BH1036">
        <v>19.536627894393387</v>
      </c>
    </row>
    <row r="1037" spans="3:60" x14ac:dyDescent="0.2">
      <c r="C1037" s="138">
        <v>26224.412222222196</v>
      </c>
      <c r="D1037">
        <v>19.659501468137773</v>
      </c>
      <c r="E1037" s="138">
        <v>27958.1194949495</v>
      </c>
      <c r="F1037" s="138">
        <v>19.566378199130831</v>
      </c>
      <c r="G1037" s="138">
        <v>-2971.6869696969711</v>
      </c>
      <c r="H1037" s="138">
        <v>-2.7968006093281123E-2</v>
      </c>
      <c r="R1037">
        <v>77.0189370488891</v>
      </c>
      <c r="S1037">
        <v>50.208836945304796</v>
      </c>
      <c r="T1037">
        <v>191.45363589741359</v>
      </c>
      <c r="U1037">
        <v>77.937141664561111</v>
      </c>
      <c r="V1037">
        <v>0</v>
      </c>
      <c r="W1037">
        <v>0</v>
      </c>
      <c r="X1037">
        <v>0.44038543728647622</v>
      </c>
      <c r="Y1037">
        <v>0.42959395945096013</v>
      </c>
      <c r="Z1037">
        <v>0.42581896211967285</v>
      </c>
      <c r="AA1037">
        <v>0.45953308538347809</v>
      </c>
      <c r="AB1037">
        <v>0.40986646605490479</v>
      </c>
      <c r="AC1037">
        <v>0.42588895330459436</v>
      </c>
      <c r="AD1037">
        <v>0.43228898305244984</v>
      </c>
      <c r="AE1037">
        <v>0.36658328049080552</v>
      </c>
      <c r="AF1037">
        <v>0</v>
      </c>
      <c r="AG1037">
        <v>0</v>
      </c>
      <c r="AH1037">
        <v>0.10533607276228829</v>
      </c>
      <c r="AI1037">
        <v>9.9449212419971803E-2</v>
      </c>
      <c r="AJ1037">
        <v>8.5827762439472377E-2</v>
      </c>
      <c r="AK1037">
        <v>9.3297976383132974E-2</v>
      </c>
      <c r="AL1037">
        <v>8.9147716508441249E-2</v>
      </c>
      <c r="AM1037">
        <v>9.2322510803985569E-2</v>
      </c>
      <c r="AN1037">
        <v>8.9102632213272082E-2</v>
      </c>
      <c r="AO1037">
        <v>9.9078138585720885E-2</v>
      </c>
      <c r="AP1037">
        <v>0</v>
      </c>
      <c r="AQ1037">
        <v>0</v>
      </c>
      <c r="AR1037">
        <v>6.9345360030987377E-4</v>
      </c>
      <c r="AS1037">
        <v>4.0859173453173256E-3</v>
      </c>
      <c r="AT1037">
        <v>9.841161437517125E-2</v>
      </c>
      <c r="AU1037">
        <v>1.7200261839044547E-3</v>
      </c>
      <c r="AV1037">
        <v>1.7289989129882571E-3</v>
      </c>
      <c r="AW1037">
        <v>3.0370711564060961E-3</v>
      </c>
      <c r="AX1037">
        <v>3.1677210950476202E-4</v>
      </c>
      <c r="AY1037">
        <v>3.5718696062676331E-4</v>
      </c>
      <c r="AZ1037">
        <v>0</v>
      </c>
      <c r="BA1037">
        <v>0</v>
      </c>
      <c r="BB1037">
        <v>4.2449903912808021E-2</v>
      </c>
      <c r="BC1037">
        <v>3.4687796298375234E-2</v>
      </c>
      <c r="BD1037">
        <v>0</v>
      </c>
      <c r="BE1037">
        <v>26224.409944948969</v>
      </c>
      <c r="BF1037">
        <v>19.659501468137773</v>
      </c>
      <c r="BG1037">
        <v>27958.120355511801</v>
      </c>
      <c r="BH1037">
        <v>19.566378199130831</v>
      </c>
    </row>
    <row r="1038" spans="3:60" x14ac:dyDescent="0.2">
      <c r="C1038" s="138">
        <v>26452.054444444417</v>
      </c>
      <c r="D1038">
        <v>19.688029018641924</v>
      </c>
      <c r="E1038" s="138">
        <v>28202.722626262632</v>
      </c>
      <c r="F1038" s="138">
        <v>19.596128503868275</v>
      </c>
      <c r="G1038" s="138">
        <v>-2950.8557575757591</v>
      </c>
      <c r="H1038" s="138">
        <v>-2.6163961024121257E-2</v>
      </c>
      <c r="R1038">
        <v>83.25154149560494</v>
      </c>
      <c r="S1038">
        <v>50.60359332123938</v>
      </c>
      <c r="T1038">
        <v>193.03263041609208</v>
      </c>
      <c r="U1038">
        <v>78.545758241393941</v>
      </c>
      <c r="V1038">
        <v>0</v>
      </c>
      <c r="W1038">
        <v>0</v>
      </c>
      <c r="X1038">
        <v>0.44728182633900648</v>
      </c>
      <c r="Y1038">
        <v>0.43647220767782424</v>
      </c>
      <c r="Z1038">
        <v>0.43293798736034772</v>
      </c>
      <c r="AA1038">
        <v>0.4661611969353176</v>
      </c>
      <c r="AB1038">
        <v>0.41700842460639731</v>
      </c>
      <c r="AC1038">
        <v>0.43284882949705505</v>
      </c>
      <c r="AD1038">
        <v>0.43913555495800677</v>
      </c>
      <c r="AE1038">
        <v>0.37436412380542156</v>
      </c>
      <c r="AF1038">
        <v>0</v>
      </c>
      <c r="AG1038">
        <v>0</v>
      </c>
      <c r="AH1038">
        <v>0.11073031615706055</v>
      </c>
      <c r="AI1038">
        <v>0.10459399033982238</v>
      </c>
      <c r="AJ1038">
        <v>9.0199647879832742E-2</v>
      </c>
      <c r="AK1038">
        <v>9.801777362259087E-2</v>
      </c>
      <c r="AL1038">
        <v>9.3783610807907855E-2</v>
      </c>
      <c r="AM1038">
        <v>9.7121648568969682E-2</v>
      </c>
      <c r="AN1038">
        <v>9.3661030409431939E-2</v>
      </c>
      <c r="AO1038">
        <v>0.10406463423704679</v>
      </c>
      <c r="AP1038">
        <v>0</v>
      </c>
      <c r="AQ1038">
        <v>0</v>
      </c>
      <c r="AR1038">
        <v>6.9989494226610862E-4</v>
      </c>
      <c r="AS1038">
        <v>4.100189135243279E-3</v>
      </c>
      <c r="AT1038">
        <v>9.847160713711757E-2</v>
      </c>
      <c r="AU1038">
        <v>1.7294658759508983E-3</v>
      </c>
      <c r="AV1038">
        <v>1.7383163042824935E-3</v>
      </c>
      <c r="AW1038">
        <v>3.0495277855680319E-3</v>
      </c>
      <c r="AX1038">
        <v>3.2089391351259314E-4</v>
      </c>
      <c r="AY1038">
        <v>3.6239399804527953E-4</v>
      </c>
      <c r="AZ1038">
        <v>0</v>
      </c>
      <c r="BA1038">
        <v>0</v>
      </c>
      <c r="BB1038">
        <v>4.2738736070869178E-2</v>
      </c>
      <c r="BC1038">
        <v>3.6262078623933006E-2</v>
      </c>
      <c r="BD1038">
        <v>0</v>
      </c>
      <c r="BE1038">
        <v>26452.052237181986</v>
      </c>
      <c r="BF1038">
        <v>19.688029018641924</v>
      </c>
      <c r="BG1038">
        <v>28202.723527516155</v>
      </c>
      <c r="BH1038">
        <v>19.596128503868275</v>
      </c>
    </row>
    <row r="1039" spans="3:60" x14ac:dyDescent="0.2">
      <c r="C1039" s="138">
        <v>26679.696666666638</v>
      </c>
      <c r="D1039">
        <v>19.716556569146075</v>
      </c>
      <c r="E1039" s="138">
        <v>28447.325757575763</v>
      </c>
      <c r="F1039" s="138">
        <v>19.625878808605719</v>
      </c>
      <c r="G1039" s="138">
        <v>-2930.024545454547</v>
      </c>
      <c r="H1039" s="138">
        <v>-2.4359915954961391E-2</v>
      </c>
      <c r="R1039">
        <v>89.484145942320779</v>
      </c>
      <c r="S1039">
        <v>50.998349697173964</v>
      </c>
      <c r="T1039">
        <v>194.61162493477056</v>
      </c>
      <c r="U1039">
        <v>79.154374818226771</v>
      </c>
      <c r="V1039">
        <v>0</v>
      </c>
      <c r="W1039">
        <v>0</v>
      </c>
      <c r="X1039">
        <v>0.45417821539153674</v>
      </c>
      <c r="Y1039">
        <v>0.44335045590468836</v>
      </c>
      <c r="Z1039">
        <v>0.44005701260102259</v>
      </c>
      <c r="AA1039">
        <v>0.47278930848715711</v>
      </c>
      <c r="AB1039">
        <v>0.42415038315788983</v>
      </c>
      <c r="AC1039">
        <v>0.43980870568951574</v>
      </c>
      <c r="AD1039">
        <v>0.4459821268635637</v>
      </c>
      <c r="AE1039">
        <v>0.38214496712003759</v>
      </c>
      <c r="AF1039">
        <v>0</v>
      </c>
      <c r="AG1039">
        <v>0</v>
      </c>
      <c r="AH1039">
        <v>0.11612455955183282</v>
      </c>
      <c r="AI1039">
        <v>0.10973876825967295</v>
      </c>
      <c r="AJ1039">
        <v>9.4571533320193107E-2</v>
      </c>
      <c r="AK1039">
        <v>0.10273757086204877</v>
      </c>
      <c r="AL1039">
        <v>9.8419505107374461E-2</v>
      </c>
      <c r="AM1039">
        <v>0.10192078633395379</v>
      </c>
      <c r="AN1039">
        <v>9.8219428605591796E-2</v>
      </c>
      <c r="AO1039">
        <v>0.10905112988837269</v>
      </c>
      <c r="AP1039">
        <v>0</v>
      </c>
      <c r="AQ1039">
        <v>0</v>
      </c>
      <c r="AR1039">
        <v>7.0633628422234348E-4</v>
      </c>
      <c r="AS1039">
        <v>4.1144609251692324E-3</v>
      </c>
      <c r="AT1039">
        <v>9.853159989906389E-2</v>
      </c>
      <c r="AU1039">
        <v>1.7389055679973419E-3</v>
      </c>
      <c r="AV1039">
        <v>1.7476336955767299E-3</v>
      </c>
      <c r="AW1039">
        <v>3.0619844147299676E-3</v>
      </c>
      <c r="AX1039">
        <v>3.2501571752042427E-4</v>
      </c>
      <c r="AY1039">
        <v>3.6760103546379575E-4</v>
      </c>
      <c r="AZ1039">
        <v>0</v>
      </c>
      <c r="BA1039">
        <v>0</v>
      </c>
      <c r="BB1039">
        <v>4.3027568228930335E-2</v>
      </c>
      <c r="BC1039">
        <v>3.7836360949490777E-2</v>
      </c>
      <c r="BD1039">
        <v>0</v>
      </c>
      <c r="BE1039">
        <v>26679.694529415003</v>
      </c>
      <c r="BF1039">
        <v>19.716556569146075</v>
      </c>
      <c r="BG1039">
        <v>28447.326699520509</v>
      </c>
      <c r="BH1039">
        <v>19.625878808605719</v>
      </c>
    </row>
    <row r="1040" spans="3:60" x14ac:dyDescent="0.2">
      <c r="C1040" s="138">
        <v>26907.338888888858</v>
      </c>
      <c r="D1040">
        <v>19.745084119650226</v>
      </c>
      <c r="E1040" s="138">
        <v>28691.928888888895</v>
      </c>
      <c r="F1040" s="138">
        <v>19.655629113343164</v>
      </c>
      <c r="G1040" s="138">
        <v>-2909.193333333335</v>
      </c>
      <c r="H1040" s="138">
        <v>-2.2555870885801525E-2</v>
      </c>
      <c r="R1040">
        <v>95.716750389036619</v>
      </c>
      <c r="S1040">
        <v>51.393106073108548</v>
      </c>
      <c r="T1040">
        <v>196.19061945344905</v>
      </c>
      <c r="U1040">
        <v>79.762991395059601</v>
      </c>
      <c r="V1040">
        <v>0</v>
      </c>
      <c r="W1040">
        <v>0</v>
      </c>
      <c r="X1040">
        <v>0.461074604444067</v>
      </c>
      <c r="Y1040">
        <v>0.45022870413155247</v>
      </c>
      <c r="Z1040">
        <v>0.44717603784169746</v>
      </c>
      <c r="AA1040">
        <v>0.47941742003899662</v>
      </c>
      <c r="AB1040">
        <v>0.43129234170938235</v>
      </c>
      <c r="AC1040">
        <v>0.44676858188197643</v>
      </c>
      <c r="AD1040">
        <v>0.45282869876912063</v>
      </c>
      <c r="AE1040">
        <v>0.38992581043465363</v>
      </c>
      <c r="AF1040">
        <v>0</v>
      </c>
      <c r="AG1040">
        <v>0</v>
      </c>
      <c r="AH1040">
        <v>0.12151880294660508</v>
      </c>
      <c r="AI1040">
        <v>0.11488354617952352</v>
      </c>
      <c r="AJ1040">
        <v>9.8943418760553473E-2</v>
      </c>
      <c r="AK1040">
        <v>0.10745736810150666</v>
      </c>
      <c r="AL1040">
        <v>0.10305539940684107</v>
      </c>
      <c r="AM1040">
        <v>0.10671992409893791</v>
      </c>
      <c r="AN1040">
        <v>0.10277782680175165</v>
      </c>
      <c r="AO1040">
        <v>0.11403762553969859</v>
      </c>
      <c r="AP1040">
        <v>0</v>
      </c>
      <c r="AQ1040">
        <v>0</v>
      </c>
      <c r="AR1040">
        <v>7.1277762617857833E-4</v>
      </c>
      <c r="AS1040">
        <v>4.1287327150951857E-3</v>
      </c>
      <c r="AT1040">
        <v>9.8591592661010211E-2</v>
      </c>
      <c r="AU1040">
        <v>1.7483452600437854E-3</v>
      </c>
      <c r="AV1040">
        <v>1.7569510868709662E-3</v>
      </c>
      <c r="AW1040">
        <v>3.0744410438919034E-3</v>
      </c>
      <c r="AX1040">
        <v>3.2913752152825539E-4</v>
      </c>
      <c r="AY1040">
        <v>3.7280807288231197E-4</v>
      </c>
      <c r="AZ1040">
        <v>0</v>
      </c>
      <c r="BA1040">
        <v>0</v>
      </c>
      <c r="BB1040">
        <v>4.3316400386991492E-2</v>
      </c>
      <c r="BC1040">
        <v>3.9410643275048549E-2</v>
      </c>
      <c r="BD1040">
        <v>0</v>
      </c>
      <c r="BE1040">
        <v>26907.336821648019</v>
      </c>
      <c r="BF1040">
        <v>19.745084119650226</v>
      </c>
      <c r="BG1040">
        <v>28691.929871524862</v>
      </c>
      <c r="BH1040">
        <v>19.655629113343164</v>
      </c>
    </row>
    <row r="1041" spans="3:60" x14ac:dyDescent="0.2">
      <c r="C1041" s="138">
        <v>27134.981111111079</v>
      </c>
      <c r="D1041">
        <v>19.773611670154377</v>
      </c>
      <c r="E1041" s="138">
        <v>28936.532020202027</v>
      </c>
      <c r="F1041" s="138">
        <v>19.685379418080608</v>
      </c>
      <c r="G1041" s="138">
        <v>-2888.3621212121229</v>
      </c>
      <c r="H1041" s="138">
        <v>-2.0751825816641659E-2</v>
      </c>
      <c r="R1041">
        <v>101.94935483575246</v>
      </c>
      <c r="S1041">
        <v>51.787862449043132</v>
      </c>
      <c r="T1041">
        <v>197.76961397212753</v>
      </c>
      <c r="U1041">
        <v>80.371607971892431</v>
      </c>
      <c r="V1041">
        <v>0</v>
      </c>
      <c r="W1041">
        <v>0</v>
      </c>
      <c r="X1041">
        <v>0.46797099349659727</v>
      </c>
      <c r="Y1041">
        <v>0.45710695235841659</v>
      </c>
      <c r="Z1041">
        <v>0.45429506308237233</v>
      </c>
      <c r="AA1041">
        <v>0.48604553159083613</v>
      </c>
      <c r="AB1041">
        <v>0.43843430026087488</v>
      </c>
      <c r="AC1041">
        <v>0.45372845807443712</v>
      </c>
      <c r="AD1041">
        <v>0.45967527067467756</v>
      </c>
      <c r="AE1041">
        <v>0.39770665374926967</v>
      </c>
      <c r="AF1041">
        <v>0</v>
      </c>
      <c r="AG1041">
        <v>0</v>
      </c>
      <c r="AH1041">
        <v>0.12691304634137734</v>
      </c>
      <c r="AI1041">
        <v>0.1200283240993741</v>
      </c>
      <c r="AJ1041">
        <v>0.10331530420091384</v>
      </c>
      <c r="AK1041">
        <v>0.11217716534096456</v>
      </c>
      <c r="AL1041">
        <v>0.10769129370630767</v>
      </c>
      <c r="AM1041">
        <v>0.11151906186392202</v>
      </c>
      <c r="AN1041">
        <v>0.10733622499791151</v>
      </c>
      <c r="AO1041">
        <v>0.1190241211910245</v>
      </c>
      <c r="AP1041">
        <v>0</v>
      </c>
      <c r="AQ1041">
        <v>0</v>
      </c>
      <c r="AR1041">
        <v>7.1921896813481319E-4</v>
      </c>
      <c r="AS1041">
        <v>4.1430045050211391E-3</v>
      </c>
      <c r="AT1041">
        <v>9.8651585422956531E-2</v>
      </c>
      <c r="AU1041">
        <v>1.757784952090229E-3</v>
      </c>
      <c r="AV1041">
        <v>1.7662684781652026E-3</v>
      </c>
      <c r="AW1041">
        <v>3.0868976730538391E-3</v>
      </c>
      <c r="AX1041">
        <v>3.3325932553608651E-4</v>
      </c>
      <c r="AY1041">
        <v>3.780151103008282E-4</v>
      </c>
      <c r="AZ1041">
        <v>0</v>
      </c>
      <c r="BA1041">
        <v>0</v>
      </c>
      <c r="BB1041">
        <v>4.360523254505265E-2</v>
      </c>
      <c r="BC1041">
        <v>4.098492560060632E-2</v>
      </c>
      <c r="BD1041">
        <v>0</v>
      </c>
      <c r="BE1041">
        <v>27134.979113881036</v>
      </c>
      <c r="BF1041">
        <v>19.773611670154377</v>
      </c>
      <c r="BG1041">
        <v>28936.533043529216</v>
      </c>
      <c r="BH1041">
        <v>19.685379418080608</v>
      </c>
    </row>
    <row r="1042" spans="3:60" x14ac:dyDescent="0.2">
      <c r="C1042" s="138">
        <v>27362.6233333333</v>
      </c>
      <c r="D1042">
        <v>19.802139220658528</v>
      </c>
      <c r="E1042" s="138">
        <v>29181.135151515158</v>
      </c>
      <c r="F1042" s="138">
        <v>19.715129722818052</v>
      </c>
      <c r="G1042" s="138">
        <v>-2867.5309090909109</v>
      </c>
      <c r="H1042" s="138">
        <v>-1.8947780747481793E-2</v>
      </c>
      <c r="R1042">
        <v>108.1819592824683</v>
      </c>
      <c r="S1042">
        <v>52.182618824977716</v>
      </c>
      <c r="T1042">
        <v>199.34860849080601</v>
      </c>
      <c r="U1042">
        <v>80.980224548725261</v>
      </c>
      <c r="V1042">
        <v>0</v>
      </c>
      <c r="W1042">
        <v>0</v>
      </c>
      <c r="X1042">
        <v>0.47486738254912753</v>
      </c>
      <c r="Y1042">
        <v>0.4639852005852807</v>
      </c>
      <c r="Z1042">
        <v>0.4614140883230472</v>
      </c>
      <c r="AA1042">
        <v>0.49267364314267564</v>
      </c>
      <c r="AB1042">
        <v>0.4455762588123674</v>
      </c>
      <c r="AC1042">
        <v>0.46068833426689781</v>
      </c>
      <c r="AD1042">
        <v>0.46652184258023449</v>
      </c>
      <c r="AE1042">
        <v>0.4054874970638857</v>
      </c>
      <c r="AF1042">
        <v>0</v>
      </c>
      <c r="AG1042">
        <v>0</v>
      </c>
      <c r="AH1042">
        <v>0.13230728973614961</v>
      </c>
      <c r="AI1042">
        <v>0.12517310201922469</v>
      </c>
      <c r="AJ1042">
        <v>0.1076871896412742</v>
      </c>
      <c r="AK1042">
        <v>0.11689696258042245</v>
      </c>
      <c r="AL1042">
        <v>0.11232718800577428</v>
      </c>
      <c r="AM1042">
        <v>0.11631819962890613</v>
      </c>
      <c r="AN1042">
        <v>0.11189462319407137</v>
      </c>
      <c r="AO1042">
        <v>0.1240106168423504</v>
      </c>
      <c r="AP1042">
        <v>0</v>
      </c>
      <c r="AQ1042">
        <v>0</v>
      </c>
      <c r="AR1042">
        <v>7.2566031009104804E-4</v>
      </c>
      <c r="AS1042">
        <v>4.1572762949470925E-3</v>
      </c>
      <c r="AT1042">
        <v>9.8711578184902851E-2</v>
      </c>
      <c r="AU1042">
        <v>1.7672246441366726E-3</v>
      </c>
      <c r="AV1042">
        <v>1.775585869459439E-3</v>
      </c>
      <c r="AW1042">
        <v>3.0993543022157749E-3</v>
      </c>
      <c r="AX1042">
        <v>3.3738112954391763E-4</v>
      </c>
      <c r="AY1042">
        <v>3.8322214771934442E-4</v>
      </c>
      <c r="AZ1042">
        <v>0</v>
      </c>
      <c r="BA1042">
        <v>0</v>
      </c>
      <c r="BB1042">
        <v>4.3894064703113807E-2</v>
      </c>
      <c r="BC1042">
        <v>4.2559207926164092E-2</v>
      </c>
      <c r="BD1042">
        <v>0</v>
      </c>
      <c r="BE1042">
        <v>27362.621406114053</v>
      </c>
      <c r="BF1042">
        <v>19.802139220658528</v>
      </c>
      <c r="BG1042">
        <v>29181.13621553357</v>
      </c>
      <c r="BH1042">
        <v>19.715129722818052</v>
      </c>
    </row>
    <row r="1043" spans="3:60" x14ac:dyDescent="0.2">
      <c r="C1043" s="138">
        <v>27590.265555555521</v>
      </c>
      <c r="D1043">
        <v>19.830666771162679</v>
      </c>
      <c r="E1043" s="138">
        <v>29425.73828282829</v>
      </c>
      <c r="F1043" s="138">
        <v>19.744880027555496</v>
      </c>
      <c r="G1043" s="138">
        <v>-2846.6996969696988</v>
      </c>
      <c r="H1043" s="138">
        <v>-1.7143735678321927E-2</v>
      </c>
      <c r="R1043">
        <v>114.41456372918414</v>
      </c>
      <c r="S1043">
        <v>52.5773752009123</v>
      </c>
      <c r="T1043">
        <v>200.9276030094845</v>
      </c>
      <c r="U1043">
        <v>81.588841125558091</v>
      </c>
      <c r="V1043">
        <v>0</v>
      </c>
      <c r="W1043">
        <v>0</v>
      </c>
      <c r="X1043">
        <v>0.48176377160165779</v>
      </c>
      <c r="Y1043">
        <v>0.47086344881214481</v>
      </c>
      <c r="Z1043">
        <v>0.46853311356372207</v>
      </c>
      <c r="AA1043">
        <v>0.49930175469451515</v>
      </c>
      <c r="AB1043">
        <v>0.45271821736385992</v>
      </c>
      <c r="AC1043">
        <v>0.4676482104593585</v>
      </c>
      <c r="AD1043">
        <v>0.47336841448579142</v>
      </c>
      <c r="AE1043">
        <v>0.41326834037850174</v>
      </c>
      <c r="AF1043">
        <v>0</v>
      </c>
      <c r="AG1043">
        <v>0</v>
      </c>
      <c r="AH1043">
        <v>0.13770153313092187</v>
      </c>
      <c r="AI1043">
        <v>0.13031787993907526</v>
      </c>
      <c r="AJ1043">
        <v>0.11205907508163457</v>
      </c>
      <c r="AK1043">
        <v>0.12161675981988035</v>
      </c>
      <c r="AL1043">
        <v>0.11696308230524088</v>
      </c>
      <c r="AM1043">
        <v>0.12111733739389025</v>
      </c>
      <c r="AN1043">
        <v>0.11645302139023123</v>
      </c>
      <c r="AO1043">
        <v>0.12899711249367632</v>
      </c>
      <c r="AP1043">
        <v>0</v>
      </c>
      <c r="AQ1043">
        <v>0</v>
      </c>
      <c r="AR1043">
        <v>7.321016520472829E-4</v>
      </c>
      <c r="AS1043">
        <v>4.1715480848730458E-3</v>
      </c>
      <c r="AT1043">
        <v>9.8771570946849171E-2</v>
      </c>
      <c r="AU1043">
        <v>1.7766643361831161E-3</v>
      </c>
      <c r="AV1043">
        <v>1.7849032607536754E-3</v>
      </c>
      <c r="AW1043">
        <v>3.1118109313777106E-3</v>
      </c>
      <c r="AX1043">
        <v>3.4150293355174875E-4</v>
      </c>
      <c r="AY1043">
        <v>3.8842918513786064E-4</v>
      </c>
      <c r="AZ1043">
        <v>0</v>
      </c>
      <c r="BA1043">
        <v>0</v>
      </c>
      <c r="BB1043">
        <v>4.4182896861174964E-2</v>
      </c>
      <c r="BC1043">
        <v>4.4133490251721863E-2</v>
      </c>
      <c r="BD1043">
        <v>0</v>
      </c>
      <c r="BE1043">
        <v>27590.263698347069</v>
      </c>
      <c r="BF1043">
        <v>19.830666771162679</v>
      </c>
      <c r="BG1043">
        <v>29425.739387537924</v>
      </c>
      <c r="BH1043">
        <v>19.744880027555496</v>
      </c>
    </row>
    <row r="1044" spans="3:60" x14ac:dyDescent="0.2">
      <c r="C1044" s="138">
        <v>27817.907777777742</v>
      </c>
      <c r="D1044">
        <v>19.859194321666831</v>
      </c>
      <c r="E1044" s="138">
        <v>29670.341414141421</v>
      </c>
      <c r="F1044" s="138">
        <v>19.77463033229294</v>
      </c>
      <c r="G1044" s="138">
        <v>-2825.8684848484868</v>
      </c>
      <c r="H1044" s="138">
        <v>-1.5339690609162059E-2</v>
      </c>
      <c r="R1044">
        <v>120.64716817589998</v>
      </c>
      <c r="S1044">
        <v>52.972131576846884</v>
      </c>
      <c r="T1044">
        <v>202.50659752816298</v>
      </c>
      <c r="U1044">
        <v>82.197457702390921</v>
      </c>
      <c r="V1044">
        <v>0</v>
      </c>
      <c r="W1044">
        <v>0</v>
      </c>
      <c r="X1044">
        <v>0.48866016065418805</v>
      </c>
      <c r="Y1044">
        <v>0.47774169703900893</v>
      </c>
      <c r="Z1044">
        <v>0.47565213880439694</v>
      </c>
      <c r="AA1044">
        <v>0.50592986624635461</v>
      </c>
      <c r="AB1044">
        <v>0.45986017591535244</v>
      </c>
      <c r="AC1044">
        <v>0.47460808665181919</v>
      </c>
      <c r="AD1044">
        <v>0.48021498639134835</v>
      </c>
      <c r="AE1044">
        <v>0.42104918369311778</v>
      </c>
      <c r="AF1044">
        <v>0</v>
      </c>
      <c r="AG1044">
        <v>0</v>
      </c>
      <c r="AH1044">
        <v>0.14309577652569413</v>
      </c>
      <c r="AI1044">
        <v>0.13546265785892583</v>
      </c>
      <c r="AJ1044">
        <v>0.11643096052199493</v>
      </c>
      <c r="AK1044">
        <v>0.12633655705933824</v>
      </c>
      <c r="AL1044">
        <v>0.12159897660470749</v>
      </c>
      <c r="AM1044">
        <v>0.12591647515887436</v>
      </c>
      <c r="AN1044">
        <v>0.12101141958639108</v>
      </c>
      <c r="AO1044">
        <v>0.13398360814500224</v>
      </c>
      <c r="AP1044">
        <v>0</v>
      </c>
      <c r="AQ1044">
        <v>0</v>
      </c>
      <c r="AR1044">
        <v>7.3854299400351775E-4</v>
      </c>
      <c r="AS1044">
        <v>4.1858198747989992E-3</v>
      </c>
      <c r="AT1044">
        <v>9.8831563708795492E-2</v>
      </c>
      <c r="AU1044">
        <v>1.7861040282295597E-3</v>
      </c>
      <c r="AV1044">
        <v>1.7942206520479118E-3</v>
      </c>
      <c r="AW1044">
        <v>3.1242675605396464E-3</v>
      </c>
      <c r="AX1044">
        <v>3.4562473755957987E-4</v>
      </c>
      <c r="AY1044">
        <v>3.9363622255637686E-4</v>
      </c>
      <c r="AZ1044">
        <v>0</v>
      </c>
      <c r="BA1044">
        <v>0</v>
      </c>
      <c r="BB1044">
        <v>4.4471729019236121E-2</v>
      </c>
      <c r="BC1044">
        <v>4.5707772577279634E-2</v>
      </c>
      <c r="BD1044">
        <v>0</v>
      </c>
      <c r="BE1044">
        <v>27817.905990580086</v>
      </c>
      <c r="BF1044">
        <v>19.859194321666831</v>
      </c>
      <c r="BG1044">
        <v>29670.342559542278</v>
      </c>
      <c r="BH1044">
        <v>19.77463033229294</v>
      </c>
    </row>
    <row r="1045" spans="3:60" x14ac:dyDescent="0.2">
      <c r="C1045" s="138">
        <v>28045.549999999963</v>
      </c>
      <c r="D1045">
        <v>19.887721872170982</v>
      </c>
      <c r="E1045" s="138">
        <v>29914.944545454553</v>
      </c>
      <c r="F1045" s="138">
        <v>19.804380637030384</v>
      </c>
      <c r="G1045" s="138">
        <v>-2805.0372727272747</v>
      </c>
      <c r="H1045" s="138">
        <v>-1.3535645540002191E-2</v>
      </c>
      <c r="R1045">
        <v>126.87977262261582</v>
      </c>
      <c r="S1045">
        <v>53.366887952781468</v>
      </c>
      <c r="T1045">
        <v>204.08559204684147</v>
      </c>
      <c r="U1045">
        <v>82.806074279223751</v>
      </c>
      <c r="V1045">
        <v>0</v>
      </c>
      <c r="W1045">
        <v>0</v>
      </c>
      <c r="X1045">
        <v>0.49555654970671831</v>
      </c>
      <c r="Y1045">
        <v>0.48461994526587304</v>
      </c>
      <c r="Z1045">
        <v>0.48277116404507181</v>
      </c>
      <c r="AA1045">
        <v>0.51255797779819412</v>
      </c>
      <c r="AB1045">
        <v>0.46700213446684496</v>
      </c>
      <c r="AC1045">
        <v>0.48156796284427988</v>
      </c>
      <c r="AD1045">
        <v>0.48706155829690528</v>
      </c>
      <c r="AE1045">
        <v>0.42883002700773382</v>
      </c>
      <c r="AF1045">
        <v>0</v>
      </c>
      <c r="AG1045">
        <v>0</v>
      </c>
      <c r="AH1045">
        <v>0.1484900199204664</v>
      </c>
      <c r="AI1045">
        <v>0.14060743577877641</v>
      </c>
      <c r="AJ1045">
        <v>0.1208028459623553</v>
      </c>
      <c r="AK1045">
        <v>0.13105635429879614</v>
      </c>
      <c r="AL1045">
        <v>0.1262348709041741</v>
      </c>
      <c r="AM1045">
        <v>0.13071561292385847</v>
      </c>
      <c r="AN1045">
        <v>0.12556981778255094</v>
      </c>
      <c r="AO1045">
        <v>0.13897010379632815</v>
      </c>
      <c r="AP1045">
        <v>0</v>
      </c>
      <c r="AQ1045">
        <v>0</v>
      </c>
      <c r="AR1045">
        <v>7.4498433595975261E-4</v>
      </c>
      <c r="AS1045">
        <v>4.2000916647249526E-3</v>
      </c>
      <c r="AT1045">
        <v>9.8891556470741812E-2</v>
      </c>
      <c r="AU1045">
        <v>1.7955437202760033E-3</v>
      </c>
      <c r="AV1045">
        <v>1.8035380433421482E-3</v>
      </c>
      <c r="AW1045">
        <v>3.1367241897015822E-3</v>
      </c>
      <c r="AX1045">
        <v>3.4974654156741099E-4</v>
      </c>
      <c r="AY1045">
        <v>3.9884325997489308E-4</v>
      </c>
      <c r="AZ1045">
        <v>0</v>
      </c>
      <c r="BA1045">
        <v>0</v>
      </c>
      <c r="BB1045">
        <v>4.4760561177297278E-2</v>
      </c>
      <c r="BC1045">
        <v>4.7282054902837406E-2</v>
      </c>
      <c r="BD1045">
        <v>0</v>
      </c>
      <c r="BE1045">
        <v>28045.548282813103</v>
      </c>
      <c r="BF1045">
        <v>19.887721872170982</v>
      </c>
      <c r="BG1045">
        <v>29914.945731546632</v>
      </c>
      <c r="BH1045">
        <v>19.804380637030384</v>
      </c>
    </row>
    <row r="1046" spans="3:60" x14ac:dyDescent="0.2">
      <c r="C1046" s="138">
        <v>28273.192222222184</v>
      </c>
      <c r="D1046">
        <v>19.916249422675133</v>
      </c>
      <c r="E1046" s="138">
        <v>30159.547676767685</v>
      </c>
      <c r="F1046" s="138">
        <v>19.834130941767828</v>
      </c>
      <c r="G1046" s="138">
        <v>-2784.2060606060627</v>
      </c>
      <c r="H1046" s="138">
        <v>-1.1731600470842323E-2</v>
      </c>
      <c r="R1046">
        <v>133.11237706933164</v>
      </c>
      <c r="S1046">
        <v>53.761644328716052</v>
      </c>
      <c r="T1046">
        <v>205.66458656551995</v>
      </c>
      <c r="U1046">
        <v>83.414690856056581</v>
      </c>
      <c r="V1046">
        <v>0</v>
      </c>
      <c r="W1046">
        <v>0</v>
      </c>
      <c r="X1046">
        <v>0.50245293875924857</v>
      </c>
      <c r="Y1046">
        <v>0.49149819349273716</v>
      </c>
      <c r="Z1046">
        <v>0.48989018928574668</v>
      </c>
      <c r="AA1046">
        <v>0.51918608935003363</v>
      </c>
      <c r="AB1046">
        <v>0.47414409301833749</v>
      </c>
      <c r="AC1046">
        <v>0.48852783903674057</v>
      </c>
      <c r="AD1046">
        <v>0.49390813020246221</v>
      </c>
      <c r="AE1046">
        <v>0.43661087032234985</v>
      </c>
      <c r="AF1046">
        <v>0</v>
      </c>
      <c r="AG1046">
        <v>0</v>
      </c>
      <c r="AH1046">
        <v>0.15388426331523866</v>
      </c>
      <c r="AI1046">
        <v>0.14575221369862698</v>
      </c>
      <c r="AJ1046">
        <v>0.12517473140271565</v>
      </c>
      <c r="AK1046">
        <v>0.13577615153825404</v>
      </c>
      <c r="AL1046">
        <v>0.13087076520364069</v>
      </c>
      <c r="AM1046">
        <v>0.13551475068884258</v>
      </c>
      <c r="AN1046">
        <v>0.1301282159787108</v>
      </c>
      <c r="AO1046">
        <v>0.14395659944765407</v>
      </c>
      <c r="AP1046">
        <v>0</v>
      </c>
      <c r="AQ1046">
        <v>0</v>
      </c>
      <c r="AR1046">
        <v>7.5142567791598746E-4</v>
      </c>
      <c r="AS1046">
        <v>4.2143634546509059E-3</v>
      </c>
      <c r="AT1046">
        <v>9.8951549232688132E-2</v>
      </c>
      <c r="AU1046">
        <v>1.8049834123224468E-3</v>
      </c>
      <c r="AV1046">
        <v>1.8128554346363845E-3</v>
      </c>
      <c r="AW1046">
        <v>3.1491808188635179E-3</v>
      </c>
      <c r="AX1046">
        <v>3.5386834557524211E-4</v>
      </c>
      <c r="AY1046">
        <v>4.0405029739340931E-4</v>
      </c>
      <c r="AZ1046">
        <v>0</v>
      </c>
      <c r="BA1046">
        <v>0</v>
      </c>
      <c r="BB1046">
        <v>4.5049393335358436E-2</v>
      </c>
      <c r="BC1046">
        <v>4.8856337228395177E-2</v>
      </c>
      <c r="BD1046">
        <v>0</v>
      </c>
      <c r="BE1046">
        <v>28273.190575046119</v>
      </c>
      <c r="BF1046">
        <v>19.916249422675133</v>
      </c>
      <c r="BG1046">
        <v>30159.548903550985</v>
      </c>
      <c r="BH1046">
        <v>19.834130941767828</v>
      </c>
    </row>
    <row r="1047" spans="3:60" x14ac:dyDescent="0.2">
      <c r="C1047" s="138">
        <v>28500.834444444405</v>
      </c>
      <c r="D1047">
        <v>19.944776973179284</v>
      </c>
      <c r="E1047" s="138">
        <v>30404.150808080816</v>
      </c>
      <c r="F1047" s="138">
        <v>19.863881246505272</v>
      </c>
      <c r="G1047" s="138">
        <v>-2763.3748484848506</v>
      </c>
      <c r="H1047" s="138">
        <v>-9.9275554016824558E-3</v>
      </c>
      <c r="R1047">
        <v>139.34498151604748</v>
      </c>
      <c r="S1047">
        <v>54.156400704650636</v>
      </c>
      <c r="T1047">
        <v>207.24358108419844</v>
      </c>
      <c r="U1047">
        <v>84.023307432889411</v>
      </c>
      <c r="V1047">
        <v>0</v>
      </c>
      <c r="W1047">
        <v>0</v>
      </c>
      <c r="X1047">
        <v>0.50934932781177877</v>
      </c>
      <c r="Y1047">
        <v>0.49837644171960127</v>
      </c>
      <c r="Z1047">
        <v>0.49700921452642155</v>
      </c>
      <c r="AA1047">
        <v>0.52581420090187314</v>
      </c>
      <c r="AB1047">
        <v>0.48128605156983001</v>
      </c>
      <c r="AC1047">
        <v>0.49548771522920126</v>
      </c>
      <c r="AD1047">
        <v>0.5007547021080192</v>
      </c>
      <c r="AE1047">
        <v>0.44439171363696589</v>
      </c>
      <c r="AF1047">
        <v>0</v>
      </c>
      <c r="AG1047">
        <v>0</v>
      </c>
      <c r="AH1047">
        <v>0.15927850671001093</v>
      </c>
      <c r="AI1047">
        <v>0.15089699161847756</v>
      </c>
      <c r="AJ1047">
        <v>0.129546616843076</v>
      </c>
      <c r="AK1047">
        <v>0.14049594877771193</v>
      </c>
      <c r="AL1047">
        <v>0.13550665950310728</v>
      </c>
      <c r="AM1047">
        <v>0.1403138884538267</v>
      </c>
      <c r="AN1047">
        <v>0.13468661417487066</v>
      </c>
      <c r="AO1047">
        <v>0.14894309509897999</v>
      </c>
      <c r="AP1047">
        <v>0</v>
      </c>
      <c r="AQ1047">
        <v>0</v>
      </c>
      <c r="AR1047">
        <v>7.5786701987222232E-4</v>
      </c>
      <c r="AS1047">
        <v>4.2286352445768593E-3</v>
      </c>
      <c r="AT1047">
        <v>9.9011541994634453E-2</v>
      </c>
      <c r="AU1047">
        <v>1.8144231043688904E-3</v>
      </c>
      <c r="AV1047">
        <v>1.8221728259306209E-3</v>
      </c>
      <c r="AW1047">
        <v>3.1616374480254537E-3</v>
      </c>
      <c r="AX1047">
        <v>3.5799014958307323E-4</v>
      </c>
      <c r="AY1047">
        <v>4.0925733481192553E-4</v>
      </c>
      <c r="AZ1047">
        <v>0</v>
      </c>
      <c r="BA1047">
        <v>0</v>
      </c>
      <c r="BB1047">
        <v>4.5338225493419593E-2</v>
      </c>
      <c r="BC1047">
        <v>5.0430619553952949E-2</v>
      </c>
      <c r="BD1047">
        <v>0</v>
      </c>
      <c r="BE1047">
        <v>28500.832867279136</v>
      </c>
      <c r="BF1047">
        <v>19.944776973179284</v>
      </c>
      <c r="BG1047">
        <v>30404.152075555339</v>
      </c>
      <c r="BH1047">
        <v>19.863881246505272</v>
      </c>
    </row>
    <row r="1048" spans="3:60" x14ac:dyDescent="0.2">
      <c r="C1048" s="138">
        <v>28728.476666666626</v>
      </c>
      <c r="D1048">
        <v>19.973304523683435</v>
      </c>
      <c r="E1048" s="138">
        <v>30648.753939393948</v>
      </c>
      <c r="F1048" s="138">
        <v>19.893631551242716</v>
      </c>
      <c r="G1048" s="138">
        <v>-2742.5436363636386</v>
      </c>
      <c r="H1048" s="138">
        <v>-8.123510332522588E-3</v>
      </c>
      <c r="R1048">
        <v>145.57758596276332</v>
      </c>
      <c r="S1048">
        <v>54.55115708058522</v>
      </c>
      <c r="T1048">
        <v>208.82257560287692</v>
      </c>
      <c r="U1048">
        <v>84.63192400972224</v>
      </c>
      <c r="V1048">
        <v>0</v>
      </c>
      <c r="W1048">
        <v>0</v>
      </c>
      <c r="X1048">
        <v>0.51624571686430898</v>
      </c>
      <c r="Y1048">
        <v>0.50525468994646539</v>
      </c>
      <c r="Z1048">
        <v>0.50412823976709642</v>
      </c>
      <c r="AA1048">
        <v>0.53244231245371265</v>
      </c>
      <c r="AB1048">
        <v>0.48842801012132253</v>
      </c>
      <c r="AC1048">
        <v>0.50244759142166195</v>
      </c>
      <c r="AD1048">
        <v>0.50760127401357613</v>
      </c>
      <c r="AE1048">
        <v>0.45217255695158193</v>
      </c>
      <c r="AF1048">
        <v>0</v>
      </c>
      <c r="AG1048">
        <v>0</v>
      </c>
      <c r="AH1048">
        <v>0.16467275010478319</v>
      </c>
      <c r="AI1048">
        <v>0.15604176953832813</v>
      </c>
      <c r="AJ1048">
        <v>0.13391850228343635</v>
      </c>
      <c r="AK1048">
        <v>0.14521574601716983</v>
      </c>
      <c r="AL1048">
        <v>0.14014255380257387</v>
      </c>
      <c r="AM1048">
        <v>0.14511302621881081</v>
      </c>
      <c r="AN1048">
        <v>0.13924501237103051</v>
      </c>
      <c r="AO1048">
        <v>0.15392959075030591</v>
      </c>
      <c r="AP1048">
        <v>0</v>
      </c>
      <c r="AQ1048">
        <v>0</v>
      </c>
      <c r="AR1048">
        <v>7.6430836182845717E-4</v>
      </c>
      <c r="AS1048">
        <v>4.2429070345028127E-3</v>
      </c>
      <c r="AT1048">
        <v>9.9071534756580773E-2</v>
      </c>
      <c r="AU1048">
        <v>1.823862796415334E-3</v>
      </c>
      <c r="AV1048">
        <v>1.8314902172248573E-3</v>
      </c>
      <c r="AW1048">
        <v>3.1740940771873894E-3</v>
      </c>
      <c r="AX1048">
        <v>3.6211195359090435E-4</v>
      </c>
      <c r="AY1048">
        <v>4.1446437223044175E-4</v>
      </c>
      <c r="AZ1048">
        <v>0</v>
      </c>
      <c r="BA1048">
        <v>0</v>
      </c>
      <c r="BB1048">
        <v>4.562705765148075E-2</v>
      </c>
      <c r="BC1048">
        <v>5.200490187951072E-2</v>
      </c>
      <c r="BD1048">
        <v>0</v>
      </c>
      <c r="BE1048">
        <v>28728.475159512152</v>
      </c>
      <c r="BF1048">
        <v>19.973304523683435</v>
      </c>
      <c r="BG1048">
        <v>30648.755247559693</v>
      </c>
      <c r="BH1048">
        <v>19.893631551242716</v>
      </c>
    </row>
    <row r="1049" spans="3:60" x14ac:dyDescent="0.2">
      <c r="C1049" s="138">
        <v>28956.118888888846</v>
      </c>
      <c r="D1049">
        <v>20.001832074187586</v>
      </c>
      <c r="E1049" s="138">
        <v>30893.357070707079</v>
      </c>
      <c r="F1049" s="138">
        <v>19.923381855980161</v>
      </c>
      <c r="G1049" s="138">
        <v>-2721.7124242424266</v>
      </c>
      <c r="H1049" s="138">
        <v>-6.3194652633627203E-3</v>
      </c>
      <c r="R1049">
        <v>151.81019040947916</v>
      </c>
      <c r="S1049">
        <v>54.945913456519804</v>
      </c>
      <c r="T1049">
        <v>210.40157012155541</v>
      </c>
      <c r="U1049">
        <v>85.24054058655507</v>
      </c>
      <c r="V1049">
        <v>0</v>
      </c>
      <c r="W1049">
        <v>0</v>
      </c>
      <c r="X1049">
        <v>0.52314210591683918</v>
      </c>
      <c r="Y1049">
        <v>0.5121329381733295</v>
      </c>
      <c r="Z1049">
        <v>0.51124726500777129</v>
      </c>
      <c r="AA1049">
        <v>0.53907042400555216</v>
      </c>
      <c r="AB1049">
        <v>0.49556996867281505</v>
      </c>
      <c r="AC1049">
        <v>0.50940746761412259</v>
      </c>
      <c r="AD1049">
        <v>0.51444784591913306</v>
      </c>
      <c r="AE1049">
        <v>0.45995340026619796</v>
      </c>
      <c r="AF1049">
        <v>0</v>
      </c>
      <c r="AG1049">
        <v>0</v>
      </c>
      <c r="AH1049">
        <v>0.17006699349955545</v>
      </c>
      <c r="AI1049">
        <v>0.1611865474581787</v>
      </c>
      <c r="AJ1049">
        <v>0.1382903877237967</v>
      </c>
      <c r="AK1049">
        <v>0.14993554325662772</v>
      </c>
      <c r="AL1049">
        <v>0.14477844810204046</v>
      </c>
      <c r="AM1049">
        <v>0.14991216398379492</v>
      </c>
      <c r="AN1049">
        <v>0.14380341056719037</v>
      </c>
      <c r="AO1049">
        <v>0.15891608640163182</v>
      </c>
      <c r="AP1049">
        <v>0</v>
      </c>
      <c r="AQ1049">
        <v>0</v>
      </c>
      <c r="AR1049">
        <v>7.7074970378469203E-4</v>
      </c>
      <c r="AS1049">
        <v>4.2571788244287661E-3</v>
      </c>
      <c r="AT1049">
        <v>9.9131527518527093E-2</v>
      </c>
      <c r="AU1049">
        <v>1.8333024884617775E-3</v>
      </c>
      <c r="AV1049">
        <v>1.8408076085190937E-3</v>
      </c>
      <c r="AW1049">
        <v>3.1865507063493252E-3</v>
      </c>
      <c r="AX1049">
        <v>3.6623375759873547E-4</v>
      </c>
      <c r="AY1049">
        <v>4.1967140964895797E-4</v>
      </c>
      <c r="AZ1049">
        <v>0</v>
      </c>
      <c r="BA1049">
        <v>0</v>
      </c>
      <c r="BB1049">
        <v>4.5915889809541907E-2</v>
      </c>
      <c r="BC1049">
        <v>5.3579184205068492E-2</v>
      </c>
      <c r="BD1049">
        <v>0</v>
      </c>
      <c r="BE1049">
        <v>28956.117451745169</v>
      </c>
      <c r="BF1049">
        <v>20.001832074187586</v>
      </c>
      <c r="BG1049">
        <v>30893.358419564047</v>
      </c>
      <c r="BH1049">
        <v>19.923381855980161</v>
      </c>
    </row>
    <row r="1050" spans="3:60" x14ac:dyDescent="0.2">
      <c r="C1050" s="138">
        <v>29183.761111111067</v>
      </c>
      <c r="D1050">
        <v>20.030359624691737</v>
      </c>
      <c r="E1050" s="138">
        <v>31137.960202020211</v>
      </c>
      <c r="F1050" s="138">
        <v>19.953132160717605</v>
      </c>
      <c r="G1050" s="138">
        <v>-2700.8812121212145</v>
      </c>
      <c r="H1050" s="138">
        <v>-4.5154201942028526E-3</v>
      </c>
      <c r="R1050">
        <v>158.042794856195</v>
      </c>
      <c r="S1050">
        <v>55.340669832454388</v>
      </c>
      <c r="T1050">
        <v>211.98056464023389</v>
      </c>
      <c r="U1050">
        <v>85.8491571633879</v>
      </c>
      <c r="V1050">
        <v>0</v>
      </c>
      <c r="W1050">
        <v>0</v>
      </c>
      <c r="X1050">
        <v>0.53003849496936939</v>
      </c>
      <c r="Y1050">
        <v>0.51901118640019361</v>
      </c>
      <c r="Z1050">
        <v>0.51836629024844616</v>
      </c>
      <c r="AA1050">
        <v>0.54569853555739167</v>
      </c>
      <c r="AB1050">
        <v>0.50271192722430758</v>
      </c>
      <c r="AC1050">
        <v>0.51636734380658322</v>
      </c>
      <c r="AD1050">
        <v>0.52129441782468999</v>
      </c>
      <c r="AE1050">
        <v>0.467734243580814</v>
      </c>
      <c r="AF1050">
        <v>0</v>
      </c>
      <c r="AG1050">
        <v>0</v>
      </c>
      <c r="AH1050">
        <v>0.17546123689432772</v>
      </c>
      <c r="AI1050">
        <v>0.16633132537802928</v>
      </c>
      <c r="AJ1050">
        <v>0.14266227316415706</v>
      </c>
      <c r="AK1050">
        <v>0.15465534049608562</v>
      </c>
      <c r="AL1050">
        <v>0.14941434240150706</v>
      </c>
      <c r="AM1050">
        <v>0.15471130174877903</v>
      </c>
      <c r="AN1050">
        <v>0.14836180876335023</v>
      </c>
      <c r="AO1050">
        <v>0.16390258205295774</v>
      </c>
      <c r="AP1050">
        <v>0</v>
      </c>
      <c r="AQ1050">
        <v>0</v>
      </c>
      <c r="AR1050">
        <v>7.7719104574092688E-4</v>
      </c>
      <c r="AS1050">
        <v>4.2714506143547194E-3</v>
      </c>
      <c r="AT1050">
        <v>9.9191520280473414E-2</v>
      </c>
      <c r="AU1050">
        <v>1.8427421805082211E-3</v>
      </c>
      <c r="AV1050">
        <v>1.8501249998133301E-3</v>
      </c>
      <c r="AW1050">
        <v>3.1990073355112609E-3</v>
      </c>
      <c r="AX1050">
        <v>3.7035556160656659E-4</v>
      </c>
      <c r="AY1050">
        <v>4.2487844706747419E-4</v>
      </c>
      <c r="AZ1050">
        <v>0</v>
      </c>
      <c r="BA1050">
        <v>0</v>
      </c>
      <c r="BB1050">
        <v>4.6204721967603064E-2</v>
      </c>
      <c r="BC1050">
        <v>5.5153466530626263E-2</v>
      </c>
      <c r="BD1050">
        <v>0</v>
      </c>
      <c r="BE1050">
        <v>29183.759743978186</v>
      </c>
      <c r="BF1050">
        <v>20.030359624691737</v>
      </c>
      <c r="BG1050">
        <v>31137.961591568401</v>
      </c>
      <c r="BH1050">
        <v>19.953132160717605</v>
      </c>
    </row>
    <row r="1051" spans="3:60" x14ac:dyDescent="0.2">
      <c r="C1051" s="138">
        <v>29411.403333333288</v>
      </c>
      <c r="D1051">
        <v>20.058887175195888</v>
      </c>
      <c r="E1051" s="138">
        <v>31382.563333333343</v>
      </c>
      <c r="F1051" s="138">
        <v>19.982882465455049</v>
      </c>
      <c r="G1051" s="138">
        <v>-2680.0500000000025</v>
      </c>
      <c r="H1051" s="138">
        <v>-2.7113751250429849E-3</v>
      </c>
      <c r="R1051">
        <v>164.27539930291084</v>
      </c>
      <c r="S1051">
        <v>55.735426208388972</v>
      </c>
      <c r="T1051">
        <v>213.55955915891238</v>
      </c>
      <c r="U1051">
        <v>86.45777374022073</v>
      </c>
      <c r="V1051">
        <v>0</v>
      </c>
      <c r="W1051">
        <v>0</v>
      </c>
      <c r="X1051">
        <v>0.53693488402189959</v>
      </c>
      <c r="Y1051">
        <v>0.52588943462705773</v>
      </c>
      <c r="Z1051">
        <v>0.52548531548912103</v>
      </c>
      <c r="AA1051">
        <v>0.55232664710923118</v>
      </c>
      <c r="AB1051">
        <v>0.50985388577580015</v>
      </c>
      <c r="AC1051">
        <v>0.52332721999904386</v>
      </c>
      <c r="AD1051">
        <v>0.52814098973024692</v>
      </c>
      <c r="AE1051">
        <v>0.47551508689543004</v>
      </c>
      <c r="AF1051">
        <v>0</v>
      </c>
      <c r="AG1051">
        <v>0</v>
      </c>
      <c r="AH1051">
        <v>0.18085548028909998</v>
      </c>
      <c r="AI1051">
        <v>0.17147610329787985</v>
      </c>
      <c r="AJ1051">
        <v>0.14703415860451741</v>
      </c>
      <c r="AK1051">
        <v>0.15937513773554352</v>
      </c>
      <c r="AL1051">
        <v>0.15405023670097365</v>
      </c>
      <c r="AM1051">
        <v>0.15951043951376315</v>
      </c>
      <c r="AN1051">
        <v>0.15292020695951009</v>
      </c>
      <c r="AO1051">
        <v>0.16888907770428366</v>
      </c>
      <c r="AP1051">
        <v>0</v>
      </c>
      <c r="AQ1051">
        <v>0</v>
      </c>
      <c r="AR1051">
        <v>7.8363238769716174E-4</v>
      </c>
      <c r="AS1051">
        <v>4.2857224042806728E-3</v>
      </c>
      <c r="AT1051">
        <v>9.9251513042419734E-2</v>
      </c>
      <c r="AU1051">
        <v>1.8521818725546646E-3</v>
      </c>
      <c r="AV1051">
        <v>1.8594423911075665E-3</v>
      </c>
      <c r="AW1051">
        <v>3.2114639646731967E-3</v>
      </c>
      <c r="AX1051">
        <v>3.7447736561439771E-4</v>
      </c>
      <c r="AY1051">
        <v>4.3008548448599042E-4</v>
      </c>
      <c r="AZ1051">
        <v>0</v>
      </c>
      <c r="BA1051">
        <v>0</v>
      </c>
      <c r="BB1051">
        <v>4.6493554125664222E-2</v>
      </c>
      <c r="BC1051">
        <v>5.6727748856184035E-2</v>
      </c>
      <c r="BD1051">
        <v>0</v>
      </c>
      <c r="BE1051">
        <v>29411.402036211202</v>
      </c>
      <c r="BF1051">
        <v>20.058887175195888</v>
      </c>
      <c r="BG1051">
        <v>31382.564763572755</v>
      </c>
      <c r="BH1051">
        <v>19.982882465455049</v>
      </c>
    </row>
    <row r="1052" spans="3:60" x14ac:dyDescent="0.2">
      <c r="C1052" s="138">
        <v>29639.045555555509</v>
      </c>
      <c r="D1052">
        <v>20.087414725700039</v>
      </c>
      <c r="E1052" s="138">
        <v>31627.166464646474</v>
      </c>
      <c r="F1052" s="138">
        <v>20.012632770192493</v>
      </c>
      <c r="G1052" s="138">
        <v>-2659.2187878787904</v>
      </c>
      <c r="H1052" s="138">
        <v>-9.0733005588311739E-4</v>
      </c>
      <c r="R1052">
        <v>170.50800374962668</v>
      </c>
      <c r="S1052">
        <v>56.130182584323556</v>
      </c>
      <c r="T1052">
        <v>215.13855367759086</v>
      </c>
      <c r="U1052">
        <v>87.06639031705356</v>
      </c>
      <c r="V1052">
        <v>0</v>
      </c>
      <c r="W1052">
        <v>0</v>
      </c>
      <c r="X1052">
        <v>0.5438312730744298</v>
      </c>
      <c r="Y1052">
        <v>0.53276768285392184</v>
      </c>
      <c r="Z1052">
        <v>0.5326043407297959</v>
      </c>
      <c r="AA1052">
        <v>0.55895475866107069</v>
      </c>
      <c r="AB1052">
        <v>0.51699584432729273</v>
      </c>
      <c r="AC1052">
        <v>0.53028709619150449</v>
      </c>
      <c r="AD1052">
        <v>0.53498756163580385</v>
      </c>
      <c r="AE1052">
        <v>0.48329593021004608</v>
      </c>
      <c r="AF1052">
        <v>0</v>
      </c>
      <c r="AG1052">
        <v>0</v>
      </c>
      <c r="AH1052">
        <v>0.18624972368387224</v>
      </c>
      <c r="AI1052">
        <v>0.17662088121773042</v>
      </c>
      <c r="AJ1052">
        <v>0.15140604404487776</v>
      </c>
      <c r="AK1052">
        <v>0.16409493497500141</v>
      </c>
      <c r="AL1052">
        <v>0.15868613100044024</v>
      </c>
      <c r="AM1052">
        <v>0.16430957727874726</v>
      </c>
      <c r="AN1052">
        <v>0.15747860515566994</v>
      </c>
      <c r="AO1052">
        <v>0.17387557335560958</v>
      </c>
      <c r="AP1052">
        <v>0</v>
      </c>
      <c r="AQ1052">
        <v>0</v>
      </c>
      <c r="AR1052">
        <v>7.9007372965339659E-4</v>
      </c>
      <c r="AS1052">
        <v>4.2999941942066262E-3</v>
      </c>
      <c r="AT1052">
        <v>9.9311505804366054E-2</v>
      </c>
      <c r="AU1052">
        <v>1.8616215646011082E-3</v>
      </c>
      <c r="AV1052">
        <v>1.8687597824018029E-3</v>
      </c>
      <c r="AW1052">
        <v>3.2239205938351325E-3</v>
      </c>
      <c r="AX1052">
        <v>3.7859916962222883E-4</v>
      </c>
      <c r="AY1052">
        <v>4.3529252190450664E-4</v>
      </c>
      <c r="AZ1052">
        <v>0</v>
      </c>
      <c r="BA1052">
        <v>0</v>
      </c>
      <c r="BB1052">
        <v>4.6782386283725379E-2</v>
      </c>
      <c r="BC1052">
        <v>5.8302031181741806E-2</v>
      </c>
      <c r="BD1052">
        <v>0</v>
      </c>
      <c r="BE1052">
        <v>29639.044328444219</v>
      </c>
      <c r="BF1052">
        <v>20.087414725700039</v>
      </c>
      <c r="BG1052">
        <v>31627.167935577108</v>
      </c>
      <c r="BH1052">
        <v>20.012632770192493</v>
      </c>
    </row>
    <row r="1053" spans="3:60" x14ac:dyDescent="0.2">
      <c r="C1053" s="138">
        <v>29866.68777777773</v>
      </c>
      <c r="D1053">
        <v>20.115942276204191</v>
      </c>
      <c r="E1053" s="138">
        <v>31871.769595959606</v>
      </c>
      <c r="F1053" s="138">
        <v>20.042383074929937</v>
      </c>
      <c r="G1053" s="138">
        <v>-2638.3875757575784</v>
      </c>
      <c r="H1053" s="138">
        <v>8.9671501327675011E-4</v>
      </c>
      <c r="R1053">
        <v>176.74060819634252</v>
      </c>
      <c r="S1053">
        <v>56.52493896025814</v>
      </c>
      <c r="T1053">
        <v>216.71754819626935</v>
      </c>
      <c r="U1053">
        <v>87.67500689388639</v>
      </c>
      <c r="V1053">
        <v>0</v>
      </c>
      <c r="W1053">
        <v>0</v>
      </c>
      <c r="X1053">
        <v>0.55072766212696</v>
      </c>
      <c r="Y1053">
        <v>0.53964593108078596</v>
      </c>
      <c r="Z1053">
        <v>0.53972336597047077</v>
      </c>
      <c r="AA1053">
        <v>0.5655828702129102</v>
      </c>
      <c r="AB1053">
        <v>0.52413780287878531</v>
      </c>
      <c r="AC1053">
        <v>0.53724697238396513</v>
      </c>
      <c r="AD1053">
        <v>0.54183413354136079</v>
      </c>
      <c r="AE1053">
        <v>0.49107677352466211</v>
      </c>
      <c r="AF1053">
        <v>0</v>
      </c>
      <c r="AG1053">
        <v>0</v>
      </c>
      <c r="AH1053">
        <v>0.19164396707864451</v>
      </c>
      <c r="AI1053">
        <v>0.181765659137581</v>
      </c>
      <c r="AJ1053">
        <v>0.15577792948523811</v>
      </c>
      <c r="AK1053">
        <v>0.16881473221445931</v>
      </c>
      <c r="AL1053">
        <v>0.16332202529990683</v>
      </c>
      <c r="AM1053">
        <v>0.16910871504373137</v>
      </c>
      <c r="AN1053">
        <v>0.1620370033518298</v>
      </c>
      <c r="AO1053">
        <v>0.17886206900693549</v>
      </c>
      <c r="AP1053">
        <v>0</v>
      </c>
      <c r="AQ1053">
        <v>0</v>
      </c>
      <c r="AR1053">
        <v>7.9651507160963145E-4</v>
      </c>
      <c r="AS1053">
        <v>4.3142659841325795E-3</v>
      </c>
      <c r="AT1053">
        <v>9.9371498566312375E-2</v>
      </c>
      <c r="AU1053">
        <v>1.8710612566475518E-3</v>
      </c>
      <c r="AV1053">
        <v>1.8780771736960392E-3</v>
      </c>
      <c r="AW1053">
        <v>3.2363772229970682E-3</v>
      </c>
      <c r="AX1053">
        <v>3.8272097363005995E-4</v>
      </c>
      <c r="AY1053">
        <v>4.4049955932302286E-4</v>
      </c>
      <c r="AZ1053">
        <v>0</v>
      </c>
      <c r="BA1053">
        <v>0</v>
      </c>
      <c r="BB1053">
        <v>4.7071218441786536E-2</v>
      </c>
      <c r="BC1053">
        <v>5.9876313507299578E-2</v>
      </c>
      <c r="BD1053">
        <v>0</v>
      </c>
      <c r="BE1053">
        <v>29866.686620677236</v>
      </c>
      <c r="BF1053">
        <v>20.115942276204191</v>
      </c>
      <c r="BG1053">
        <v>31871.771107581462</v>
      </c>
      <c r="BH1053">
        <v>20.042383074929937</v>
      </c>
    </row>
    <row r="1054" spans="3:60" x14ac:dyDescent="0.2">
      <c r="C1054" s="138">
        <v>30094.329999999951</v>
      </c>
      <c r="D1054">
        <v>20.144469826708342</v>
      </c>
      <c r="E1054" s="138">
        <v>32116.372727272737</v>
      </c>
      <c r="F1054" s="138">
        <v>20.072133379667381</v>
      </c>
      <c r="G1054" s="138">
        <v>-2617.5563636363663</v>
      </c>
      <c r="H1054" s="138">
        <v>2.7007600824366174E-3</v>
      </c>
      <c r="R1054">
        <v>182.97321264305836</v>
      </c>
      <c r="S1054">
        <v>56.919695336192724</v>
      </c>
      <c r="T1054">
        <v>218.29654271494783</v>
      </c>
      <c r="U1054">
        <v>88.28362347071922</v>
      </c>
      <c r="V1054">
        <v>0</v>
      </c>
      <c r="W1054">
        <v>0</v>
      </c>
      <c r="X1054">
        <v>0.55762405117949021</v>
      </c>
      <c r="Y1054">
        <v>0.54652417930765007</v>
      </c>
      <c r="Z1054">
        <v>0.54684239121114564</v>
      </c>
      <c r="AA1054">
        <v>0.57221098176474972</v>
      </c>
      <c r="AB1054">
        <v>0.53127976143027789</v>
      </c>
      <c r="AC1054">
        <v>0.54420684857642576</v>
      </c>
      <c r="AD1054">
        <v>0.54868070544691772</v>
      </c>
      <c r="AE1054">
        <v>0.49885761683927815</v>
      </c>
      <c r="AF1054">
        <v>0</v>
      </c>
      <c r="AG1054">
        <v>0</v>
      </c>
      <c r="AH1054">
        <v>0.19703821047341677</v>
      </c>
      <c r="AI1054">
        <v>0.18691043705743157</v>
      </c>
      <c r="AJ1054">
        <v>0.16014981492559846</v>
      </c>
      <c r="AK1054">
        <v>0.1735345294539172</v>
      </c>
      <c r="AL1054">
        <v>0.16795791959937342</v>
      </c>
      <c r="AM1054">
        <v>0.17390785280871549</v>
      </c>
      <c r="AN1054">
        <v>0.16659540154798966</v>
      </c>
      <c r="AO1054">
        <v>0.18384856465826141</v>
      </c>
      <c r="AP1054">
        <v>0</v>
      </c>
      <c r="AQ1054">
        <v>0</v>
      </c>
      <c r="AR1054">
        <v>8.029564135658663E-4</v>
      </c>
      <c r="AS1054">
        <v>4.3285377740585329E-3</v>
      </c>
      <c r="AT1054">
        <v>9.9431491328258695E-2</v>
      </c>
      <c r="AU1054">
        <v>1.8805009486939953E-3</v>
      </c>
      <c r="AV1054">
        <v>1.8873945649902756E-3</v>
      </c>
      <c r="AW1054">
        <v>3.248833852159004E-3</v>
      </c>
      <c r="AX1054">
        <v>3.8684277763789107E-4</v>
      </c>
      <c r="AY1054">
        <v>4.4570659674153908E-4</v>
      </c>
      <c r="AZ1054">
        <v>0</v>
      </c>
      <c r="BA1054">
        <v>0</v>
      </c>
      <c r="BB1054">
        <v>4.7360050599847693E-2</v>
      </c>
      <c r="BC1054">
        <v>6.1450595832857349E-2</v>
      </c>
      <c r="BD1054">
        <v>0</v>
      </c>
      <c r="BE1054">
        <v>30094.328912910252</v>
      </c>
      <c r="BF1054">
        <v>20.144469826708342</v>
      </c>
      <c r="BG1054">
        <v>32116.374279585816</v>
      </c>
      <c r="BH1054">
        <v>20.072133379667381</v>
      </c>
    </row>
    <row r="1055" spans="3:60" x14ac:dyDescent="0.2">
      <c r="C1055" s="138">
        <v>30321.972222222172</v>
      </c>
      <c r="D1055">
        <v>20.172997377212493</v>
      </c>
      <c r="E1055" s="138">
        <v>32360.975858585869</v>
      </c>
      <c r="F1055" s="138">
        <v>20.101883684404825</v>
      </c>
      <c r="G1055" s="138">
        <v>-2596.7251515151543</v>
      </c>
      <c r="H1055" s="138">
        <v>4.5048051515964851E-3</v>
      </c>
      <c r="R1055">
        <v>189.2058170897742</v>
      </c>
      <c r="S1055">
        <v>57.314451712127308</v>
      </c>
      <c r="T1055">
        <v>219.87553723362632</v>
      </c>
      <c r="U1055">
        <v>88.89224004755205</v>
      </c>
      <c r="V1055">
        <v>0</v>
      </c>
      <c r="W1055">
        <v>0</v>
      </c>
      <c r="X1055">
        <v>0.56452044023202042</v>
      </c>
      <c r="Y1055">
        <v>0.55340242753451419</v>
      </c>
      <c r="Z1055">
        <v>0.55396141645182051</v>
      </c>
      <c r="AA1055">
        <v>0.57883909331658923</v>
      </c>
      <c r="AB1055">
        <v>0.53842171998177046</v>
      </c>
      <c r="AC1055">
        <v>0.5511667247688864</v>
      </c>
      <c r="AD1055">
        <v>0.55552727735247465</v>
      </c>
      <c r="AE1055">
        <v>0.50663846015389424</v>
      </c>
      <c r="AF1055">
        <v>0</v>
      </c>
      <c r="AG1055">
        <v>0</v>
      </c>
      <c r="AH1055">
        <v>0.20243245386818903</v>
      </c>
      <c r="AI1055">
        <v>0.19205521497728215</v>
      </c>
      <c r="AJ1055">
        <v>0.16452170036595881</v>
      </c>
      <c r="AK1055">
        <v>0.1782543266933751</v>
      </c>
      <c r="AL1055">
        <v>0.17259381389884002</v>
      </c>
      <c r="AM1055">
        <v>0.1787069905736996</v>
      </c>
      <c r="AN1055">
        <v>0.17115379974414952</v>
      </c>
      <c r="AO1055">
        <v>0.18883506030958733</v>
      </c>
      <c r="AP1055">
        <v>0</v>
      </c>
      <c r="AQ1055">
        <v>0</v>
      </c>
      <c r="AR1055">
        <v>8.0939775552210116E-4</v>
      </c>
      <c r="AS1055">
        <v>4.3428095639844863E-3</v>
      </c>
      <c r="AT1055">
        <v>9.9491484090205015E-2</v>
      </c>
      <c r="AU1055">
        <v>1.8899406407404389E-3</v>
      </c>
      <c r="AV1055">
        <v>1.896711956284512E-3</v>
      </c>
      <c r="AW1055">
        <v>3.2612904813209397E-3</v>
      </c>
      <c r="AX1055">
        <v>3.9096458164572219E-4</v>
      </c>
      <c r="AY1055">
        <v>4.509136341600553E-4</v>
      </c>
      <c r="AZ1055">
        <v>0</v>
      </c>
      <c r="BA1055">
        <v>0</v>
      </c>
      <c r="BB1055">
        <v>4.764888275790885E-2</v>
      </c>
      <c r="BC1055">
        <v>6.3024878158415121E-2</v>
      </c>
      <c r="BD1055">
        <v>0</v>
      </c>
      <c r="BE1055">
        <v>30321.971205143269</v>
      </c>
      <c r="BF1055">
        <v>20.172997377212493</v>
      </c>
      <c r="BG1055">
        <v>32360.97745159017</v>
      </c>
      <c r="BH1055">
        <v>20.101883684404825</v>
      </c>
    </row>
    <row r="1056" spans="3:60" x14ac:dyDescent="0.2">
      <c r="C1056" s="138">
        <v>30549.614444444393</v>
      </c>
      <c r="D1056">
        <v>20.201524927716644</v>
      </c>
      <c r="E1056" s="138">
        <v>32605.578989899001</v>
      </c>
      <c r="F1056" s="138">
        <v>20.131633989142269</v>
      </c>
      <c r="G1056" s="138">
        <v>-2575.8939393939422</v>
      </c>
      <c r="H1056" s="138">
        <v>6.3088502207563528E-3</v>
      </c>
      <c r="R1056">
        <v>195.43842153649004</v>
      </c>
      <c r="S1056">
        <v>57.709208088061892</v>
      </c>
      <c r="T1056">
        <v>221.4545317523048</v>
      </c>
      <c r="U1056">
        <v>89.50085662438488</v>
      </c>
      <c r="V1056">
        <v>0</v>
      </c>
      <c r="W1056">
        <v>0</v>
      </c>
      <c r="X1056">
        <v>0.57141682928455062</v>
      </c>
      <c r="Y1056">
        <v>0.5602806757613783</v>
      </c>
      <c r="Z1056">
        <v>0.56108044169249538</v>
      </c>
      <c r="AA1056">
        <v>0.58546720486842874</v>
      </c>
      <c r="AB1056">
        <v>0.54556367853326304</v>
      </c>
      <c r="AC1056">
        <v>0.55812660096134703</v>
      </c>
      <c r="AD1056">
        <v>0.56237384925803158</v>
      </c>
      <c r="AE1056">
        <v>0.51441930346851028</v>
      </c>
      <c r="AF1056">
        <v>0</v>
      </c>
      <c r="AG1056">
        <v>0</v>
      </c>
      <c r="AH1056">
        <v>0.2078266972629613</v>
      </c>
      <c r="AI1056">
        <v>0.19719999289713272</v>
      </c>
      <c r="AJ1056">
        <v>0.16889358580631916</v>
      </c>
      <c r="AK1056">
        <v>0.18297412393283299</v>
      </c>
      <c r="AL1056">
        <v>0.17722970819830661</v>
      </c>
      <c r="AM1056">
        <v>0.18350612833868371</v>
      </c>
      <c r="AN1056">
        <v>0.17571219794030937</v>
      </c>
      <c r="AO1056">
        <v>0.19382155596091324</v>
      </c>
      <c r="AP1056">
        <v>0</v>
      </c>
      <c r="AQ1056">
        <v>0</v>
      </c>
      <c r="AR1056">
        <v>8.1583909747833601E-4</v>
      </c>
      <c r="AS1056">
        <v>4.3570813539104396E-3</v>
      </c>
      <c r="AT1056">
        <v>9.9551476852151335E-2</v>
      </c>
      <c r="AU1056">
        <v>1.8993803327868825E-3</v>
      </c>
      <c r="AV1056">
        <v>1.9060293475787484E-3</v>
      </c>
      <c r="AW1056">
        <v>3.2737471104828755E-3</v>
      </c>
      <c r="AX1056">
        <v>3.9508638565355331E-4</v>
      </c>
      <c r="AY1056">
        <v>4.5612067157857153E-4</v>
      </c>
      <c r="AZ1056">
        <v>0</v>
      </c>
      <c r="BA1056">
        <v>0</v>
      </c>
      <c r="BB1056">
        <v>4.7937714915970008E-2</v>
      </c>
      <c r="BC1056">
        <v>6.4599160483972892E-2</v>
      </c>
      <c r="BD1056">
        <v>0</v>
      </c>
      <c r="BE1056">
        <v>30549.613497376286</v>
      </c>
      <c r="BF1056">
        <v>20.201524927716644</v>
      </c>
      <c r="BG1056">
        <v>32605.580623594524</v>
      </c>
      <c r="BH1056">
        <v>20.131633989142269</v>
      </c>
    </row>
    <row r="1057" spans="3:60" x14ac:dyDescent="0.2">
      <c r="C1057" s="138">
        <v>30777.256666666613</v>
      </c>
      <c r="D1057">
        <v>20.230052478220795</v>
      </c>
      <c r="E1057" s="138">
        <v>32850.182121212129</v>
      </c>
      <c r="F1057" s="138">
        <v>20.161384293879713</v>
      </c>
      <c r="G1057" s="138">
        <v>-2555.0627272727302</v>
      </c>
      <c r="H1057" s="138">
        <v>8.1128952899162197E-3</v>
      </c>
      <c r="R1057">
        <v>201.67102598320588</v>
      </c>
      <c r="S1057">
        <v>58.103964463996476</v>
      </c>
      <c r="T1057">
        <v>223.03352627098329</v>
      </c>
      <c r="U1057">
        <v>90.10947320121771</v>
      </c>
      <c r="V1057">
        <v>0</v>
      </c>
      <c r="W1057">
        <v>0</v>
      </c>
      <c r="X1057">
        <v>0.57831321833708083</v>
      </c>
      <c r="Y1057">
        <v>0.56715892398824241</v>
      </c>
      <c r="Z1057">
        <v>0.56819946693317025</v>
      </c>
      <c r="AA1057">
        <v>0.59209531642026825</v>
      </c>
      <c r="AB1057">
        <v>0.55270563708475562</v>
      </c>
      <c r="AC1057">
        <v>0.56508647715380766</v>
      </c>
      <c r="AD1057">
        <v>0.56922042116358851</v>
      </c>
      <c r="AE1057">
        <v>0.52220014678312632</v>
      </c>
      <c r="AF1057">
        <v>0</v>
      </c>
      <c r="AG1057">
        <v>0</v>
      </c>
      <c r="AH1057">
        <v>0.21322094065773356</v>
      </c>
      <c r="AI1057">
        <v>0.20234477081698329</v>
      </c>
      <c r="AJ1057">
        <v>0.17326547124667951</v>
      </c>
      <c r="AK1057">
        <v>0.18769392117229089</v>
      </c>
      <c r="AL1057">
        <v>0.1818656024977732</v>
      </c>
      <c r="AM1057">
        <v>0.18830526610366782</v>
      </c>
      <c r="AN1057">
        <v>0.18027059613646923</v>
      </c>
      <c r="AO1057">
        <v>0.19880805161223916</v>
      </c>
      <c r="AP1057">
        <v>0</v>
      </c>
      <c r="AQ1057">
        <v>0</v>
      </c>
      <c r="AR1057">
        <v>8.2228043943457087E-4</v>
      </c>
      <c r="AS1057">
        <v>4.371353143836393E-3</v>
      </c>
      <c r="AT1057">
        <v>9.9611469614097656E-2</v>
      </c>
      <c r="AU1057">
        <v>1.908820024833326E-3</v>
      </c>
      <c r="AV1057">
        <v>1.9153467388729848E-3</v>
      </c>
      <c r="AW1057">
        <v>3.2862037396448112E-3</v>
      </c>
      <c r="AX1057">
        <v>3.9920818966138443E-4</v>
      </c>
      <c r="AY1057">
        <v>4.6132770899708775E-4</v>
      </c>
      <c r="AZ1057">
        <v>0</v>
      </c>
      <c r="BA1057">
        <v>0</v>
      </c>
      <c r="BB1057">
        <v>4.8226547074031165E-2</v>
      </c>
      <c r="BC1057">
        <v>6.6173442809530664E-2</v>
      </c>
      <c r="BD1057">
        <v>0</v>
      </c>
      <c r="BE1057">
        <v>30777.255789609302</v>
      </c>
      <c r="BF1057">
        <v>20.230052478220795</v>
      </c>
      <c r="BG1057">
        <v>32850.183795598881</v>
      </c>
      <c r="BH1057">
        <v>20.161384293879713</v>
      </c>
    </row>
    <row r="1058" spans="3:60" x14ac:dyDescent="0.2">
      <c r="C1058" s="138">
        <v>31004.898888888834</v>
      </c>
      <c r="D1058">
        <v>20.258580028724946</v>
      </c>
      <c r="E1058" s="138">
        <v>33094.78525252526</v>
      </c>
      <c r="F1058" s="138">
        <v>20.191134598617158</v>
      </c>
      <c r="G1058" s="138">
        <v>-2534.2315151515181</v>
      </c>
      <c r="H1058" s="138">
        <v>9.9169403590760874E-3</v>
      </c>
      <c r="R1058">
        <v>207.90363042992172</v>
      </c>
      <c r="S1058">
        <v>58.49872083993106</v>
      </c>
      <c r="T1058">
        <v>224.61252078966177</v>
      </c>
      <c r="U1058">
        <v>90.71808977805054</v>
      </c>
      <c r="V1058">
        <v>0</v>
      </c>
      <c r="W1058">
        <v>0</v>
      </c>
      <c r="X1058">
        <v>0.58520960738961103</v>
      </c>
      <c r="Y1058">
        <v>0.57403717221510653</v>
      </c>
      <c r="Z1058">
        <v>0.57531849217384512</v>
      </c>
      <c r="AA1058">
        <v>0.59872342797210776</v>
      </c>
      <c r="AB1058">
        <v>0.5598475956362482</v>
      </c>
      <c r="AC1058">
        <v>0.5720463533462683</v>
      </c>
      <c r="AD1058">
        <v>0.57606699306914544</v>
      </c>
      <c r="AE1058">
        <v>0.52998099009774235</v>
      </c>
      <c r="AF1058">
        <v>0</v>
      </c>
      <c r="AG1058">
        <v>0</v>
      </c>
      <c r="AH1058">
        <v>0.21861518405250582</v>
      </c>
      <c r="AI1058">
        <v>0.20748954873683387</v>
      </c>
      <c r="AJ1058">
        <v>0.17763735668703987</v>
      </c>
      <c r="AK1058">
        <v>0.19241371841174879</v>
      </c>
      <c r="AL1058">
        <v>0.18650149679723979</v>
      </c>
      <c r="AM1058">
        <v>0.19310440386865194</v>
      </c>
      <c r="AN1058">
        <v>0.18482899433262909</v>
      </c>
      <c r="AO1058">
        <v>0.20379454726356508</v>
      </c>
      <c r="AP1058">
        <v>0</v>
      </c>
      <c r="AQ1058">
        <v>0</v>
      </c>
      <c r="AR1058">
        <v>8.2872178139080572E-4</v>
      </c>
      <c r="AS1058">
        <v>4.3856249337623464E-3</v>
      </c>
      <c r="AT1058">
        <v>9.9671462376043976E-2</v>
      </c>
      <c r="AU1058">
        <v>1.9182597168797696E-3</v>
      </c>
      <c r="AV1058">
        <v>1.9246641301672212E-3</v>
      </c>
      <c r="AW1058">
        <v>3.298660368806747E-3</v>
      </c>
      <c r="AX1058">
        <v>4.0332999366921555E-4</v>
      </c>
      <c r="AY1058">
        <v>4.6653474641560397E-4</v>
      </c>
      <c r="AZ1058">
        <v>0</v>
      </c>
      <c r="BA1058">
        <v>0</v>
      </c>
      <c r="BB1058">
        <v>4.8515379232092322E-2</v>
      </c>
      <c r="BC1058">
        <v>6.7747725135088435E-2</v>
      </c>
      <c r="BD1058">
        <v>0</v>
      </c>
      <c r="BE1058">
        <v>31004.898081842319</v>
      </c>
      <c r="BF1058">
        <v>20.258580028724946</v>
      </c>
      <c r="BG1058">
        <v>33094.786967603235</v>
      </c>
      <c r="BH1058">
        <v>20.191134598617158</v>
      </c>
    </row>
    <row r="1059" spans="3:60" x14ac:dyDescent="0.2">
      <c r="C1059" s="138">
        <v>31232.541111111055</v>
      </c>
      <c r="D1059">
        <v>20.287107579229097</v>
      </c>
      <c r="E1059" s="138">
        <v>33339.388383838392</v>
      </c>
      <c r="F1059" s="138">
        <v>20.220884903354602</v>
      </c>
      <c r="G1059" s="138">
        <v>-2513.4003030303061</v>
      </c>
      <c r="H1059" s="138">
        <v>1.1720985428235955E-2</v>
      </c>
      <c r="R1059">
        <v>214.13623487663756</v>
      </c>
      <c r="S1059">
        <v>58.893477215865644</v>
      </c>
      <c r="T1059">
        <v>226.19151530834026</v>
      </c>
      <c r="U1059">
        <v>91.32670635488337</v>
      </c>
      <c r="V1059">
        <v>0</v>
      </c>
      <c r="W1059">
        <v>0</v>
      </c>
      <c r="X1059">
        <v>0.59210599644214124</v>
      </c>
      <c r="Y1059">
        <v>0.58091542044197064</v>
      </c>
      <c r="Z1059">
        <v>0.58243751741451999</v>
      </c>
      <c r="AA1059">
        <v>0.60535153952394727</v>
      </c>
      <c r="AB1059">
        <v>0.56698955418774077</v>
      </c>
      <c r="AC1059">
        <v>0.57900622953872893</v>
      </c>
      <c r="AD1059">
        <v>0.58291356497470237</v>
      </c>
      <c r="AE1059">
        <v>0.53776183341235839</v>
      </c>
      <c r="AF1059">
        <v>0</v>
      </c>
      <c r="AG1059">
        <v>0</v>
      </c>
      <c r="AH1059">
        <v>0.22400942744727809</v>
      </c>
      <c r="AI1059">
        <v>0.21263432665668444</v>
      </c>
      <c r="AJ1059">
        <v>0.18200924212740022</v>
      </c>
      <c r="AK1059">
        <v>0.19713351565120668</v>
      </c>
      <c r="AL1059">
        <v>0.19113739109670638</v>
      </c>
      <c r="AM1059">
        <v>0.19790354163363605</v>
      </c>
      <c r="AN1059">
        <v>0.18938739252878894</v>
      </c>
      <c r="AO1059">
        <v>0.208781042914891</v>
      </c>
      <c r="AP1059">
        <v>0</v>
      </c>
      <c r="AQ1059">
        <v>0</v>
      </c>
      <c r="AR1059">
        <v>8.3516312334704058E-4</v>
      </c>
      <c r="AS1059">
        <v>4.3998967236882998E-3</v>
      </c>
      <c r="AT1059">
        <v>9.9731455137990296E-2</v>
      </c>
      <c r="AU1059">
        <v>1.9276994089262132E-3</v>
      </c>
      <c r="AV1059">
        <v>1.9339815214614575E-3</v>
      </c>
      <c r="AW1059">
        <v>3.3111169979686828E-3</v>
      </c>
      <c r="AX1059">
        <v>4.0745179767704667E-4</v>
      </c>
      <c r="AY1059">
        <v>4.7174178383412019E-4</v>
      </c>
      <c r="AZ1059">
        <v>0</v>
      </c>
      <c r="BA1059">
        <v>0</v>
      </c>
      <c r="BB1059">
        <v>4.8804211390153479E-2</v>
      </c>
      <c r="BC1059">
        <v>6.9322007460646207E-2</v>
      </c>
      <c r="BD1059">
        <v>0</v>
      </c>
      <c r="BE1059">
        <v>31232.540374075335</v>
      </c>
      <c r="BF1059">
        <v>20.287107579229097</v>
      </c>
      <c r="BG1059">
        <v>33339.390139607589</v>
      </c>
      <c r="BH1059">
        <v>20.220884903354602</v>
      </c>
    </row>
    <row r="1060" spans="3:60" x14ac:dyDescent="0.2">
      <c r="C1060" s="138">
        <v>31460.183333333276</v>
      </c>
      <c r="D1060">
        <v>20.315635129733248</v>
      </c>
      <c r="E1060" s="138">
        <v>33583.991515151523</v>
      </c>
      <c r="F1060" s="138">
        <v>20.250635208092046</v>
      </c>
      <c r="G1060" s="138">
        <v>-2492.569090909094</v>
      </c>
      <c r="H1060" s="138">
        <v>1.3525030497395823E-2</v>
      </c>
      <c r="R1060">
        <v>220.3688393233534</v>
      </c>
      <c r="S1060">
        <v>59.288233591800228</v>
      </c>
      <c r="T1060">
        <v>227.77050982701874</v>
      </c>
      <c r="U1060">
        <v>91.9353229317162</v>
      </c>
      <c r="V1060">
        <v>0</v>
      </c>
      <c r="W1060">
        <v>0</v>
      </c>
      <c r="X1060">
        <v>0.59900238549467144</v>
      </c>
      <c r="Y1060">
        <v>0.58779366866883476</v>
      </c>
      <c r="Z1060">
        <v>0.58955654265519486</v>
      </c>
      <c r="AA1060">
        <v>0.61197965107578678</v>
      </c>
      <c r="AB1060">
        <v>0.57413151273923335</v>
      </c>
      <c r="AC1060">
        <v>0.58596610573118957</v>
      </c>
      <c r="AD1060">
        <v>0.5897601368802593</v>
      </c>
      <c r="AE1060">
        <v>0.54554267672697443</v>
      </c>
      <c r="AF1060">
        <v>0</v>
      </c>
      <c r="AG1060">
        <v>0</v>
      </c>
      <c r="AH1060">
        <v>0.22940367084205035</v>
      </c>
      <c r="AI1060">
        <v>0.21777910457653502</v>
      </c>
      <c r="AJ1060">
        <v>0.18638112756776057</v>
      </c>
      <c r="AK1060">
        <v>0.20185331289066458</v>
      </c>
      <c r="AL1060">
        <v>0.19577328539617297</v>
      </c>
      <c r="AM1060">
        <v>0.20270267939862016</v>
      </c>
      <c r="AN1060">
        <v>0.1939457907249488</v>
      </c>
      <c r="AO1060">
        <v>0.21376753856621691</v>
      </c>
      <c r="AP1060">
        <v>0</v>
      </c>
      <c r="AQ1060">
        <v>0</v>
      </c>
      <c r="AR1060">
        <v>8.4160446530327543E-4</v>
      </c>
      <c r="AS1060">
        <v>4.4141685136142531E-3</v>
      </c>
      <c r="AT1060">
        <v>9.9791447899936617E-2</v>
      </c>
      <c r="AU1060">
        <v>1.9371391009726567E-3</v>
      </c>
      <c r="AV1060">
        <v>1.9432989127556939E-3</v>
      </c>
      <c r="AW1060">
        <v>3.3235736271306185E-3</v>
      </c>
      <c r="AX1060">
        <v>4.115736016848778E-4</v>
      </c>
      <c r="AY1060">
        <v>4.7694882125263641E-4</v>
      </c>
      <c r="AZ1060">
        <v>0</v>
      </c>
      <c r="BA1060">
        <v>0</v>
      </c>
      <c r="BB1060">
        <v>4.9093043548214636E-2</v>
      </c>
      <c r="BC1060">
        <v>7.0896289786203978E-2</v>
      </c>
      <c r="BD1060">
        <v>0</v>
      </c>
      <c r="BE1060">
        <v>31460.182666308352</v>
      </c>
      <c r="BF1060">
        <v>20.315635129733248</v>
      </c>
      <c r="BG1060">
        <v>33583.993311611943</v>
      </c>
      <c r="BH1060">
        <v>20.250635208092046</v>
      </c>
    </row>
    <row r="1061" spans="3:60" x14ac:dyDescent="0.2">
      <c r="C1061" s="138">
        <v>31687.825555555497</v>
      </c>
      <c r="D1061">
        <v>20.3441626802374</v>
      </c>
      <c r="E1061" s="138">
        <v>33828.594646464655</v>
      </c>
      <c r="F1061" s="138">
        <v>20.28038551282949</v>
      </c>
      <c r="G1061" s="138">
        <v>-2471.737878787882</v>
      </c>
      <c r="H1061" s="138">
        <v>1.5329075566555691E-2</v>
      </c>
      <c r="R1061">
        <v>226.60144377006924</v>
      </c>
      <c r="S1061">
        <v>59.682989967734812</v>
      </c>
      <c r="T1061">
        <v>229.34950434569723</v>
      </c>
      <c r="U1061">
        <v>92.54393950854903</v>
      </c>
      <c r="V1061">
        <v>0</v>
      </c>
      <c r="W1061">
        <v>0</v>
      </c>
      <c r="X1061">
        <v>0.60589877454720165</v>
      </c>
      <c r="Y1061">
        <v>0.59467191689569887</v>
      </c>
      <c r="Z1061">
        <v>0.59667556789586973</v>
      </c>
      <c r="AA1061">
        <v>0.61860776262762629</v>
      </c>
      <c r="AB1061">
        <v>0.58127347129072593</v>
      </c>
      <c r="AC1061">
        <v>0.5929259819236502</v>
      </c>
      <c r="AD1061">
        <v>0.59660670878581623</v>
      </c>
      <c r="AE1061">
        <v>0.55332352004159047</v>
      </c>
      <c r="AF1061">
        <v>0</v>
      </c>
      <c r="AG1061">
        <v>0</v>
      </c>
      <c r="AH1061">
        <v>0.23479791423682261</v>
      </c>
      <c r="AI1061">
        <v>0.22292388249638559</v>
      </c>
      <c r="AJ1061">
        <v>0.19075301300812092</v>
      </c>
      <c r="AK1061">
        <v>0.20657311013012247</v>
      </c>
      <c r="AL1061">
        <v>0.20040917969563957</v>
      </c>
      <c r="AM1061">
        <v>0.20750181716360427</v>
      </c>
      <c r="AN1061">
        <v>0.19850418892110866</v>
      </c>
      <c r="AO1061">
        <v>0.21875403421754283</v>
      </c>
      <c r="AP1061">
        <v>0</v>
      </c>
      <c r="AQ1061">
        <v>0</v>
      </c>
      <c r="AR1061">
        <v>8.4804580725951029E-4</v>
      </c>
      <c r="AS1061">
        <v>4.4284403035402065E-3</v>
      </c>
      <c r="AT1061">
        <v>9.9851440661882937E-2</v>
      </c>
      <c r="AU1061">
        <v>1.9465787930191003E-3</v>
      </c>
      <c r="AV1061">
        <v>1.9526163040499303E-3</v>
      </c>
      <c r="AW1061">
        <v>3.3360302562925543E-3</v>
      </c>
      <c r="AX1061">
        <v>4.1569540569270892E-4</v>
      </c>
      <c r="AY1061">
        <v>4.8215585867115264E-4</v>
      </c>
      <c r="AZ1061">
        <v>0</v>
      </c>
      <c r="BA1061">
        <v>0</v>
      </c>
      <c r="BB1061">
        <v>4.9381875706275793E-2</v>
      </c>
      <c r="BC1061">
        <v>7.247057211176175E-2</v>
      </c>
      <c r="BD1061">
        <v>0</v>
      </c>
      <c r="BE1061">
        <v>31687.824958541369</v>
      </c>
      <c r="BF1061">
        <v>20.3441626802374</v>
      </c>
      <c r="BG1061">
        <v>33828.596483616297</v>
      </c>
      <c r="BH1061">
        <v>20.28038551282949</v>
      </c>
    </row>
    <row r="1062" spans="3:60" x14ac:dyDescent="0.2">
      <c r="C1062" s="138">
        <v>31915.467777777718</v>
      </c>
      <c r="D1062">
        <v>20.372690230741551</v>
      </c>
      <c r="E1062" s="138">
        <v>34073.197777777787</v>
      </c>
      <c r="F1062" s="138">
        <v>20.310135817566934</v>
      </c>
      <c r="G1062" s="138">
        <v>-2450.9066666666699</v>
      </c>
      <c r="H1062" s="138">
        <v>1.7133120635715558E-2</v>
      </c>
      <c r="R1062">
        <v>232.83404821678508</v>
      </c>
      <c r="S1062">
        <v>60.077746343669396</v>
      </c>
      <c r="T1062">
        <v>230.92849886437571</v>
      </c>
      <c r="U1062">
        <v>93.15255608538186</v>
      </c>
      <c r="V1062">
        <v>0</v>
      </c>
      <c r="W1062">
        <v>0</v>
      </c>
      <c r="X1062">
        <v>0.61279516359973185</v>
      </c>
      <c r="Y1062">
        <v>0.60155016512256299</v>
      </c>
      <c r="Z1062">
        <v>0.6037945931365446</v>
      </c>
      <c r="AA1062">
        <v>0.6252358741794658</v>
      </c>
      <c r="AB1062">
        <v>0.58841542984221851</v>
      </c>
      <c r="AC1062">
        <v>0.59988585811611084</v>
      </c>
      <c r="AD1062">
        <v>0.60345328069137316</v>
      </c>
      <c r="AE1062">
        <v>0.5611043633562065</v>
      </c>
      <c r="AF1062">
        <v>0</v>
      </c>
      <c r="AG1062">
        <v>0</v>
      </c>
      <c r="AH1062">
        <v>0.24019215763159488</v>
      </c>
      <c r="AI1062">
        <v>0.22806866041623616</v>
      </c>
      <c r="AJ1062">
        <v>0.19512489844848127</v>
      </c>
      <c r="AK1062">
        <v>0.21129290736958037</v>
      </c>
      <c r="AL1062">
        <v>0.20504507399510616</v>
      </c>
      <c r="AM1062">
        <v>0.21230095492858839</v>
      </c>
      <c r="AN1062">
        <v>0.20306258711726852</v>
      </c>
      <c r="AO1062">
        <v>0.22374052986886875</v>
      </c>
      <c r="AP1062">
        <v>0</v>
      </c>
      <c r="AQ1062">
        <v>0</v>
      </c>
      <c r="AR1062">
        <v>8.5448714921574514E-4</v>
      </c>
      <c r="AS1062">
        <v>4.4427120934661599E-3</v>
      </c>
      <c r="AT1062">
        <v>9.9911433423829257E-2</v>
      </c>
      <c r="AU1062">
        <v>1.9560184850655436E-3</v>
      </c>
      <c r="AV1062">
        <v>1.9619336953441667E-3</v>
      </c>
      <c r="AW1062">
        <v>3.34848688545449E-3</v>
      </c>
      <c r="AX1062">
        <v>4.1981720970054004E-4</v>
      </c>
      <c r="AY1062">
        <v>4.8736289608966886E-4</v>
      </c>
      <c r="AZ1062">
        <v>0</v>
      </c>
      <c r="BA1062">
        <v>0</v>
      </c>
      <c r="BB1062">
        <v>4.9670707864336951E-2</v>
      </c>
      <c r="BC1062">
        <v>7.4044854437319521E-2</v>
      </c>
      <c r="BD1062">
        <v>0</v>
      </c>
      <c r="BE1062">
        <v>31915.467250774385</v>
      </c>
      <c r="BF1062">
        <v>20.372690230741551</v>
      </c>
      <c r="BG1062">
        <v>34073.19965562065</v>
      </c>
      <c r="BH1062">
        <v>20.310135817566934</v>
      </c>
    </row>
    <row r="1063" spans="3:60" x14ac:dyDescent="0.2">
      <c r="C1063" s="138">
        <v>32143.109999999939</v>
      </c>
      <c r="D1063">
        <v>20.401217781245702</v>
      </c>
      <c r="E1063" s="138">
        <v>34317.800909090918</v>
      </c>
      <c r="F1063" s="138">
        <v>20.339886122304378</v>
      </c>
      <c r="G1063" s="138">
        <v>-2430.0754545454579</v>
      </c>
      <c r="H1063" s="138">
        <v>1.8937165704875424E-2</v>
      </c>
      <c r="R1063">
        <v>239.06665266350092</v>
      </c>
      <c r="S1063">
        <v>60.47250271960398</v>
      </c>
      <c r="T1063">
        <v>232.5074933830542</v>
      </c>
      <c r="U1063">
        <v>93.76117266221469</v>
      </c>
      <c r="V1063">
        <v>0</v>
      </c>
      <c r="W1063">
        <v>0</v>
      </c>
      <c r="X1063">
        <v>0.61969155265226206</v>
      </c>
      <c r="Y1063">
        <v>0.6084284133494271</v>
      </c>
      <c r="Z1063">
        <v>0.61091361837721947</v>
      </c>
      <c r="AA1063">
        <v>0.63186398573130531</v>
      </c>
      <c r="AB1063">
        <v>0.59555738839371108</v>
      </c>
      <c r="AC1063">
        <v>0.60684573430857147</v>
      </c>
      <c r="AD1063">
        <v>0.61029985259693009</v>
      </c>
      <c r="AE1063">
        <v>0.56888520667082254</v>
      </c>
      <c r="AF1063">
        <v>0</v>
      </c>
      <c r="AG1063">
        <v>0</v>
      </c>
      <c r="AH1063">
        <v>0.24558640102636714</v>
      </c>
      <c r="AI1063">
        <v>0.23321343833608674</v>
      </c>
      <c r="AJ1063">
        <v>0.19949678388884162</v>
      </c>
      <c r="AK1063">
        <v>0.21601270460903826</v>
      </c>
      <c r="AL1063">
        <v>0.20968096829457275</v>
      </c>
      <c r="AM1063">
        <v>0.2171000926935725</v>
      </c>
      <c r="AN1063">
        <v>0.20762098531342837</v>
      </c>
      <c r="AO1063">
        <v>0.22872702552019467</v>
      </c>
      <c r="AP1063">
        <v>0</v>
      </c>
      <c r="AQ1063">
        <v>0</v>
      </c>
      <c r="AR1063">
        <v>8.6092849117198E-4</v>
      </c>
      <c r="AS1063">
        <v>4.4569838833921132E-3</v>
      </c>
      <c r="AT1063">
        <v>9.9971426185775578E-2</v>
      </c>
      <c r="AU1063">
        <v>1.9654581771119872E-3</v>
      </c>
      <c r="AV1063">
        <v>1.9712510866384033E-3</v>
      </c>
      <c r="AW1063">
        <v>3.3609435146164258E-3</v>
      </c>
      <c r="AX1063">
        <v>4.2393901370837116E-4</v>
      </c>
      <c r="AY1063">
        <v>4.9256993350818503E-4</v>
      </c>
      <c r="AZ1063">
        <v>0</v>
      </c>
      <c r="BA1063">
        <v>0</v>
      </c>
      <c r="BB1063">
        <v>4.9959540022398108E-2</v>
      </c>
      <c r="BC1063">
        <v>7.5619136762877293E-2</v>
      </c>
      <c r="BD1063">
        <v>0</v>
      </c>
      <c r="BE1063">
        <v>32143.109543007402</v>
      </c>
      <c r="BF1063">
        <v>20.401217781245702</v>
      </c>
      <c r="BG1063">
        <v>34317.802827625004</v>
      </c>
      <c r="BH1063">
        <v>20.339886122304378</v>
      </c>
    </row>
    <row r="1064" spans="3:60" x14ac:dyDescent="0.2">
      <c r="C1064" s="138">
        <v>32370.75222222216</v>
      </c>
      <c r="D1064">
        <v>20.429745331749853</v>
      </c>
      <c r="E1064" s="138">
        <v>34562.40404040405</v>
      </c>
      <c r="F1064" s="138">
        <v>20.369636427041822</v>
      </c>
      <c r="G1064" s="138">
        <v>-2409.2442424242458</v>
      </c>
      <c r="H1064" s="138">
        <v>2.074121077403529E-2</v>
      </c>
      <c r="R1064">
        <v>245.29925711021676</v>
      </c>
      <c r="S1064">
        <v>60.867259095538564</v>
      </c>
      <c r="T1064">
        <v>234.08648790173268</v>
      </c>
      <c r="U1064">
        <v>94.36978923904752</v>
      </c>
      <c r="V1064">
        <v>0</v>
      </c>
      <c r="W1064">
        <v>0</v>
      </c>
      <c r="X1064">
        <v>0.62658794170479226</v>
      </c>
      <c r="Y1064">
        <v>0.61530666157629121</v>
      </c>
      <c r="Z1064">
        <v>0.61803264361789434</v>
      </c>
      <c r="AA1064">
        <v>0.63849209728314482</v>
      </c>
      <c r="AB1064">
        <v>0.60269934694520366</v>
      </c>
      <c r="AC1064">
        <v>0.61380561050103211</v>
      </c>
      <c r="AD1064">
        <v>0.61714642450248702</v>
      </c>
      <c r="AE1064">
        <v>0.57666604998543858</v>
      </c>
      <c r="AF1064">
        <v>0</v>
      </c>
      <c r="AG1064">
        <v>0</v>
      </c>
      <c r="AH1064">
        <v>0.25098064442113943</v>
      </c>
      <c r="AI1064">
        <v>0.23835821625593731</v>
      </c>
      <c r="AJ1064">
        <v>0.20386866932920197</v>
      </c>
      <c r="AK1064">
        <v>0.22073250184849616</v>
      </c>
      <c r="AL1064">
        <v>0.21431686259403934</v>
      </c>
      <c r="AM1064">
        <v>0.22189923045855661</v>
      </c>
      <c r="AN1064">
        <v>0.21217938350958823</v>
      </c>
      <c r="AO1064">
        <v>0.23371352117152058</v>
      </c>
      <c r="AP1064">
        <v>0</v>
      </c>
      <c r="AQ1064">
        <v>0</v>
      </c>
      <c r="AR1064">
        <v>8.6736983312821485E-4</v>
      </c>
      <c r="AS1064">
        <v>4.4712556733180666E-3</v>
      </c>
      <c r="AT1064">
        <v>0.1000314189477219</v>
      </c>
      <c r="AU1064">
        <v>1.9748978691584308E-3</v>
      </c>
      <c r="AV1064">
        <v>1.9805684779326399E-3</v>
      </c>
      <c r="AW1064">
        <v>3.3734001437783615E-3</v>
      </c>
      <c r="AX1064">
        <v>4.2806081771620228E-4</v>
      </c>
      <c r="AY1064">
        <v>4.9777697092670125E-4</v>
      </c>
      <c r="AZ1064">
        <v>0</v>
      </c>
      <c r="BA1064">
        <v>0</v>
      </c>
      <c r="BB1064">
        <v>5.0248372180459265E-2</v>
      </c>
      <c r="BC1064">
        <v>7.7193419088435064E-2</v>
      </c>
      <c r="BD1064">
        <v>0</v>
      </c>
      <c r="BE1064">
        <v>32370.751835240419</v>
      </c>
      <c r="BF1064">
        <v>20.429745331749853</v>
      </c>
      <c r="BG1064">
        <v>34562.405999629358</v>
      </c>
      <c r="BH1064">
        <v>20.369636427041822</v>
      </c>
    </row>
    <row r="1065" spans="3:60" x14ac:dyDescent="0.2">
      <c r="C1065" s="138">
        <v>32598.39444444438</v>
      </c>
      <c r="D1065">
        <v>20.458272882254004</v>
      </c>
      <c r="E1065" s="138">
        <v>34807.007171717181</v>
      </c>
      <c r="F1065" s="138">
        <v>20.399386731779266</v>
      </c>
      <c r="G1065" s="138">
        <v>-2388.4130303030338</v>
      </c>
      <c r="H1065" s="138">
        <v>2.2545255843195156E-2</v>
      </c>
      <c r="R1065">
        <v>251.5318615569326</v>
      </c>
      <c r="S1065">
        <v>61.262015471473148</v>
      </c>
      <c r="T1065">
        <v>235.66548242041117</v>
      </c>
      <c r="U1065">
        <v>94.97840581588035</v>
      </c>
      <c r="V1065">
        <v>0</v>
      </c>
      <c r="W1065">
        <v>0</v>
      </c>
      <c r="X1065">
        <v>0.63348433075732247</v>
      </c>
      <c r="Y1065">
        <v>0.62218490980315533</v>
      </c>
      <c r="Z1065">
        <v>0.62515166885856921</v>
      </c>
      <c r="AA1065">
        <v>0.64512020883498433</v>
      </c>
      <c r="AB1065">
        <v>0.60984130549669624</v>
      </c>
      <c r="AC1065">
        <v>0.62076548669349274</v>
      </c>
      <c r="AD1065">
        <v>0.62399299640804395</v>
      </c>
      <c r="AE1065">
        <v>0.58444689330005462</v>
      </c>
      <c r="AF1065">
        <v>0</v>
      </c>
      <c r="AG1065">
        <v>0</v>
      </c>
      <c r="AH1065">
        <v>0.25637488781591172</v>
      </c>
      <c r="AI1065">
        <v>0.24350299417578788</v>
      </c>
      <c r="AJ1065">
        <v>0.20824055476956232</v>
      </c>
      <c r="AK1065">
        <v>0.22545229908795406</v>
      </c>
      <c r="AL1065">
        <v>0.21895275689350593</v>
      </c>
      <c r="AM1065">
        <v>0.22669836822354072</v>
      </c>
      <c r="AN1065">
        <v>0.21673778170574809</v>
      </c>
      <c r="AO1065">
        <v>0.2387000168228465</v>
      </c>
      <c r="AP1065">
        <v>0</v>
      </c>
      <c r="AQ1065">
        <v>0</v>
      </c>
      <c r="AR1065">
        <v>8.738111750844497E-4</v>
      </c>
      <c r="AS1065">
        <v>4.48552746324402E-3</v>
      </c>
      <c r="AT1065">
        <v>0.10009141170966822</v>
      </c>
      <c r="AU1065">
        <v>1.9843375612048743E-3</v>
      </c>
      <c r="AV1065">
        <v>1.9898858692268765E-3</v>
      </c>
      <c r="AW1065">
        <v>3.3858567729402973E-3</v>
      </c>
      <c r="AX1065">
        <v>4.321826217240334E-4</v>
      </c>
      <c r="AY1065">
        <v>5.0298400834521747E-4</v>
      </c>
      <c r="AZ1065">
        <v>0</v>
      </c>
      <c r="BA1065">
        <v>0</v>
      </c>
      <c r="BB1065">
        <v>5.0537204338520422E-2</v>
      </c>
      <c r="BC1065">
        <v>7.8767701413992836E-2</v>
      </c>
      <c r="BD1065">
        <v>0</v>
      </c>
      <c r="BE1065">
        <v>32598.394127473435</v>
      </c>
      <c r="BF1065">
        <v>20.458272882254004</v>
      </c>
      <c r="BG1065">
        <v>34807.009171633712</v>
      </c>
      <c r="BH1065">
        <v>20.399386731779266</v>
      </c>
    </row>
    <row r="1066" spans="3:60" x14ac:dyDescent="0.2">
      <c r="C1066" s="138">
        <v>32826.036666666601</v>
      </c>
      <c r="D1066">
        <v>20.486800432758155</v>
      </c>
      <c r="E1066" s="138">
        <v>35051.610303030313</v>
      </c>
      <c r="F1066" s="138">
        <v>20.42913703651671</v>
      </c>
      <c r="G1066" s="138">
        <v>-2367.5818181818217</v>
      </c>
      <c r="H1066" s="138">
        <v>2.4349300912355022E-2</v>
      </c>
      <c r="R1066">
        <v>257.76446600364841</v>
      </c>
      <c r="S1066">
        <v>61.656771847407732</v>
      </c>
      <c r="T1066">
        <v>237.24447693908965</v>
      </c>
      <c r="U1066">
        <v>95.58702239271318</v>
      </c>
      <c r="V1066">
        <v>0</v>
      </c>
      <c r="W1066">
        <v>0</v>
      </c>
      <c r="X1066">
        <v>0.64038071980985267</v>
      </c>
      <c r="Y1066">
        <v>0.62906315803001944</v>
      </c>
      <c r="Z1066">
        <v>0.63227069409924408</v>
      </c>
      <c r="AA1066">
        <v>0.65174832038682384</v>
      </c>
      <c r="AB1066">
        <v>0.61698326404818882</v>
      </c>
      <c r="AC1066">
        <v>0.62772536288595338</v>
      </c>
      <c r="AD1066">
        <v>0.63083956831360088</v>
      </c>
      <c r="AE1066">
        <v>0.59222773661467065</v>
      </c>
      <c r="AF1066">
        <v>0</v>
      </c>
      <c r="AG1066">
        <v>0</v>
      </c>
      <c r="AH1066">
        <v>0.26176913121068401</v>
      </c>
      <c r="AI1066">
        <v>0.24864777209563846</v>
      </c>
      <c r="AJ1066">
        <v>0.21261244020992268</v>
      </c>
      <c r="AK1066">
        <v>0.23017209632741195</v>
      </c>
      <c r="AL1066">
        <v>0.22358865119297253</v>
      </c>
      <c r="AM1066">
        <v>0.23149750598852484</v>
      </c>
      <c r="AN1066">
        <v>0.22129617990190795</v>
      </c>
      <c r="AO1066">
        <v>0.24368651247417242</v>
      </c>
      <c r="AP1066">
        <v>0</v>
      </c>
      <c r="AQ1066">
        <v>0</v>
      </c>
      <c r="AR1066">
        <v>8.8025251704068456E-4</v>
      </c>
      <c r="AS1066">
        <v>4.4997992531699733E-3</v>
      </c>
      <c r="AT1066">
        <v>0.10015140447161454</v>
      </c>
      <c r="AU1066">
        <v>1.9937772532513179E-3</v>
      </c>
      <c r="AV1066">
        <v>1.9992032605211131E-3</v>
      </c>
      <c r="AW1066">
        <v>3.398313402102233E-3</v>
      </c>
      <c r="AX1066">
        <v>4.3630442573186452E-4</v>
      </c>
      <c r="AY1066">
        <v>5.0819104576373369E-4</v>
      </c>
      <c r="AZ1066">
        <v>0</v>
      </c>
      <c r="BA1066">
        <v>0</v>
      </c>
      <c r="BB1066">
        <v>5.0826036496581579E-2</v>
      </c>
      <c r="BC1066">
        <v>8.0341983739550607E-2</v>
      </c>
      <c r="BD1066">
        <v>0</v>
      </c>
      <c r="BE1066">
        <v>32826.036419706448</v>
      </c>
      <c r="BF1066">
        <v>20.486800432758155</v>
      </c>
      <c r="BG1066">
        <v>35051.612343638066</v>
      </c>
      <c r="BH1066">
        <v>20.42913703651671</v>
      </c>
    </row>
    <row r="1067" spans="3:60" x14ac:dyDescent="0.2">
      <c r="C1067" s="138">
        <v>33053.678888888826</v>
      </c>
      <c r="D1067">
        <v>20.515327983262306</v>
      </c>
      <c r="E1067" s="138">
        <v>35296.213434343445</v>
      </c>
      <c r="F1067" s="138">
        <v>20.458887341254155</v>
      </c>
      <c r="G1067" s="138">
        <v>-2346.7506060606097</v>
      </c>
      <c r="H1067" s="138">
        <v>2.6153345981514888E-2</v>
      </c>
      <c r="R1067">
        <v>263.99707045036422</v>
      </c>
      <c r="S1067">
        <v>62.051528223342316</v>
      </c>
      <c r="T1067">
        <v>238.82347145776814</v>
      </c>
      <c r="U1067">
        <v>96.19563896954601</v>
      </c>
      <c r="V1067">
        <v>0</v>
      </c>
      <c r="W1067">
        <v>0</v>
      </c>
      <c r="X1067">
        <v>0.64727710886238288</v>
      </c>
      <c r="Y1067">
        <v>0.63594140625688356</v>
      </c>
      <c r="Z1067">
        <v>0.63938971933991895</v>
      </c>
      <c r="AA1067">
        <v>0.65837643193866335</v>
      </c>
      <c r="AB1067">
        <v>0.6241252225996814</v>
      </c>
      <c r="AC1067">
        <v>0.63468523907841401</v>
      </c>
      <c r="AD1067">
        <v>0.63768614021915782</v>
      </c>
      <c r="AE1067">
        <v>0.60000857992928669</v>
      </c>
      <c r="AF1067">
        <v>0</v>
      </c>
      <c r="AG1067">
        <v>0</v>
      </c>
      <c r="AH1067">
        <v>0.26716337460545631</v>
      </c>
      <c r="AI1067">
        <v>0.25379255001548906</v>
      </c>
      <c r="AJ1067">
        <v>0.21698432565028303</v>
      </c>
      <c r="AK1067">
        <v>0.23489189356686985</v>
      </c>
      <c r="AL1067">
        <v>0.22822454549243912</v>
      </c>
      <c r="AM1067">
        <v>0.23629664375350895</v>
      </c>
      <c r="AN1067">
        <v>0.2258545780980678</v>
      </c>
      <c r="AO1067">
        <v>0.24867300812549833</v>
      </c>
      <c r="AP1067">
        <v>0</v>
      </c>
      <c r="AQ1067">
        <v>0</v>
      </c>
      <c r="AR1067">
        <v>8.8669385899691941E-4</v>
      </c>
      <c r="AS1067">
        <v>4.5140710430959267E-3</v>
      </c>
      <c r="AT1067">
        <v>0.10021139723356086</v>
      </c>
      <c r="AU1067">
        <v>2.0032169452977614E-3</v>
      </c>
      <c r="AV1067">
        <v>2.0085206518153497E-3</v>
      </c>
      <c r="AW1067">
        <v>3.4107700312641688E-3</v>
      </c>
      <c r="AX1067">
        <v>4.4042622973969564E-4</v>
      </c>
      <c r="AY1067">
        <v>5.1339808318224991E-4</v>
      </c>
      <c r="AZ1067">
        <v>0</v>
      </c>
      <c r="BA1067">
        <v>0</v>
      </c>
      <c r="BB1067">
        <v>5.1114868654642737E-2</v>
      </c>
      <c r="BC1067">
        <v>8.1916266065108378E-2</v>
      </c>
      <c r="BD1067">
        <v>0</v>
      </c>
      <c r="BE1067">
        <v>33053.678711939465</v>
      </c>
      <c r="BF1067">
        <v>20.515327983262306</v>
      </c>
      <c r="BG1067">
        <v>35296.21551564242</v>
      </c>
      <c r="BH1067">
        <v>20.458887341254155</v>
      </c>
    </row>
    <row r="1068" spans="3:60" x14ac:dyDescent="0.2">
      <c r="C1068" s="138">
        <v>33281.32111111105</v>
      </c>
      <c r="D1068">
        <v>20.543855533766457</v>
      </c>
      <c r="E1068" s="138">
        <v>35540.816565656576</v>
      </c>
      <c r="F1068" s="138">
        <v>20.488637645991599</v>
      </c>
      <c r="G1068" s="138">
        <v>-2325.9193939393977</v>
      </c>
      <c r="H1068" s="138">
        <v>2.7957391050674754E-2</v>
      </c>
      <c r="R1068">
        <v>270.22967489708003</v>
      </c>
      <c r="S1068">
        <v>62.4462845992769</v>
      </c>
      <c r="T1068">
        <v>240.40246597644662</v>
      </c>
      <c r="U1068">
        <v>96.80425554637884</v>
      </c>
      <c r="V1068">
        <v>0</v>
      </c>
      <c r="W1068">
        <v>0</v>
      </c>
      <c r="X1068">
        <v>0.65417349791491308</v>
      </c>
      <c r="Y1068">
        <v>0.64281965448374767</v>
      </c>
      <c r="Z1068">
        <v>0.64650874458059382</v>
      </c>
      <c r="AA1068">
        <v>0.66500454349050286</v>
      </c>
      <c r="AB1068">
        <v>0.63126718115117397</v>
      </c>
      <c r="AC1068">
        <v>0.64164511527087464</v>
      </c>
      <c r="AD1068">
        <v>0.64453271212471475</v>
      </c>
      <c r="AE1068">
        <v>0.60778942324390273</v>
      </c>
      <c r="AF1068">
        <v>0</v>
      </c>
      <c r="AG1068">
        <v>0</v>
      </c>
      <c r="AH1068">
        <v>0.2725576180002286</v>
      </c>
      <c r="AI1068">
        <v>0.25893732793533963</v>
      </c>
      <c r="AJ1068">
        <v>0.22135621109064338</v>
      </c>
      <c r="AK1068">
        <v>0.23961169080632774</v>
      </c>
      <c r="AL1068">
        <v>0.23286043979190571</v>
      </c>
      <c r="AM1068">
        <v>0.24109578151849306</v>
      </c>
      <c r="AN1068">
        <v>0.23041297629422766</v>
      </c>
      <c r="AO1068">
        <v>0.25365950377682422</v>
      </c>
      <c r="AP1068">
        <v>0</v>
      </c>
      <c r="AQ1068">
        <v>0</v>
      </c>
      <c r="AR1068">
        <v>8.9313520095315427E-4</v>
      </c>
      <c r="AS1068">
        <v>4.5283428330218801E-3</v>
      </c>
      <c r="AT1068">
        <v>0.10027138999550718</v>
      </c>
      <c r="AU1068">
        <v>2.012656637344205E-3</v>
      </c>
      <c r="AV1068">
        <v>2.0178380431095863E-3</v>
      </c>
      <c r="AW1068">
        <v>3.4232266604261046E-3</v>
      </c>
      <c r="AX1068">
        <v>4.4454803374752676E-4</v>
      </c>
      <c r="AY1068">
        <v>5.1860512060076613E-4</v>
      </c>
      <c r="AZ1068">
        <v>0</v>
      </c>
      <c r="BA1068">
        <v>0</v>
      </c>
      <c r="BB1068">
        <v>5.1403700812703894E-2</v>
      </c>
      <c r="BC1068">
        <v>8.349054839066615E-2</v>
      </c>
      <c r="BD1068">
        <v>0</v>
      </c>
      <c r="BE1068">
        <v>33281.321004172481</v>
      </c>
      <c r="BF1068">
        <v>20.543855533766457</v>
      </c>
      <c r="BG1068">
        <v>35540.818687646773</v>
      </c>
      <c r="BH1068">
        <v>20.488637645991599</v>
      </c>
    </row>
    <row r="1069" spans="3:60" x14ac:dyDescent="0.2">
      <c r="C1069" s="138">
        <v>33508.963333333275</v>
      </c>
      <c r="D1069">
        <v>20.572383084270609</v>
      </c>
      <c r="E1069" s="138">
        <v>35785.419696969708</v>
      </c>
      <c r="F1069" s="138">
        <v>20.518387950729043</v>
      </c>
      <c r="G1069" s="138">
        <v>-2305.0881818181856</v>
      </c>
      <c r="H1069" s="138">
        <v>2.976143611983462E-2</v>
      </c>
      <c r="R1069">
        <v>276.46227934379584</v>
      </c>
      <c r="S1069">
        <v>62.841040975211484</v>
      </c>
      <c r="T1069">
        <v>241.98146049512511</v>
      </c>
      <c r="U1069">
        <v>97.41287212321167</v>
      </c>
      <c r="V1069">
        <v>0</v>
      </c>
      <c r="W1069">
        <v>0</v>
      </c>
      <c r="X1069">
        <v>0.66106988696744329</v>
      </c>
      <c r="Y1069">
        <v>0.64969790271061179</v>
      </c>
      <c r="Z1069">
        <v>0.65362776982126869</v>
      </c>
      <c r="AA1069">
        <v>0.67163265504234237</v>
      </c>
      <c r="AB1069">
        <v>0.63840913970266655</v>
      </c>
      <c r="AC1069">
        <v>0.64860499146333528</v>
      </c>
      <c r="AD1069">
        <v>0.65137928403027168</v>
      </c>
      <c r="AE1069">
        <v>0.61557026655851876</v>
      </c>
      <c r="AF1069">
        <v>0</v>
      </c>
      <c r="AG1069">
        <v>0</v>
      </c>
      <c r="AH1069">
        <v>0.27795186139500089</v>
      </c>
      <c r="AI1069">
        <v>0.26408210585519021</v>
      </c>
      <c r="AJ1069">
        <v>0.22572809653100373</v>
      </c>
      <c r="AK1069">
        <v>0.24433148804578564</v>
      </c>
      <c r="AL1069">
        <v>0.2374963340913723</v>
      </c>
      <c r="AM1069">
        <v>0.24589491928347718</v>
      </c>
      <c r="AN1069">
        <v>0.23497137449038752</v>
      </c>
      <c r="AO1069">
        <v>0.25864599942815014</v>
      </c>
      <c r="AP1069">
        <v>0</v>
      </c>
      <c r="AQ1069">
        <v>0</v>
      </c>
      <c r="AR1069">
        <v>8.9957654290938912E-4</v>
      </c>
      <c r="AS1069">
        <v>4.5426146229478334E-3</v>
      </c>
      <c r="AT1069">
        <v>0.1003313827574535</v>
      </c>
      <c r="AU1069">
        <v>2.0220963293906486E-3</v>
      </c>
      <c r="AV1069">
        <v>2.0271554344038229E-3</v>
      </c>
      <c r="AW1069">
        <v>3.4356832895880403E-3</v>
      </c>
      <c r="AX1069">
        <v>4.4866983775535788E-4</v>
      </c>
      <c r="AY1069">
        <v>5.2381215801928236E-4</v>
      </c>
      <c r="AZ1069">
        <v>0</v>
      </c>
      <c r="BA1069">
        <v>0</v>
      </c>
      <c r="BB1069">
        <v>5.1692532970765051E-2</v>
      </c>
      <c r="BC1069">
        <v>8.5064830716223921E-2</v>
      </c>
      <c r="BD1069">
        <v>0</v>
      </c>
      <c r="BE1069">
        <v>33508.963296405498</v>
      </c>
      <c r="BF1069">
        <v>20.572383084270609</v>
      </c>
      <c r="BG1069">
        <v>35785.421859651127</v>
      </c>
      <c r="BH1069">
        <v>20.518387950729043</v>
      </c>
    </row>
    <row r="1070" spans="3:60" x14ac:dyDescent="0.2">
      <c r="C1070" s="138">
        <v>33736.605555555499</v>
      </c>
      <c r="D1070">
        <v>20.60091063477476</v>
      </c>
      <c r="E1070" s="138">
        <v>36030.022828282839</v>
      </c>
      <c r="F1070" s="138">
        <v>20.548138255466487</v>
      </c>
      <c r="G1070" s="138">
        <v>-2284.2569696969736</v>
      </c>
      <c r="H1070" s="138">
        <v>3.1565481188994486E-2</v>
      </c>
      <c r="R1070">
        <v>282.69488379051165</v>
      </c>
      <c r="S1070">
        <v>63.235797351146068</v>
      </c>
      <c r="T1070">
        <v>243.56045501380359</v>
      </c>
      <c r="U1070">
        <v>98.0214887000445</v>
      </c>
      <c r="V1070">
        <v>0</v>
      </c>
      <c r="W1070">
        <v>0</v>
      </c>
      <c r="X1070">
        <v>0.66796627601997349</v>
      </c>
      <c r="Y1070">
        <v>0.6565761509374759</v>
      </c>
      <c r="Z1070">
        <v>0.66074679506194356</v>
      </c>
      <c r="AA1070">
        <v>0.67826076659418189</v>
      </c>
      <c r="AB1070">
        <v>0.64555109825415913</v>
      </c>
      <c r="AC1070">
        <v>0.65556486765579591</v>
      </c>
      <c r="AD1070">
        <v>0.65822585593582861</v>
      </c>
      <c r="AE1070">
        <v>0.6233511098731348</v>
      </c>
      <c r="AF1070">
        <v>0</v>
      </c>
      <c r="AG1070">
        <v>0</v>
      </c>
      <c r="AH1070">
        <v>0.28334610478977318</v>
      </c>
      <c r="AI1070">
        <v>0.26922688377504078</v>
      </c>
      <c r="AJ1070">
        <v>0.23009998197136408</v>
      </c>
      <c r="AK1070">
        <v>0.24905128528524353</v>
      </c>
      <c r="AL1070">
        <v>0.24213222839083889</v>
      </c>
      <c r="AM1070">
        <v>0.25069405704846126</v>
      </c>
      <c r="AN1070">
        <v>0.23952977268654738</v>
      </c>
      <c r="AO1070">
        <v>0.26363249507947606</v>
      </c>
      <c r="AP1070">
        <v>0</v>
      </c>
      <c r="AQ1070">
        <v>0</v>
      </c>
      <c r="AR1070">
        <v>9.0601788486562398E-4</v>
      </c>
      <c r="AS1070">
        <v>4.5568864128737868E-3</v>
      </c>
      <c r="AT1070">
        <v>0.10039137551939982</v>
      </c>
      <c r="AU1070">
        <v>2.0315360214370921E-3</v>
      </c>
      <c r="AV1070">
        <v>2.0364728256980595E-3</v>
      </c>
      <c r="AW1070">
        <v>3.4481399187499761E-3</v>
      </c>
      <c r="AX1070">
        <v>4.52791641763189E-4</v>
      </c>
      <c r="AY1070">
        <v>5.2901919543779858E-4</v>
      </c>
      <c r="AZ1070">
        <v>0</v>
      </c>
      <c r="BA1070">
        <v>0</v>
      </c>
      <c r="BB1070">
        <v>5.1981365128826208E-2</v>
      </c>
      <c r="BC1070">
        <v>8.6639113041781693E-2</v>
      </c>
      <c r="BD1070">
        <v>0</v>
      </c>
      <c r="BE1070">
        <v>33736.605588638515</v>
      </c>
      <c r="BF1070">
        <v>20.60091063477476</v>
      </c>
      <c r="BG1070">
        <v>36030.025031655481</v>
      </c>
      <c r="BH1070">
        <v>20.548138255466487</v>
      </c>
    </row>
    <row r="1071" spans="3:60" x14ac:dyDescent="0.2">
      <c r="C1071" s="138">
        <v>33964.247777777724</v>
      </c>
      <c r="D1071">
        <v>20.629438185278911</v>
      </c>
      <c r="E1071" s="138">
        <v>36274.625959595971</v>
      </c>
      <c r="F1071" s="138">
        <v>20.577888560203931</v>
      </c>
      <c r="G1071" s="138">
        <v>-2263.4257575757615</v>
      </c>
      <c r="H1071" s="138">
        <v>3.3369526258154356E-2</v>
      </c>
      <c r="R1071">
        <v>288.92748823722746</v>
      </c>
      <c r="S1071">
        <v>63.630553727080652</v>
      </c>
      <c r="T1071">
        <v>245.13944953248208</v>
      </c>
      <c r="U1071">
        <v>98.63010527687733</v>
      </c>
      <c r="V1071">
        <v>0</v>
      </c>
      <c r="W1071">
        <v>0</v>
      </c>
      <c r="X1071">
        <v>0.6748626650725037</v>
      </c>
      <c r="Y1071">
        <v>0.66345439916434001</v>
      </c>
      <c r="Z1071">
        <v>0.66786582030261843</v>
      </c>
      <c r="AA1071">
        <v>0.6848888781460214</v>
      </c>
      <c r="AB1071">
        <v>0.65269305680565171</v>
      </c>
      <c r="AC1071">
        <v>0.66252474384825655</v>
      </c>
      <c r="AD1071">
        <v>0.66507242784138554</v>
      </c>
      <c r="AE1071">
        <v>0.63113195318775084</v>
      </c>
      <c r="AF1071">
        <v>0</v>
      </c>
      <c r="AG1071">
        <v>0</v>
      </c>
      <c r="AH1071">
        <v>0.28874034818454547</v>
      </c>
      <c r="AI1071">
        <v>0.27437166169489136</v>
      </c>
      <c r="AJ1071">
        <v>0.23447186741172443</v>
      </c>
      <c r="AK1071">
        <v>0.25377108252470143</v>
      </c>
      <c r="AL1071">
        <v>0.24676812269030549</v>
      </c>
      <c r="AM1071">
        <v>0.25549319481344535</v>
      </c>
      <c r="AN1071">
        <v>0.24408817088270723</v>
      </c>
      <c r="AO1071">
        <v>0.26861899073080198</v>
      </c>
      <c r="AP1071">
        <v>0</v>
      </c>
      <c r="AQ1071">
        <v>0</v>
      </c>
      <c r="AR1071">
        <v>9.1245922682185883E-4</v>
      </c>
      <c r="AS1071">
        <v>4.5711582027997402E-3</v>
      </c>
      <c r="AT1071">
        <v>0.10045136828134614</v>
      </c>
      <c r="AU1071">
        <v>2.0409757134835357E-3</v>
      </c>
      <c r="AV1071">
        <v>2.0457902169922961E-3</v>
      </c>
      <c r="AW1071">
        <v>3.4605965479119118E-3</v>
      </c>
      <c r="AX1071">
        <v>4.5691344577102012E-4</v>
      </c>
      <c r="AY1071">
        <v>5.342262328563148E-4</v>
      </c>
      <c r="AZ1071">
        <v>0</v>
      </c>
      <c r="BA1071">
        <v>0</v>
      </c>
      <c r="BB1071">
        <v>5.2270197286887365E-2</v>
      </c>
      <c r="BC1071">
        <v>8.8213395367339464E-2</v>
      </c>
      <c r="BD1071">
        <v>0</v>
      </c>
      <c r="BE1071">
        <v>33964.247880871531</v>
      </c>
      <c r="BF1071">
        <v>20.629438185278911</v>
      </c>
      <c r="BG1071">
        <v>36274.628203659835</v>
      </c>
      <c r="BH1071">
        <v>20.577888560203931</v>
      </c>
    </row>
    <row r="1072" spans="3:60" x14ac:dyDescent="0.2">
      <c r="C1072" s="138">
        <v>34191.889999999948</v>
      </c>
      <c r="D1072">
        <v>20.657965735783062</v>
      </c>
      <c r="E1072" s="138">
        <v>36519.229090909103</v>
      </c>
      <c r="F1072" s="138">
        <v>20.607638864941375</v>
      </c>
      <c r="G1072" s="138">
        <v>-2242.5945454545495</v>
      </c>
      <c r="H1072" s="138">
        <v>3.5173571327314225E-2</v>
      </c>
      <c r="R1072">
        <v>295.16009268394328</v>
      </c>
      <c r="S1072">
        <v>64.025310103015244</v>
      </c>
      <c r="T1072">
        <v>246.71844405116056</v>
      </c>
      <c r="U1072">
        <v>99.23872185371016</v>
      </c>
      <c r="V1072">
        <v>0</v>
      </c>
      <c r="W1072">
        <v>0</v>
      </c>
      <c r="X1072">
        <v>0.6817590541250339</v>
      </c>
      <c r="Y1072">
        <v>0.67033264739120413</v>
      </c>
      <c r="Z1072">
        <v>0.6749848455432933</v>
      </c>
      <c r="AA1072">
        <v>0.69151698969786091</v>
      </c>
      <c r="AB1072">
        <v>0.65983501535714428</v>
      </c>
      <c r="AC1072">
        <v>0.66948462004071718</v>
      </c>
      <c r="AD1072">
        <v>0.67191899974694247</v>
      </c>
      <c r="AE1072">
        <v>0.63891279650236688</v>
      </c>
      <c r="AF1072">
        <v>0</v>
      </c>
      <c r="AG1072">
        <v>0</v>
      </c>
      <c r="AH1072">
        <v>0.29413459157931776</v>
      </c>
      <c r="AI1072">
        <v>0.27951643961474193</v>
      </c>
      <c r="AJ1072">
        <v>0.23884375285208478</v>
      </c>
      <c r="AK1072">
        <v>0.25849087976415935</v>
      </c>
      <c r="AL1072">
        <v>0.25140401698977211</v>
      </c>
      <c r="AM1072">
        <v>0.26029233257842943</v>
      </c>
      <c r="AN1072">
        <v>0.24864656907886709</v>
      </c>
      <c r="AO1072">
        <v>0.27360548638212789</v>
      </c>
      <c r="AP1072">
        <v>0</v>
      </c>
      <c r="AQ1072">
        <v>0</v>
      </c>
      <c r="AR1072">
        <v>9.1890056877809369E-4</v>
      </c>
      <c r="AS1072">
        <v>4.5854299927256936E-3</v>
      </c>
      <c r="AT1072">
        <v>0.10051136104329246</v>
      </c>
      <c r="AU1072">
        <v>2.0504154055299793E-3</v>
      </c>
      <c r="AV1072">
        <v>2.0551076082865327E-3</v>
      </c>
      <c r="AW1072">
        <v>3.4730531770738476E-3</v>
      </c>
      <c r="AX1072">
        <v>4.6103524977885124E-4</v>
      </c>
      <c r="AY1072">
        <v>5.3943327027483102E-4</v>
      </c>
      <c r="AZ1072">
        <v>0</v>
      </c>
      <c r="BA1072">
        <v>0</v>
      </c>
      <c r="BB1072">
        <v>5.2559029444948523E-2</v>
      </c>
      <c r="BC1072">
        <v>8.9787677692897236E-2</v>
      </c>
      <c r="BD1072">
        <v>0</v>
      </c>
      <c r="BE1072">
        <v>34191.890173104548</v>
      </c>
      <c r="BF1072">
        <v>20.657965735783062</v>
      </c>
      <c r="BG1072">
        <v>36519.231375664189</v>
      </c>
      <c r="BH1072">
        <v>20.607638864941375</v>
      </c>
    </row>
    <row r="1073" spans="3:60" x14ac:dyDescent="0.2">
      <c r="C1073" s="138">
        <v>34419.532222222173</v>
      </c>
      <c r="D1073">
        <v>20.686493286287213</v>
      </c>
      <c r="E1073" s="138">
        <v>36763.832222222234</v>
      </c>
      <c r="F1073" s="138">
        <v>20.637389169678819</v>
      </c>
      <c r="G1073" s="138">
        <v>-2221.7633333333374</v>
      </c>
      <c r="H1073" s="138">
        <v>3.6977616396474094E-2</v>
      </c>
      <c r="R1073">
        <v>301.39269713065909</v>
      </c>
      <c r="S1073">
        <v>64.420066478949835</v>
      </c>
      <c r="T1073">
        <v>248.29743856983904</v>
      </c>
      <c r="U1073">
        <v>99.84733843054299</v>
      </c>
      <c r="V1073">
        <v>0</v>
      </c>
      <c r="W1073">
        <v>0</v>
      </c>
      <c r="X1073">
        <v>0.68865544317756411</v>
      </c>
      <c r="Y1073">
        <v>0.67721089561806824</v>
      </c>
      <c r="Z1073">
        <v>0.68210387078396817</v>
      </c>
      <c r="AA1073">
        <v>0.69814510124970042</v>
      </c>
      <c r="AB1073">
        <v>0.66697697390863686</v>
      </c>
      <c r="AC1073">
        <v>0.67644449623317782</v>
      </c>
      <c r="AD1073">
        <v>0.6787655716524994</v>
      </c>
      <c r="AE1073">
        <v>0.64669363981698291</v>
      </c>
      <c r="AF1073">
        <v>0</v>
      </c>
      <c r="AG1073">
        <v>0</v>
      </c>
      <c r="AH1073">
        <v>0.29952883497409005</v>
      </c>
      <c r="AI1073">
        <v>0.2846612175345925</v>
      </c>
      <c r="AJ1073">
        <v>0.24321563829244514</v>
      </c>
      <c r="AK1073">
        <v>0.26321067700361728</v>
      </c>
      <c r="AL1073">
        <v>0.2560399112892387</v>
      </c>
      <c r="AM1073">
        <v>0.26509147034341352</v>
      </c>
      <c r="AN1073">
        <v>0.25320496727502695</v>
      </c>
      <c r="AO1073">
        <v>0.27859198203345381</v>
      </c>
      <c r="AP1073">
        <v>0</v>
      </c>
      <c r="AQ1073">
        <v>0</v>
      </c>
      <c r="AR1073">
        <v>9.2534191073432854E-4</v>
      </c>
      <c r="AS1073">
        <v>4.5997017826516469E-3</v>
      </c>
      <c r="AT1073">
        <v>0.10057135380523878</v>
      </c>
      <c r="AU1073">
        <v>2.0598550975764228E-3</v>
      </c>
      <c r="AV1073">
        <v>2.0644249995807693E-3</v>
      </c>
      <c r="AW1073">
        <v>3.4855098062357833E-3</v>
      </c>
      <c r="AX1073">
        <v>4.6515705378668236E-4</v>
      </c>
      <c r="AY1073">
        <v>5.4464030769334724E-4</v>
      </c>
      <c r="AZ1073">
        <v>0</v>
      </c>
      <c r="BA1073">
        <v>0</v>
      </c>
      <c r="BB1073">
        <v>5.284786160300968E-2</v>
      </c>
      <c r="BC1073">
        <v>9.1361960018455007E-2</v>
      </c>
      <c r="BD1073">
        <v>0</v>
      </c>
      <c r="BE1073">
        <v>34419.532465337565</v>
      </c>
      <c r="BF1073">
        <v>20.686493286287213</v>
      </c>
      <c r="BG1073">
        <v>36763.834547668543</v>
      </c>
      <c r="BH1073">
        <v>20.637389169678819</v>
      </c>
    </row>
    <row r="1074" spans="3:60" x14ac:dyDescent="0.2">
      <c r="C1074" s="138">
        <v>34647.174444444398</v>
      </c>
      <c r="D1074">
        <v>20.715020836791364</v>
      </c>
      <c r="E1074" s="138">
        <v>37008.435353535366</v>
      </c>
      <c r="F1074" s="138">
        <v>20.667139474416263</v>
      </c>
      <c r="G1074" s="138">
        <v>-2200.9321212121254</v>
      </c>
      <c r="H1074" s="138">
        <v>3.8781661465633964E-2</v>
      </c>
      <c r="R1074">
        <v>307.6253015773749</v>
      </c>
      <c r="S1074">
        <v>64.814822854884426</v>
      </c>
      <c r="T1074">
        <v>249.87643308851753</v>
      </c>
      <c r="U1074">
        <v>100.45595500737582</v>
      </c>
      <c r="V1074">
        <v>0</v>
      </c>
      <c r="W1074">
        <v>0</v>
      </c>
      <c r="X1074">
        <v>0.69555183223009431</v>
      </c>
      <c r="Y1074">
        <v>0.68408914384493236</v>
      </c>
      <c r="Z1074">
        <v>0.68922289602464304</v>
      </c>
      <c r="AA1074">
        <v>0.70477321280153993</v>
      </c>
      <c r="AB1074">
        <v>0.67411893246012944</v>
      </c>
      <c r="AC1074">
        <v>0.68340437242563845</v>
      </c>
      <c r="AD1074">
        <v>0.68561214355805633</v>
      </c>
      <c r="AE1074">
        <v>0.65447448313159895</v>
      </c>
      <c r="AF1074">
        <v>0</v>
      </c>
      <c r="AG1074">
        <v>0</v>
      </c>
      <c r="AH1074">
        <v>0.30492307836886234</v>
      </c>
      <c r="AI1074">
        <v>0.28980599545444308</v>
      </c>
      <c r="AJ1074">
        <v>0.24758752373280549</v>
      </c>
      <c r="AK1074">
        <v>0.2679304742430752</v>
      </c>
      <c r="AL1074">
        <v>0.26067580558870529</v>
      </c>
      <c r="AM1074">
        <v>0.2698906081083976</v>
      </c>
      <c r="AN1074">
        <v>0.25776336547118678</v>
      </c>
      <c r="AO1074">
        <v>0.28357847768477973</v>
      </c>
      <c r="AP1074">
        <v>0</v>
      </c>
      <c r="AQ1074">
        <v>0</v>
      </c>
      <c r="AR1074">
        <v>9.317832526905634E-4</v>
      </c>
      <c r="AS1074">
        <v>4.6139735725776003E-3</v>
      </c>
      <c r="AT1074">
        <v>0.1006313465671851</v>
      </c>
      <c r="AU1074">
        <v>2.0692947896228664E-3</v>
      </c>
      <c r="AV1074">
        <v>2.0737423908750059E-3</v>
      </c>
      <c r="AW1074">
        <v>3.4979664353977191E-3</v>
      </c>
      <c r="AX1074">
        <v>4.6927885779451348E-4</v>
      </c>
      <c r="AY1074">
        <v>5.4984734511186347E-4</v>
      </c>
      <c r="AZ1074">
        <v>0</v>
      </c>
      <c r="BA1074">
        <v>0</v>
      </c>
      <c r="BB1074">
        <v>5.3136693761070837E-2</v>
      </c>
      <c r="BC1074">
        <v>9.2936242344012779E-2</v>
      </c>
      <c r="BD1074">
        <v>0</v>
      </c>
      <c r="BE1074">
        <v>34647.174757570581</v>
      </c>
      <c r="BF1074">
        <v>20.715020836791364</v>
      </c>
      <c r="BG1074">
        <v>37008.437719672896</v>
      </c>
      <c r="BH1074">
        <v>20.667139474416263</v>
      </c>
    </row>
    <row r="1075" spans="3:60" x14ac:dyDescent="0.2">
      <c r="C1075" s="138">
        <v>34874.816666666622</v>
      </c>
      <c r="D1075">
        <v>20.743548387295515</v>
      </c>
      <c r="E1075" s="138">
        <v>37253.038484848497</v>
      </c>
      <c r="F1075" s="138">
        <v>20.696889779153707</v>
      </c>
      <c r="G1075" s="138">
        <v>-2180.1009090909133</v>
      </c>
      <c r="H1075" s="138">
        <v>4.0585706534793833E-2</v>
      </c>
      <c r="R1075">
        <v>313.85790602409071</v>
      </c>
      <c r="S1075">
        <v>65.209579230819017</v>
      </c>
      <c r="T1075">
        <v>251.45542760719601</v>
      </c>
      <c r="U1075">
        <v>101.06457158420865</v>
      </c>
      <c r="V1075">
        <v>0</v>
      </c>
      <c r="W1075">
        <v>0</v>
      </c>
      <c r="X1075">
        <v>0.70244822128262452</v>
      </c>
      <c r="Y1075">
        <v>0.69096739207179647</v>
      </c>
      <c r="Z1075">
        <v>0.69634192126531791</v>
      </c>
      <c r="AA1075">
        <v>0.71140132435337944</v>
      </c>
      <c r="AB1075">
        <v>0.68126089101162202</v>
      </c>
      <c r="AC1075">
        <v>0.69036424861809909</v>
      </c>
      <c r="AD1075">
        <v>0.69245871546361326</v>
      </c>
      <c r="AE1075">
        <v>0.66225532644621499</v>
      </c>
      <c r="AF1075">
        <v>0</v>
      </c>
      <c r="AG1075">
        <v>0</v>
      </c>
      <c r="AH1075">
        <v>0.31031732176363463</v>
      </c>
      <c r="AI1075">
        <v>0.29495077337429365</v>
      </c>
      <c r="AJ1075">
        <v>0.25195940917316584</v>
      </c>
      <c r="AK1075">
        <v>0.27265027148253312</v>
      </c>
      <c r="AL1075">
        <v>0.26531169988817188</v>
      </c>
      <c r="AM1075">
        <v>0.27468974587338169</v>
      </c>
      <c r="AN1075">
        <v>0.26232176366734661</v>
      </c>
      <c r="AO1075">
        <v>0.28856497333610565</v>
      </c>
      <c r="AP1075">
        <v>0</v>
      </c>
      <c r="AQ1075">
        <v>0</v>
      </c>
      <c r="AR1075">
        <v>9.3822459464679825E-4</v>
      </c>
      <c r="AS1075">
        <v>4.6282453625035537E-3</v>
      </c>
      <c r="AT1075">
        <v>0.10069133932913142</v>
      </c>
      <c r="AU1075">
        <v>2.07873448166931E-3</v>
      </c>
      <c r="AV1075">
        <v>2.0830597821692425E-3</v>
      </c>
      <c r="AW1075">
        <v>3.5104230645596549E-3</v>
      </c>
      <c r="AX1075">
        <v>4.734006618023446E-4</v>
      </c>
      <c r="AY1075">
        <v>5.5505438253037969E-4</v>
      </c>
      <c r="AZ1075">
        <v>0</v>
      </c>
      <c r="BA1075">
        <v>0</v>
      </c>
      <c r="BB1075">
        <v>5.3425525919131994E-2</v>
      </c>
      <c r="BC1075">
        <v>9.451052466957055E-2</v>
      </c>
      <c r="BD1075">
        <v>0</v>
      </c>
      <c r="BE1075">
        <v>34874.817049803598</v>
      </c>
      <c r="BF1075">
        <v>20.743548387295515</v>
      </c>
      <c r="BG1075">
        <v>37253.04089167725</v>
      </c>
      <c r="BH1075">
        <v>20.696889779153707</v>
      </c>
    </row>
    <row r="1076" spans="3:60" x14ac:dyDescent="0.2">
      <c r="C1076" s="138">
        <v>35102.458888888847</v>
      </c>
      <c r="D1076">
        <v>20.772075937799666</v>
      </c>
      <c r="E1076" s="138">
        <v>37497.641616161629</v>
      </c>
      <c r="F1076" s="138">
        <v>20.726640083891152</v>
      </c>
      <c r="G1076" s="138">
        <v>-2159.2696969697013</v>
      </c>
      <c r="H1076" s="138">
        <v>4.2389751603953703E-2</v>
      </c>
      <c r="R1076">
        <v>320.09051047080652</v>
      </c>
      <c r="S1076">
        <v>65.604335606753608</v>
      </c>
      <c r="T1076">
        <v>253.0344221258745</v>
      </c>
      <c r="U1076">
        <v>101.67318816104148</v>
      </c>
      <c r="V1076">
        <v>0</v>
      </c>
      <c r="W1076">
        <v>0</v>
      </c>
      <c r="X1076">
        <v>0.70934461033515472</v>
      </c>
      <c r="Y1076">
        <v>0.69784564029866059</v>
      </c>
      <c r="Z1076">
        <v>0.70346094650599278</v>
      </c>
      <c r="AA1076">
        <v>0.71802943590521895</v>
      </c>
      <c r="AB1076">
        <v>0.68840284956311459</v>
      </c>
      <c r="AC1076">
        <v>0.69732412481055972</v>
      </c>
      <c r="AD1076">
        <v>0.69930528736917019</v>
      </c>
      <c r="AE1076">
        <v>0.67003616976083102</v>
      </c>
      <c r="AF1076">
        <v>0</v>
      </c>
      <c r="AG1076">
        <v>0</v>
      </c>
      <c r="AH1076">
        <v>0.31571156515840693</v>
      </c>
      <c r="AI1076">
        <v>0.30009555129414422</v>
      </c>
      <c r="AJ1076">
        <v>0.25633129461352622</v>
      </c>
      <c r="AK1076">
        <v>0.27737006872199105</v>
      </c>
      <c r="AL1076">
        <v>0.26994759418763847</v>
      </c>
      <c r="AM1076">
        <v>0.27948888363836577</v>
      </c>
      <c r="AN1076">
        <v>0.26688016186350644</v>
      </c>
      <c r="AO1076">
        <v>0.29355146898743156</v>
      </c>
      <c r="AP1076">
        <v>0</v>
      </c>
      <c r="AQ1076">
        <v>0</v>
      </c>
      <c r="AR1076">
        <v>9.4466593660303311E-4</v>
      </c>
      <c r="AS1076">
        <v>4.642517152429507E-3</v>
      </c>
      <c r="AT1076">
        <v>0.10075133209107774</v>
      </c>
      <c r="AU1076">
        <v>2.0881741737157535E-3</v>
      </c>
      <c r="AV1076">
        <v>2.0923771734634791E-3</v>
      </c>
      <c r="AW1076">
        <v>3.5228796937215906E-3</v>
      </c>
      <c r="AX1076">
        <v>4.7752246581017572E-4</v>
      </c>
      <c r="AY1076">
        <v>5.6026141994889591E-4</v>
      </c>
      <c r="AZ1076">
        <v>0</v>
      </c>
      <c r="BA1076">
        <v>0</v>
      </c>
      <c r="BB1076">
        <v>5.3714358077193151E-2</v>
      </c>
      <c r="BC1076">
        <v>9.6084806995128322E-2</v>
      </c>
      <c r="BD1076">
        <v>0</v>
      </c>
      <c r="BE1076">
        <v>35102.459342036615</v>
      </c>
      <c r="BF1076">
        <v>20.772075937799666</v>
      </c>
      <c r="BG1076">
        <v>37497.644063681604</v>
      </c>
      <c r="BH1076">
        <v>20.726640083891152</v>
      </c>
    </row>
    <row r="1077" spans="3:60" x14ac:dyDescent="0.2">
      <c r="C1077" s="138">
        <v>35330.101111111071</v>
      </c>
      <c r="D1077">
        <v>20.800603488303818</v>
      </c>
      <c r="E1077" s="138">
        <v>37742.244747474761</v>
      </c>
      <c r="F1077" s="138">
        <v>20.756390388628596</v>
      </c>
      <c r="G1077" s="138">
        <v>-2138.4384848484892</v>
      </c>
      <c r="H1077" s="138">
        <v>4.4193796673113572E-2</v>
      </c>
      <c r="R1077">
        <v>326.32311491752233</v>
      </c>
      <c r="S1077">
        <v>65.999091982688199</v>
      </c>
      <c r="T1077">
        <v>254.61341664455298</v>
      </c>
      <c r="U1077">
        <v>102.28180473787431</v>
      </c>
      <c r="V1077">
        <v>0</v>
      </c>
      <c r="W1077">
        <v>0</v>
      </c>
      <c r="X1077">
        <v>0.71624099938768493</v>
      </c>
      <c r="Y1077">
        <v>0.7047238885255247</v>
      </c>
      <c r="Z1077">
        <v>0.71057997174666765</v>
      </c>
      <c r="AA1077">
        <v>0.72465754745705846</v>
      </c>
      <c r="AB1077">
        <v>0.69554480811460717</v>
      </c>
      <c r="AC1077">
        <v>0.70428400100302035</v>
      </c>
      <c r="AD1077">
        <v>0.70615185927472712</v>
      </c>
      <c r="AE1077">
        <v>0.67781701307544706</v>
      </c>
      <c r="AF1077">
        <v>0</v>
      </c>
      <c r="AG1077">
        <v>0</v>
      </c>
      <c r="AH1077">
        <v>0.32110580855317922</v>
      </c>
      <c r="AI1077">
        <v>0.3052403292139948</v>
      </c>
      <c r="AJ1077">
        <v>0.2607031800538866</v>
      </c>
      <c r="AK1077">
        <v>0.28208986596144897</v>
      </c>
      <c r="AL1077">
        <v>0.27458348848710507</v>
      </c>
      <c r="AM1077">
        <v>0.28428802140334986</v>
      </c>
      <c r="AN1077">
        <v>0.27143856005966627</v>
      </c>
      <c r="AO1077">
        <v>0.29853796463875748</v>
      </c>
      <c r="AP1077">
        <v>0</v>
      </c>
      <c r="AQ1077">
        <v>0</v>
      </c>
      <c r="AR1077">
        <v>9.5110727855926796E-4</v>
      </c>
      <c r="AS1077">
        <v>4.6567889423554604E-3</v>
      </c>
      <c r="AT1077">
        <v>0.10081132485302406</v>
      </c>
      <c r="AU1077">
        <v>2.0976138657621971E-3</v>
      </c>
      <c r="AV1077">
        <v>2.1016945647577157E-3</v>
      </c>
      <c r="AW1077">
        <v>3.5353363228835264E-3</v>
      </c>
      <c r="AX1077">
        <v>4.8164426981800684E-4</v>
      </c>
      <c r="AY1077">
        <v>5.6546845736741213E-4</v>
      </c>
      <c r="AZ1077">
        <v>0</v>
      </c>
      <c r="BA1077">
        <v>0</v>
      </c>
      <c r="BB1077">
        <v>5.4003190235254309E-2</v>
      </c>
      <c r="BC1077">
        <v>9.7659089320686093E-2</v>
      </c>
      <c r="BD1077">
        <v>0</v>
      </c>
      <c r="BE1077">
        <v>35330.101634269631</v>
      </c>
      <c r="BF1077">
        <v>20.800603488303818</v>
      </c>
      <c r="BG1077">
        <v>37742.247235685958</v>
      </c>
      <c r="BH1077">
        <v>20.756390388628596</v>
      </c>
    </row>
    <row r="1078" spans="3:60" x14ac:dyDescent="0.2">
      <c r="C1078" s="138">
        <v>35557.743333333296</v>
      </c>
      <c r="D1078">
        <v>20.829131038807969</v>
      </c>
      <c r="E1078" s="138">
        <v>37986.847878787892</v>
      </c>
      <c r="F1078" s="138">
        <v>20.78614069336604</v>
      </c>
      <c r="G1078" s="138">
        <v>-2117.6072727272772</v>
      </c>
      <c r="H1078" s="138">
        <v>4.5997841742273442E-2</v>
      </c>
      <c r="R1078">
        <v>332.55571936423814</v>
      </c>
      <c r="S1078">
        <v>66.39384835862279</v>
      </c>
      <c r="T1078">
        <v>256.19241116323144</v>
      </c>
      <c r="U1078">
        <v>102.89042131470714</v>
      </c>
      <c r="V1078">
        <v>0</v>
      </c>
      <c r="W1078">
        <v>0</v>
      </c>
      <c r="X1078">
        <v>0.72313738844021513</v>
      </c>
      <c r="Y1078">
        <v>0.71160213675238881</v>
      </c>
      <c r="Z1078">
        <v>0.71769899698734252</v>
      </c>
      <c r="AA1078">
        <v>0.73128565900889797</v>
      </c>
      <c r="AB1078">
        <v>0.70268676666609975</v>
      </c>
      <c r="AC1078">
        <v>0.71124387719548099</v>
      </c>
      <c r="AD1078">
        <v>0.71299843118028405</v>
      </c>
      <c r="AE1078">
        <v>0.6855978563900631</v>
      </c>
      <c r="AF1078">
        <v>0</v>
      </c>
      <c r="AG1078">
        <v>0</v>
      </c>
      <c r="AH1078">
        <v>0.32650005194795151</v>
      </c>
      <c r="AI1078">
        <v>0.31038510713384537</v>
      </c>
      <c r="AJ1078">
        <v>0.26507506549424698</v>
      </c>
      <c r="AK1078">
        <v>0.28680966320090689</v>
      </c>
      <c r="AL1078">
        <v>0.27921938278657166</v>
      </c>
      <c r="AM1078">
        <v>0.28908715916833394</v>
      </c>
      <c r="AN1078">
        <v>0.2759969582558261</v>
      </c>
      <c r="AO1078">
        <v>0.3035244602900834</v>
      </c>
      <c r="AP1078">
        <v>0</v>
      </c>
      <c r="AQ1078">
        <v>0</v>
      </c>
      <c r="AR1078">
        <v>9.5754862051550282E-4</v>
      </c>
      <c r="AS1078">
        <v>4.6710607322814138E-3</v>
      </c>
      <c r="AT1078">
        <v>0.10087131761497038</v>
      </c>
      <c r="AU1078">
        <v>2.1070535578086406E-3</v>
      </c>
      <c r="AV1078">
        <v>2.1110119560519523E-3</v>
      </c>
      <c r="AW1078">
        <v>3.5477929520454621E-3</v>
      </c>
      <c r="AX1078">
        <v>4.8576607382583796E-4</v>
      </c>
      <c r="AY1078">
        <v>5.7067549478592835E-4</v>
      </c>
      <c r="AZ1078">
        <v>0</v>
      </c>
      <c r="BA1078">
        <v>0</v>
      </c>
      <c r="BB1078">
        <v>5.4292022393315466E-2</v>
      </c>
      <c r="BC1078">
        <v>9.9233371646243865E-2</v>
      </c>
      <c r="BD1078">
        <v>0</v>
      </c>
      <c r="BE1078">
        <v>35557.743926502648</v>
      </c>
      <c r="BF1078">
        <v>20.829131038807969</v>
      </c>
      <c r="BG1078">
        <v>37986.850407690312</v>
      </c>
      <c r="BH1078">
        <v>20.78614069336604</v>
      </c>
    </row>
    <row r="1079" spans="3:60" x14ac:dyDescent="0.2">
      <c r="C1079" s="138">
        <v>35785.38555555552</v>
      </c>
      <c r="D1079">
        <v>20.85765858931212</v>
      </c>
      <c r="E1079" s="138">
        <v>38231.451010101024</v>
      </c>
      <c r="F1079" s="138">
        <v>20.815890998103484</v>
      </c>
      <c r="G1079" s="138">
        <v>-2096.7760606060651</v>
      </c>
      <c r="H1079" s="138">
        <v>4.7801886811433311E-2</v>
      </c>
      <c r="R1079">
        <v>338.78832381095395</v>
      </c>
      <c r="S1079">
        <v>66.788604734557381</v>
      </c>
      <c r="T1079">
        <v>257.77140568190993</v>
      </c>
      <c r="U1079">
        <v>103.49903789153997</v>
      </c>
      <c r="V1079">
        <v>0</v>
      </c>
      <c r="W1079">
        <v>0</v>
      </c>
      <c r="X1079">
        <v>0.73003377749274534</v>
      </c>
      <c r="Y1079">
        <v>0.71848038497925293</v>
      </c>
      <c r="Z1079">
        <v>0.72481802222801739</v>
      </c>
      <c r="AA1079">
        <v>0.73791377056073748</v>
      </c>
      <c r="AB1079">
        <v>0.70982872521759233</v>
      </c>
      <c r="AC1079">
        <v>0.71820375338794162</v>
      </c>
      <c r="AD1079">
        <v>0.71984500308584098</v>
      </c>
      <c r="AE1079">
        <v>0.69337869970467914</v>
      </c>
      <c r="AF1079">
        <v>0</v>
      </c>
      <c r="AG1079">
        <v>0</v>
      </c>
      <c r="AH1079">
        <v>0.3318942953427238</v>
      </c>
      <c r="AI1079">
        <v>0.31552988505369595</v>
      </c>
      <c r="AJ1079">
        <v>0.26944695093460735</v>
      </c>
      <c r="AK1079">
        <v>0.29152946044036482</v>
      </c>
      <c r="AL1079">
        <v>0.28385527708603825</v>
      </c>
      <c r="AM1079">
        <v>0.29388629693331803</v>
      </c>
      <c r="AN1079">
        <v>0.28055535645198593</v>
      </c>
      <c r="AO1079">
        <v>0.30851095594140931</v>
      </c>
      <c r="AP1079">
        <v>0</v>
      </c>
      <c r="AQ1079">
        <v>0</v>
      </c>
      <c r="AR1079">
        <v>9.6398996247173767E-4</v>
      </c>
      <c r="AS1079">
        <v>4.6853325222073671E-3</v>
      </c>
      <c r="AT1079">
        <v>0.1009313103769167</v>
      </c>
      <c r="AU1079">
        <v>2.1164932498550842E-3</v>
      </c>
      <c r="AV1079">
        <v>2.1203293473461889E-3</v>
      </c>
      <c r="AW1079">
        <v>3.5602495812073979E-3</v>
      </c>
      <c r="AX1079">
        <v>4.8988787783366908E-4</v>
      </c>
      <c r="AY1079">
        <v>5.7588253220444458E-4</v>
      </c>
      <c r="AZ1079">
        <v>0</v>
      </c>
      <c r="BA1079">
        <v>0</v>
      </c>
      <c r="BB1079">
        <v>5.4580854551376623E-2</v>
      </c>
      <c r="BC1079">
        <v>0.10080765397180164</v>
      </c>
      <c r="BD1079">
        <v>0</v>
      </c>
      <c r="BE1079">
        <v>35785.386218735664</v>
      </c>
      <c r="BF1079">
        <v>20.85765858931212</v>
      </c>
      <c r="BG1079">
        <v>38231.453579694666</v>
      </c>
      <c r="BH1079">
        <v>20.815890998103484</v>
      </c>
    </row>
    <row r="1080" spans="3:60" x14ac:dyDescent="0.2">
      <c r="C1080" s="138">
        <v>36013.027777777745</v>
      </c>
      <c r="D1080">
        <v>20.886186139816271</v>
      </c>
      <c r="E1080" s="138">
        <v>38476.054141414155</v>
      </c>
      <c r="F1080" s="138">
        <v>20.845641302840928</v>
      </c>
      <c r="G1080" s="138">
        <v>-2075.9448484848531</v>
      </c>
      <c r="H1080" s="138">
        <v>4.9605931880593181E-2</v>
      </c>
      <c r="R1080">
        <v>345.02092825766977</v>
      </c>
      <c r="S1080">
        <v>67.183361110491973</v>
      </c>
      <c r="T1080">
        <v>259.35040020058841</v>
      </c>
      <c r="U1080">
        <v>104.1076544683728</v>
      </c>
      <c r="V1080">
        <v>0</v>
      </c>
      <c r="W1080">
        <v>0</v>
      </c>
      <c r="X1080">
        <v>0.73693016654527554</v>
      </c>
      <c r="Y1080">
        <v>0.72535863320611704</v>
      </c>
      <c r="Z1080">
        <v>0.73193704746869226</v>
      </c>
      <c r="AA1080">
        <v>0.74454188211257699</v>
      </c>
      <c r="AB1080">
        <v>0.7169706837690849</v>
      </c>
      <c r="AC1080">
        <v>0.72516362958040226</v>
      </c>
      <c r="AD1080">
        <v>0.72669157499139792</v>
      </c>
      <c r="AE1080">
        <v>0.70115954301929517</v>
      </c>
      <c r="AF1080">
        <v>0</v>
      </c>
      <c r="AG1080">
        <v>0</v>
      </c>
      <c r="AH1080">
        <v>0.33728853873749609</v>
      </c>
      <c r="AI1080">
        <v>0.32067466297354652</v>
      </c>
      <c r="AJ1080">
        <v>0.27381883637496773</v>
      </c>
      <c r="AK1080">
        <v>0.29624925767982274</v>
      </c>
      <c r="AL1080">
        <v>0.28849117138550484</v>
      </c>
      <c r="AM1080">
        <v>0.29868543469830211</v>
      </c>
      <c r="AN1080">
        <v>0.28511375464814576</v>
      </c>
      <c r="AO1080">
        <v>0.31349745159273523</v>
      </c>
      <c r="AP1080">
        <v>0</v>
      </c>
      <c r="AQ1080">
        <v>0</v>
      </c>
      <c r="AR1080">
        <v>9.7043130442797253E-4</v>
      </c>
      <c r="AS1080">
        <v>4.6996043121333205E-3</v>
      </c>
      <c r="AT1080">
        <v>0.10099130313886302</v>
      </c>
      <c r="AU1080">
        <v>2.1259329419015278E-3</v>
      </c>
      <c r="AV1080">
        <v>2.1296467386404255E-3</v>
      </c>
      <c r="AW1080">
        <v>3.5727062103693336E-3</v>
      </c>
      <c r="AX1080">
        <v>4.9400968184150015E-4</v>
      </c>
      <c r="AY1080">
        <v>5.810895696229608E-4</v>
      </c>
      <c r="AZ1080">
        <v>0</v>
      </c>
      <c r="BA1080">
        <v>0</v>
      </c>
      <c r="BB1080">
        <v>5.486968670943778E-2</v>
      </c>
      <c r="BC1080">
        <v>0.10238193629735941</v>
      </c>
      <c r="BD1080">
        <v>0</v>
      </c>
      <c r="BE1080">
        <v>36013.028510968681</v>
      </c>
      <c r="BF1080">
        <v>20.886186139816271</v>
      </c>
      <c r="BG1080">
        <v>38476.05675169902</v>
      </c>
      <c r="BH1080">
        <v>20.845641302840928</v>
      </c>
    </row>
    <row r="1081" spans="3:60" x14ac:dyDescent="0.2">
      <c r="C1081" s="138">
        <v>36240.669999999969</v>
      </c>
      <c r="D1081">
        <v>20.914713690320422</v>
      </c>
      <c r="E1081" s="138">
        <v>38720.657272727287</v>
      </c>
      <c r="F1081" s="138">
        <v>20.875391607578372</v>
      </c>
      <c r="G1081" s="138">
        <v>-2055.113636363641</v>
      </c>
      <c r="H1081" s="138">
        <v>5.140997694975305E-2</v>
      </c>
      <c r="R1081">
        <v>351.25353270438558</v>
      </c>
      <c r="S1081">
        <v>67.578117486426564</v>
      </c>
      <c r="T1081">
        <v>260.9293947192669</v>
      </c>
      <c r="U1081">
        <v>104.71627104520563</v>
      </c>
      <c r="V1081">
        <v>0</v>
      </c>
      <c r="W1081">
        <v>0</v>
      </c>
      <c r="X1081">
        <v>0.74382655559780575</v>
      </c>
      <c r="Y1081">
        <v>0.73223688143298116</v>
      </c>
      <c r="Z1081">
        <v>0.73905607270936713</v>
      </c>
      <c r="AA1081">
        <v>0.7511699936644165</v>
      </c>
      <c r="AB1081">
        <v>0.72411264232057748</v>
      </c>
      <c r="AC1081">
        <v>0.73212350577286289</v>
      </c>
      <c r="AD1081">
        <v>0.73353814689695485</v>
      </c>
      <c r="AE1081">
        <v>0.70894038633391121</v>
      </c>
      <c r="AF1081">
        <v>0</v>
      </c>
      <c r="AG1081">
        <v>0</v>
      </c>
      <c r="AH1081">
        <v>0.34268278213226838</v>
      </c>
      <c r="AI1081">
        <v>0.32581944089339709</v>
      </c>
      <c r="AJ1081">
        <v>0.27819072181532811</v>
      </c>
      <c r="AK1081">
        <v>0.30096905491928067</v>
      </c>
      <c r="AL1081">
        <v>0.29312706568497143</v>
      </c>
      <c r="AM1081">
        <v>0.3034845724632862</v>
      </c>
      <c r="AN1081">
        <v>0.28967215284430559</v>
      </c>
      <c r="AO1081">
        <v>0.31848394724406115</v>
      </c>
      <c r="AP1081">
        <v>0</v>
      </c>
      <c r="AQ1081">
        <v>0</v>
      </c>
      <c r="AR1081">
        <v>9.7687264638420738E-4</v>
      </c>
      <c r="AS1081">
        <v>4.7138761020592739E-3</v>
      </c>
      <c r="AT1081">
        <v>0.10105129590080934</v>
      </c>
      <c r="AU1081">
        <v>2.1353726339479713E-3</v>
      </c>
      <c r="AV1081">
        <v>2.1389641299346621E-3</v>
      </c>
      <c r="AW1081">
        <v>3.5851628395312694E-3</v>
      </c>
      <c r="AX1081">
        <v>4.9813148584933122E-4</v>
      </c>
      <c r="AY1081">
        <v>5.8629660704147702E-4</v>
      </c>
      <c r="AZ1081">
        <v>0</v>
      </c>
      <c r="BA1081">
        <v>0</v>
      </c>
      <c r="BB1081">
        <v>5.5158518867498937E-2</v>
      </c>
      <c r="BC1081">
        <v>0.10395621862291718</v>
      </c>
      <c r="BD1081">
        <v>0</v>
      </c>
      <c r="BE1081">
        <v>36240.670803201698</v>
      </c>
      <c r="BF1081">
        <v>20.914713690320422</v>
      </c>
      <c r="BG1081">
        <v>38720.659923703373</v>
      </c>
      <c r="BH1081">
        <v>20.875391607578372</v>
      </c>
    </row>
    <row r="1082" spans="3:60" x14ac:dyDescent="0.2">
      <c r="C1082" s="138">
        <v>36468.312222222194</v>
      </c>
      <c r="D1082">
        <v>20.943241240824573</v>
      </c>
      <c r="E1082" s="138">
        <v>38965.260404040419</v>
      </c>
      <c r="F1082" s="138">
        <v>20.905141912315816</v>
      </c>
      <c r="G1082" s="138">
        <v>-2034.282424242429</v>
      </c>
      <c r="H1082" s="138">
        <v>5.321402201891292E-2</v>
      </c>
      <c r="R1082">
        <v>357.48613715110139</v>
      </c>
      <c r="S1082">
        <v>67.972873862361155</v>
      </c>
      <c r="T1082">
        <v>262.50838923794538</v>
      </c>
      <c r="U1082">
        <v>105.32488762203846</v>
      </c>
      <c r="V1082">
        <v>0</v>
      </c>
      <c r="W1082">
        <v>0</v>
      </c>
      <c r="X1082">
        <v>0.75072294465033595</v>
      </c>
      <c r="Y1082">
        <v>0.73911512965984527</v>
      </c>
      <c r="Z1082">
        <v>0.746175097950042</v>
      </c>
      <c r="AA1082">
        <v>0.75779810521625601</v>
      </c>
      <c r="AB1082">
        <v>0.73125460087207006</v>
      </c>
      <c r="AC1082">
        <v>0.73908338196532353</v>
      </c>
      <c r="AD1082">
        <v>0.74038471880251178</v>
      </c>
      <c r="AE1082">
        <v>0.71672122964852725</v>
      </c>
      <c r="AF1082">
        <v>0</v>
      </c>
      <c r="AG1082">
        <v>0</v>
      </c>
      <c r="AH1082">
        <v>0.34807702552704067</v>
      </c>
      <c r="AI1082">
        <v>0.33096421881324767</v>
      </c>
      <c r="AJ1082">
        <v>0.28256260725568849</v>
      </c>
      <c r="AK1082">
        <v>0.30568885215873859</v>
      </c>
      <c r="AL1082">
        <v>0.29776295998443802</v>
      </c>
      <c r="AM1082">
        <v>0.30828371022827028</v>
      </c>
      <c r="AN1082">
        <v>0.29423055104046542</v>
      </c>
      <c r="AO1082">
        <v>0.32347044289538707</v>
      </c>
      <c r="AP1082">
        <v>0</v>
      </c>
      <c r="AQ1082">
        <v>0</v>
      </c>
      <c r="AR1082">
        <v>9.8331398834044224E-4</v>
      </c>
      <c r="AS1082">
        <v>4.7281478919852273E-3</v>
      </c>
      <c r="AT1082">
        <v>0.10111128866275566</v>
      </c>
      <c r="AU1082">
        <v>2.1448123259944149E-3</v>
      </c>
      <c r="AV1082">
        <v>2.1482815212288987E-3</v>
      </c>
      <c r="AW1082">
        <v>3.5976194686932052E-3</v>
      </c>
      <c r="AX1082">
        <v>5.0225328985716228E-4</v>
      </c>
      <c r="AY1082">
        <v>5.9150364445999324E-4</v>
      </c>
      <c r="AZ1082">
        <v>0</v>
      </c>
      <c r="BA1082">
        <v>0</v>
      </c>
      <c r="BB1082">
        <v>5.5447351025560095E-2</v>
      </c>
      <c r="BC1082">
        <v>0.10553050094847495</v>
      </c>
      <c r="BD1082">
        <v>0</v>
      </c>
      <c r="BE1082">
        <v>36468.313095434714</v>
      </c>
      <c r="BF1082">
        <v>20.943241240824573</v>
      </c>
      <c r="BG1082">
        <v>38965.263095707727</v>
      </c>
      <c r="BH1082">
        <v>20.905141912315816</v>
      </c>
    </row>
    <row r="1083" spans="3:60" x14ac:dyDescent="0.2">
      <c r="C1083" s="138">
        <v>36695.954444444418</v>
      </c>
      <c r="D1083">
        <v>20.971768791328724</v>
      </c>
      <c r="E1083" s="138">
        <v>39209.86353535355</v>
      </c>
      <c r="F1083" s="138">
        <v>20.93489221705326</v>
      </c>
      <c r="G1083" s="138">
        <v>-2013.4512121212169</v>
      </c>
      <c r="H1083" s="138">
        <v>5.5018067088072789E-2</v>
      </c>
      <c r="R1083">
        <v>363.7187415978172</v>
      </c>
      <c r="S1083">
        <v>68.367630238295746</v>
      </c>
      <c r="T1083">
        <v>264.08738375662386</v>
      </c>
      <c r="U1083">
        <v>105.93350419887129</v>
      </c>
      <c r="V1083">
        <v>0</v>
      </c>
      <c r="W1083">
        <v>0</v>
      </c>
      <c r="X1083">
        <v>0.75761933370286616</v>
      </c>
      <c r="Y1083">
        <v>0.74599337788670939</v>
      </c>
      <c r="Z1083">
        <v>0.75329412319071687</v>
      </c>
      <c r="AA1083">
        <v>0.76442621676809552</v>
      </c>
      <c r="AB1083">
        <v>0.73839655942356264</v>
      </c>
      <c r="AC1083">
        <v>0.74604325815778416</v>
      </c>
      <c r="AD1083">
        <v>0.74723129070806871</v>
      </c>
      <c r="AE1083">
        <v>0.72450207296314328</v>
      </c>
      <c r="AF1083">
        <v>0</v>
      </c>
      <c r="AG1083">
        <v>0</v>
      </c>
      <c r="AH1083">
        <v>0.35347126892181296</v>
      </c>
      <c r="AI1083">
        <v>0.33610899673309824</v>
      </c>
      <c r="AJ1083">
        <v>0.28693449269604887</v>
      </c>
      <c r="AK1083">
        <v>0.31040864939819651</v>
      </c>
      <c r="AL1083">
        <v>0.30239885428390462</v>
      </c>
      <c r="AM1083">
        <v>0.31308284799325437</v>
      </c>
      <c r="AN1083">
        <v>0.29878894923662525</v>
      </c>
      <c r="AO1083">
        <v>0.32845693854671298</v>
      </c>
      <c r="AP1083">
        <v>0</v>
      </c>
      <c r="AQ1083">
        <v>0</v>
      </c>
      <c r="AR1083">
        <v>9.8975533029667709E-4</v>
      </c>
      <c r="AS1083">
        <v>4.7424196819111806E-3</v>
      </c>
      <c r="AT1083">
        <v>0.10117128142470198</v>
      </c>
      <c r="AU1083">
        <v>2.1542520180408585E-3</v>
      </c>
      <c r="AV1083">
        <v>2.1575989125231353E-3</v>
      </c>
      <c r="AW1083">
        <v>3.6100760978551409E-3</v>
      </c>
      <c r="AX1083">
        <v>5.0637509386499335E-4</v>
      </c>
      <c r="AY1083">
        <v>5.9671068187850946E-4</v>
      </c>
      <c r="AZ1083">
        <v>0</v>
      </c>
      <c r="BA1083">
        <v>0</v>
      </c>
      <c r="BB1083">
        <v>5.5736183183621252E-2</v>
      </c>
      <c r="BC1083">
        <v>0.10710478327403272</v>
      </c>
      <c r="BD1083">
        <v>0</v>
      </c>
      <c r="BE1083">
        <v>36695.955387667731</v>
      </c>
      <c r="BF1083">
        <v>20.971768791328724</v>
      </c>
      <c r="BG1083">
        <v>39209.866267712081</v>
      </c>
      <c r="BH1083">
        <v>20.93489221705326</v>
      </c>
    </row>
    <row r="1084" spans="3:60" x14ac:dyDescent="0.2">
      <c r="C1084" s="138">
        <v>36923.596666666643</v>
      </c>
      <c r="D1084">
        <v>21.000296341832875</v>
      </c>
      <c r="E1084" s="138">
        <v>39454.466666666682</v>
      </c>
      <c r="F1084" s="138">
        <v>20.964642521790704</v>
      </c>
      <c r="G1084" s="138">
        <v>-1992.6200000000049</v>
      </c>
      <c r="H1084" s="138">
        <v>5.6822112157232658E-2</v>
      </c>
      <c r="R1084">
        <v>369.95134604453301</v>
      </c>
      <c r="S1084">
        <v>68.762386614230337</v>
      </c>
      <c r="T1084">
        <v>265.66637827530235</v>
      </c>
      <c r="U1084">
        <v>106.54212077570412</v>
      </c>
      <c r="V1084">
        <v>0</v>
      </c>
      <c r="W1084">
        <v>0</v>
      </c>
      <c r="X1084">
        <v>0.76451572275539637</v>
      </c>
      <c r="Y1084">
        <v>0.7528716261135735</v>
      </c>
      <c r="Z1084">
        <v>0.76041314843139174</v>
      </c>
      <c r="AA1084">
        <v>0.77105432831993503</v>
      </c>
      <c r="AB1084">
        <v>0.74553851797505521</v>
      </c>
      <c r="AC1084">
        <v>0.7530031343502448</v>
      </c>
      <c r="AD1084">
        <v>0.75407786261362564</v>
      </c>
      <c r="AE1084">
        <v>0.73228291627775932</v>
      </c>
      <c r="AF1084">
        <v>0</v>
      </c>
      <c r="AG1084">
        <v>0</v>
      </c>
      <c r="AH1084">
        <v>0.35886551231658526</v>
      </c>
      <c r="AI1084">
        <v>0.34125377465294882</v>
      </c>
      <c r="AJ1084">
        <v>0.29130637813640925</v>
      </c>
      <c r="AK1084">
        <v>0.31512844663765444</v>
      </c>
      <c r="AL1084">
        <v>0.30703474858337121</v>
      </c>
      <c r="AM1084">
        <v>0.31788198575823845</v>
      </c>
      <c r="AN1084">
        <v>0.30334734743278507</v>
      </c>
      <c r="AO1084">
        <v>0.3334434341980389</v>
      </c>
      <c r="AP1084">
        <v>0</v>
      </c>
      <c r="AQ1084">
        <v>0</v>
      </c>
      <c r="AR1084">
        <v>9.9619667225291195E-4</v>
      </c>
      <c r="AS1084">
        <v>4.756691471837134E-3</v>
      </c>
      <c r="AT1084">
        <v>0.1012312741866483</v>
      </c>
      <c r="AU1084">
        <v>2.163691710087302E-3</v>
      </c>
      <c r="AV1084">
        <v>2.1669163038173719E-3</v>
      </c>
      <c r="AW1084">
        <v>3.6225327270170767E-3</v>
      </c>
      <c r="AX1084">
        <v>5.1049689787282442E-4</v>
      </c>
      <c r="AY1084">
        <v>6.0191771929702569E-4</v>
      </c>
      <c r="AZ1084">
        <v>0</v>
      </c>
      <c r="BA1084">
        <v>0</v>
      </c>
      <c r="BB1084">
        <v>5.6025015341682409E-2</v>
      </c>
      <c r="BC1084">
        <v>0.10867906559959049</v>
      </c>
      <c r="BD1084">
        <v>0</v>
      </c>
      <c r="BE1084">
        <v>36923.597679900748</v>
      </c>
      <c r="BF1084">
        <v>21.000296341832875</v>
      </c>
      <c r="BG1084">
        <v>39454.469439716435</v>
      </c>
      <c r="BH1084">
        <v>20.964642521790704</v>
      </c>
    </row>
    <row r="1085" spans="3:60" x14ac:dyDescent="0.2">
      <c r="C1085" s="138">
        <v>37151.238888888867</v>
      </c>
      <c r="D1085">
        <v>21.028823892337027</v>
      </c>
      <c r="E1085" s="138">
        <v>39699.069797979813</v>
      </c>
      <c r="F1085" s="138">
        <v>20.994392826528149</v>
      </c>
      <c r="G1085" s="138">
        <v>-1971.7887878787928</v>
      </c>
      <c r="H1085" s="138">
        <v>5.8626157226392528E-2</v>
      </c>
      <c r="R1085">
        <v>376.18395049124882</v>
      </c>
      <c r="S1085">
        <v>69.157142990164928</v>
      </c>
      <c r="T1085">
        <v>267.24537279398083</v>
      </c>
      <c r="U1085">
        <v>107.15073735253695</v>
      </c>
      <c r="V1085">
        <v>0</v>
      </c>
      <c r="W1085">
        <v>0</v>
      </c>
      <c r="X1085">
        <v>0.77141211180792657</v>
      </c>
      <c r="Y1085">
        <v>0.75974987434043761</v>
      </c>
      <c r="Z1085">
        <v>0.76753217367206661</v>
      </c>
      <c r="AA1085">
        <v>0.77768243987177454</v>
      </c>
      <c r="AB1085">
        <v>0.75268047652654779</v>
      </c>
      <c r="AC1085">
        <v>0.75996301054270543</v>
      </c>
      <c r="AD1085">
        <v>0.76092443451918257</v>
      </c>
      <c r="AE1085">
        <v>0.74006375959237536</v>
      </c>
      <c r="AF1085">
        <v>0</v>
      </c>
      <c r="AG1085">
        <v>0</v>
      </c>
      <c r="AH1085">
        <v>0.36425975571135755</v>
      </c>
      <c r="AI1085">
        <v>0.34639855257279939</v>
      </c>
      <c r="AJ1085">
        <v>0.29567826357676963</v>
      </c>
      <c r="AK1085">
        <v>0.31984824387711236</v>
      </c>
      <c r="AL1085">
        <v>0.3116706428828378</v>
      </c>
      <c r="AM1085">
        <v>0.32268112352322253</v>
      </c>
      <c r="AN1085">
        <v>0.3079057456289449</v>
      </c>
      <c r="AO1085">
        <v>0.33842992984936482</v>
      </c>
      <c r="AP1085">
        <v>0</v>
      </c>
      <c r="AQ1085">
        <v>0</v>
      </c>
      <c r="AR1085">
        <v>1.0026380142091468E-3</v>
      </c>
      <c r="AS1085">
        <v>4.7709632617630874E-3</v>
      </c>
      <c r="AT1085">
        <v>0.10129126694859462</v>
      </c>
      <c r="AU1085">
        <v>2.1731314021337456E-3</v>
      </c>
      <c r="AV1085">
        <v>2.1762336951116085E-3</v>
      </c>
      <c r="AW1085">
        <v>3.6349893561790124E-3</v>
      </c>
      <c r="AX1085">
        <v>5.1461870188065548E-4</v>
      </c>
      <c r="AY1085">
        <v>6.0712475671554191E-4</v>
      </c>
      <c r="AZ1085">
        <v>0</v>
      </c>
      <c r="BA1085">
        <v>0</v>
      </c>
      <c r="BB1085">
        <v>5.6313847499743566E-2</v>
      </c>
      <c r="BC1085">
        <v>0.11025334792514827</v>
      </c>
      <c r="BD1085">
        <v>0</v>
      </c>
      <c r="BE1085">
        <v>37151.239972133764</v>
      </c>
      <c r="BF1085">
        <v>21.028823892337027</v>
      </c>
      <c r="BG1085">
        <v>39699.072611720789</v>
      </c>
      <c r="BH1085">
        <v>20.994392826528149</v>
      </c>
    </row>
    <row r="1086" spans="3:60" x14ac:dyDescent="0.2">
      <c r="C1086" s="138">
        <v>37378.881111111092</v>
      </c>
      <c r="D1086">
        <v>21.057351442841178</v>
      </c>
      <c r="E1086" s="138">
        <v>39943.672929292945</v>
      </c>
      <c r="F1086" s="138">
        <v>21.024143131265593</v>
      </c>
      <c r="G1086" s="138">
        <v>-1950.9575757575808</v>
      </c>
      <c r="H1086" s="138">
        <v>6.0430202295552397E-2</v>
      </c>
      <c r="R1086">
        <v>382.41655493796463</v>
      </c>
      <c r="S1086">
        <v>69.551899366099519</v>
      </c>
      <c r="T1086">
        <v>268.82436731265932</v>
      </c>
      <c r="U1086">
        <v>107.75935392936978</v>
      </c>
      <c r="V1086">
        <v>0</v>
      </c>
      <c r="W1086">
        <v>0</v>
      </c>
      <c r="X1086">
        <v>0.77830850086045678</v>
      </c>
      <c r="Y1086">
        <v>0.76662812256730173</v>
      </c>
      <c r="Z1086">
        <v>0.77465119891274148</v>
      </c>
      <c r="AA1086">
        <v>0.78431055142361406</v>
      </c>
      <c r="AB1086">
        <v>0.75982243507804037</v>
      </c>
      <c r="AC1086">
        <v>0.76692288673516607</v>
      </c>
      <c r="AD1086">
        <v>0.7677710064247395</v>
      </c>
      <c r="AE1086">
        <v>0.7478446029069914</v>
      </c>
      <c r="AF1086">
        <v>0</v>
      </c>
      <c r="AG1086">
        <v>0</v>
      </c>
      <c r="AH1086">
        <v>0.36965399910612984</v>
      </c>
      <c r="AI1086">
        <v>0.35154333049264996</v>
      </c>
      <c r="AJ1086">
        <v>0.30005014901713001</v>
      </c>
      <c r="AK1086">
        <v>0.32456804111657028</v>
      </c>
      <c r="AL1086">
        <v>0.31630653718230439</v>
      </c>
      <c r="AM1086">
        <v>0.32748026128820662</v>
      </c>
      <c r="AN1086">
        <v>0.31246414382510473</v>
      </c>
      <c r="AO1086">
        <v>0.34341642550069074</v>
      </c>
      <c r="AP1086">
        <v>0</v>
      </c>
      <c r="AQ1086">
        <v>0</v>
      </c>
      <c r="AR1086">
        <v>1.0090793561653817E-3</v>
      </c>
      <c r="AS1086">
        <v>4.7852350516890407E-3</v>
      </c>
      <c r="AT1086">
        <v>0.10135125971054094</v>
      </c>
      <c r="AU1086">
        <v>2.1825710941801892E-3</v>
      </c>
      <c r="AV1086">
        <v>2.1855510864058451E-3</v>
      </c>
      <c r="AW1086">
        <v>3.6474459853409482E-3</v>
      </c>
      <c r="AX1086">
        <v>5.1874050588848655E-4</v>
      </c>
      <c r="AY1086">
        <v>6.1233179413405813E-4</v>
      </c>
      <c r="AZ1086">
        <v>0</v>
      </c>
      <c r="BA1086">
        <v>0</v>
      </c>
      <c r="BB1086">
        <v>5.6602679657804723E-2</v>
      </c>
      <c r="BC1086">
        <v>0.11182763025070604</v>
      </c>
      <c r="BD1086">
        <v>0</v>
      </c>
      <c r="BE1086">
        <v>37378.882264366781</v>
      </c>
      <c r="BF1086">
        <v>21.057351442841178</v>
      </c>
      <c r="BG1086">
        <v>39943.675783725143</v>
      </c>
      <c r="BH1086">
        <v>21.024143131265593</v>
      </c>
    </row>
    <row r="1087" spans="3:60" x14ac:dyDescent="0.2">
      <c r="C1087" s="138">
        <v>37606.523333333316</v>
      </c>
      <c r="D1087">
        <v>21.085878993345329</v>
      </c>
      <c r="E1087" s="138">
        <v>40188.276060606076</v>
      </c>
      <c r="F1087" s="138">
        <v>21.053893436003037</v>
      </c>
      <c r="G1087" s="138">
        <v>-1930.1263636363688</v>
      </c>
      <c r="H1087" s="138">
        <v>6.2234247364712267E-2</v>
      </c>
      <c r="R1087">
        <v>388.64915938468044</v>
      </c>
      <c r="S1087">
        <v>69.94665574203411</v>
      </c>
      <c r="T1087">
        <v>270.4033618313378</v>
      </c>
      <c r="U1087">
        <v>108.36797050620261</v>
      </c>
      <c r="V1087">
        <v>0</v>
      </c>
      <c r="W1087">
        <v>0</v>
      </c>
      <c r="X1087">
        <v>0.78520488991298698</v>
      </c>
      <c r="Y1087">
        <v>0.77350637079416584</v>
      </c>
      <c r="Z1087">
        <v>0.78177022415341635</v>
      </c>
      <c r="AA1087">
        <v>0.79093866297545357</v>
      </c>
      <c r="AB1087">
        <v>0.76696439362953295</v>
      </c>
      <c r="AC1087">
        <v>0.7738827629276267</v>
      </c>
      <c r="AD1087">
        <v>0.77461757833029643</v>
      </c>
      <c r="AE1087">
        <v>0.75562544622160743</v>
      </c>
      <c r="AF1087">
        <v>0</v>
      </c>
      <c r="AG1087">
        <v>0</v>
      </c>
      <c r="AH1087">
        <v>0.37504824250090213</v>
      </c>
      <c r="AI1087">
        <v>0.35668810841250054</v>
      </c>
      <c r="AJ1087">
        <v>0.30442203445749039</v>
      </c>
      <c r="AK1087">
        <v>0.32928783835602821</v>
      </c>
      <c r="AL1087">
        <v>0.32094243148177098</v>
      </c>
      <c r="AM1087">
        <v>0.3322793990531907</v>
      </c>
      <c r="AN1087">
        <v>0.31702254202126456</v>
      </c>
      <c r="AO1087">
        <v>0.34840292115201665</v>
      </c>
      <c r="AP1087">
        <v>0</v>
      </c>
      <c r="AQ1087">
        <v>0</v>
      </c>
      <c r="AR1087">
        <v>1.0155206981216165E-3</v>
      </c>
      <c r="AS1087">
        <v>4.7995068416149941E-3</v>
      </c>
      <c r="AT1087">
        <v>0.10141125247248726</v>
      </c>
      <c r="AU1087">
        <v>2.1920107862266327E-3</v>
      </c>
      <c r="AV1087">
        <v>2.1948684777000817E-3</v>
      </c>
      <c r="AW1087">
        <v>3.6599026145028839E-3</v>
      </c>
      <c r="AX1087">
        <v>5.2286230989631761E-4</v>
      </c>
      <c r="AY1087">
        <v>6.1753883155257435E-4</v>
      </c>
      <c r="AZ1087">
        <v>0</v>
      </c>
      <c r="BA1087">
        <v>0</v>
      </c>
      <c r="BB1087">
        <v>5.6891511815865881E-2</v>
      </c>
      <c r="BC1087">
        <v>0.11340191257626381</v>
      </c>
      <c r="BD1087">
        <v>0</v>
      </c>
      <c r="BE1087">
        <v>37606.524556599798</v>
      </c>
      <c r="BF1087">
        <v>21.085878993345329</v>
      </c>
      <c r="BG1087">
        <v>40188.278955729496</v>
      </c>
      <c r="BH1087">
        <v>21.053893436003037</v>
      </c>
    </row>
    <row r="1088" spans="3:60" x14ac:dyDescent="0.2">
      <c r="C1088" s="138">
        <v>37834.165555555541</v>
      </c>
      <c r="D1088">
        <v>21.11440654384948</v>
      </c>
      <c r="E1088" s="138">
        <v>40432.879191919208</v>
      </c>
      <c r="F1088" s="138">
        <v>21.083643740740481</v>
      </c>
      <c r="G1088" s="138">
        <v>-1909.2951515151567</v>
      </c>
      <c r="H1088" s="138">
        <v>6.4038292433872129E-2</v>
      </c>
      <c r="R1088">
        <v>394.88176383139626</v>
      </c>
      <c r="S1088">
        <v>70.341412117968702</v>
      </c>
      <c r="T1088">
        <v>271.98235635001629</v>
      </c>
      <c r="U1088">
        <v>108.97658708303544</v>
      </c>
      <c r="V1088">
        <v>0</v>
      </c>
      <c r="W1088">
        <v>0</v>
      </c>
      <c r="X1088">
        <v>0.79210127896551719</v>
      </c>
      <c r="Y1088">
        <v>0.78038461902102996</v>
      </c>
      <c r="Z1088">
        <v>0.78888924939409122</v>
      </c>
      <c r="AA1088">
        <v>0.79756677452729308</v>
      </c>
      <c r="AB1088">
        <v>0.77410635218102553</v>
      </c>
      <c r="AC1088">
        <v>0.78084263912008733</v>
      </c>
      <c r="AD1088">
        <v>0.78146415023585336</v>
      </c>
      <c r="AE1088">
        <v>0.76340628953622347</v>
      </c>
      <c r="AF1088">
        <v>0</v>
      </c>
      <c r="AG1088">
        <v>0</v>
      </c>
      <c r="AH1088">
        <v>0.38044248589567442</v>
      </c>
      <c r="AI1088">
        <v>0.36183288633235111</v>
      </c>
      <c r="AJ1088">
        <v>0.30879391989785077</v>
      </c>
      <c r="AK1088">
        <v>0.33400763559548613</v>
      </c>
      <c r="AL1088">
        <v>0.32557832578123758</v>
      </c>
      <c r="AM1088">
        <v>0.33707853681817479</v>
      </c>
      <c r="AN1088">
        <v>0.32158094021742439</v>
      </c>
      <c r="AO1088">
        <v>0.35338941680334257</v>
      </c>
      <c r="AP1088">
        <v>0</v>
      </c>
      <c r="AQ1088">
        <v>0</v>
      </c>
      <c r="AR1088">
        <v>1.0219620400778514E-3</v>
      </c>
      <c r="AS1088">
        <v>4.8137786315409475E-3</v>
      </c>
      <c r="AT1088">
        <v>0.10147124523443359</v>
      </c>
      <c r="AU1088">
        <v>2.2014504782730763E-3</v>
      </c>
      <c r="AV1088">
        <v>2.2041858689943183E-3</v>
      </c>
      <c r="AW1088">
        <v>3.6723592436648197E-3</v>
      </c>
      <c r="AX1088">
        <v>5.2698411390414868E-4</v>
      </c>
      <c r="AY1088">
        <v>6.2274586897109057E-4</v>
      </c>
      <c r="AZ1088">
        <v>0</v>
      </c>
      <c r="BA1088">
        <v>0</v>
      </c>
      <c r="BB1088">
        <v>5.7180343973927038E-2</v>
      </c>
      <c r="BC1088">
        <v>0.11497619490182158</v>
      </c>
      <c r="BD1088">
        <v>0</v>
      </c>
      <c r="BE1088">
        <v>37834.166848832814</v>
      </c>
      <c r="BF1088">
        <v>21.11440654384948</v>
      </c>
      <c r="BG1088">
        <v>40432.88212773385</v>
      </c>
      <c r="BH1088">
        <v>21.083643740740481</v>
      </c>
    </row>
    <row r="1089" spans="3:60" x14ac:dyDescent="0.2">
      <c r="C1089" s="138">
        <v>38061.807777777765</v>
      </c>
      <c r="D1089">
        <v>21.142934094353631</v>
      </c>
      <c r="E1089" s="138">
        <v>40677.48232323234</v>
      </c>
      <c r="F1089" s="138">
        <v>21.113394045477925</v>
      </c>
      <c r="G1089" s="138">
        <v>-1888.4639393939447</v>
      </c>
      <c r="H1089" s="138">
        <v>6.5842337503031992E-2</v>
      </c>
      <c r="R1089">
        <v>401.11436827811207</v>
      </c>
      <c r="S1089">
        <v>70.736168493903293</v>
      </c>
      <c r="T1089">
        <v>273.56135086869477</v>
      </c>
      <c r="U1089">
        <v>109.58520365986827</v>
      </c>
      <c r="V1089">
        <v>0</v>
      </c>
      <c r="W1089">
        <v>0</v>
      </c>
      <c r="X1089">
        <v>0.79899766801804739</v>
      </c>
      <c r="Y1089">
        <v>0.78726286724789407</v>
      </c>
      <c r="Z1089">
        <v>0.79600827463476609</v>
      </c>
      <c r="AA1089">
        <v>0.80419488607913259</v>
      </c>
      <c r="AB1089">
        <v>0.7812483107325181</v>
      </c>
      <c r="AC1089">
        <v>0.78780251531254797</v>
      </c>
      <c r="AD1089">
        <v>0.78831072214141029</v>
      </c>
      <c r="AE1089">
        <v>0.77118713285083951</v>
      </c>
      <c r="AF1089">
        <v>0</v>
      </c>
      <c r="AG1089">
        <v>0</v>
      </c>
      <c r="AH1089">
        <v>0.38583672929044671</v>
      </c>
      <c r="AI1089">
        <v>0.36697766425220169</v>
      </c>
      <c r="AJ1089">
        <v>0.31316580533821115</v>
      </c>
      <c r="AK1089">
        <v>0.33872743283494405</v>
      </c>
      <c r="AL1089">
        <v>0.33021422008070417</v>
      </c>
      <c r="AM1089">
        <v>0.34187767458315887</v>
      </c>
      <c r="AN1089">
        <v>0.32613933841358422</v>
      </c>
      <c r="AO1089">
        <v>0.35837591245466849</v>
      </c>
      <c r="AP1089">
        <v>0</v>
      </c>
      <c r="AQ1089">
        <v>0</v>
      </c>
      <c r="AR1089">
        <v>1.0284033820340862E-3</v>
      </c>
      <c r="AS1089">
        <v>4.8280504214669008E-3</v>
      </c>
      <c r="AT1089">
        <v>0.10153123799637991</v>
      </c>
      <c r="AU1089">
        <v>2.2108901703195198E-3</v>
      </c>
      <c r="AV1089">
        <v>2.2135032602885549E-3</v>
      </c>
      <c r="AW1089">
        <v>3.6848158728267555E-3</v>
      </c>
      <c r="AX1089">
        <v>5.3110591791197975E-4</v>
      </c>
      <c r="AY1089">
        <v>6.279529063896068E-4</v>
      </c>
      <c r="AZ1089">
        <v>0</v>
      </c>
      <c r="BA1089">
        <v>0</v>
      </c>
      <c r="BB1089">
        <v>5.7469176131988195E-2</v>
      </c>
      <c r="BC1089">
        <v>0.11655047722737935</v>
      </c>
      <c r="BD1089">
        <v>0</v>
      </c>
      <c r="BE1089">
        <v>38061.809141065831</v>
      </c>
      <c r="BF1089">
        <v>21.142934094353631</v>
      </c>
      <c r="BG1089">
        <v>40677.485299738204</v>
      </c>
      <c r="BH1089">
        <v>21.113394045477925</v>
      </c>
    </row>
    <row r="1090" spans="3:60" x14ac:dyDescent="0.2">
      <c r="C1090" s="138">
        <v>38289.44999999999</v>
      </c>
      <c r="D1090">
        <v>21.171461644857782</v>
      </c>
      <c r="E1090" s="138">
        <v>40922.085454545471</v>
      </c>
      <c r="F1090" s="138">
        <v>21.143144350215369</v>
      </c>
      <c r="G1090" s="138">
        <v>-1867.6327272727326</v>
      </c>
      <c r="H1090" s="138">
        <v>6.7646382572191854E-2</v>
      </c>
      <c r="R1090">
        <v>407.34697272482788</v>
      </c>
      <c r="S1090">
        <v>71.130924869837884</v>
      </c>
      <c r="T1090">
        <v>275.14034538737326</v>
      </c>
      <c r="U1090">
        <v>110.1938202367011</v>
      </c>
      <c r="V1090">
        <v>0</v>
      </c>
      <c r="W1090">
        <v>0</v>
      </c>
      <c r="X1090">
        <v>0.8058940570705776</v>
      </c>
      <c r="Y1090">
        <v>0.79414111547475819</v>
      </c>
      <c r="Z1090">
        <v>0.80312729987544096</v>
      </c>
      <c r="AA1090">
        <v>0.8108229976309721</v>
      </c>
      <c r="AB1090">
        <v>0.78839026928401068</v>
      </c>
      <c r="AC1090">
        <v>0.7947623915050086</v>
      </c>
      <c r="AD1090">
        <v>0.79515729404696722</v>
      </c>
      <c r="AE1090">
        <v>0.77896797616545554</v>
      </c>
      <c r="AF1090">
        <v>0</v>
      </c>
      <c r="AG1090">
        <v>0</v>
      </c>
      <c r="AH1090">
        <v>0.391230972685219</v>
      </c>
      <c r="AI1090">
        <v>0.37212244217205226</v>
      </c>
      <c r="AJ1090">
        <v>0.31753769077857152</v>
      </c>
      <c r="AK1090">
        <v>0.34344723007440198</v>
      </c>
      <c r="AL1090">
        <v>0.33485011438017076</v>
      </c>
      <c r="AM1090">
        <v>0.34667681234814296</v>
      </c>
      <c r="AN1090">
        <v>0.33069773660974405</v>
      </c>
      <c r="AO1090">
        <v>0.36336240810599441</v>
      </c>
      <c r="AP1090">
        <v>0</v>
      </c>
      <c r="AQ1090">
        <v>0</v>
      </c>
      <c r="AR1090">
        <v>1.0348447239903211E-3</v>
      </c>
      <c r="AS1090">
        <v>4.8423222113928542E-3</v>
      </c>
      <c r="AT1090">
        <v>0.10159123075832623</v>
      </c>
      <c r="AU1090">
        <v>2.2203298623659634E-3</v>
      </c>
      <c r="AV1090">
        <v>2.2228206515827915E-3</v>
      </c>
      <c r="AW1090">
        <v>3.6972725019886912E-3</v>
      </c>
      <c r="AX1090">
        <v>5.3522772191981081E-4</v>
      </c>
      <c r="AY1090">
        <v>6.3315994380812302E-4</v>
      </c>
      <c r="AZ1090">
        <v>0</v>
      </c>
      <c r="BA1090">
        <v>0</v>
      </c>
      <c r="BB1090">
        <v>5.7758008290049352E-2</v>
      </c>
      <c r="BC1090">
        <v>0.11812475955293712</v>
      </c>
      <c r="BD1090">
        <v>0</v>
      </c>
      <c r="BE1090">
        <v>38289.451433298847</v>
      </c>
      <c r="BF1090">
        <v>21.171461644857782</v>
      </c>
      <c r="BG1090">
        <v>40922.088471742558</v>
      </c>
      <c r="BH1090">
        <v>21.143144350215369</v>
      </c>
    </row>
    <row r="1091" spans="3:60" x14ac:dyDescent="0.2">
      <c r="C1091" s="138">
        <v>38517.092222222214</v>
      </c>
      <c r="D1091">
        <v>21.199989195361933</v>
      </c>
      <c r="E1091" s="138">
        <v>41166.688585858603</v>
      </c>
      <c r="F1091" s="138">
        <v>21.172894654952813</v>
      </c>
      <c r="G1091" s="138">
        <v>-1846.8015151515206</v>
      </c>
      <c r="H1091" s="138">
        <v>6.9450427641351717E-2</v>
      </c>
      <c r="R1091">
        <v>413.57957717154369</v>
      </c>
      <c r="S1091">
        <v>71.525681245772475</v>
      </c>
      <c r="T1091">
        <v>276.71933990605174</v>
      </c>
      <c r="U1091">
        <v>110.80243681353393</v>
      </c>
      <c r="V1091">
        <v>0</v>
      </c>
      <c r="W1091">
        <v>0</v>
      </c>
      <c r="X1091">
        <v>0.8127904461231078</v>
      </c>
      <c r="Y1091">
        <v>0.8010193637016223</v>
      </c>
      <c r="Z1091">
        <v>0.81024632511611583</v>
      </c>
      <c r="AA1091">
        <v>0.81745110918281161</v>
      </c>
      <c r="AB1091">
        <v>0.79553222783550326</v>
      </c>
      <c r="AC1091">
        <v>0.80172226769746924</v>
      </c>
      <c r="AD1091">
        <v>0.80200386595252415</v>
      </c>
      <c r="AE1091">
        <v>0.78674881948007158</v>
      </c>
      <c r="AF1091">
        <v>0</v>
      </c>
      <c r="AG1091">
        <v>0</v>
      </c>
      <c r="AH1091">
        <v>0.39662521607999129</v>
      </c>
      <c r="AI1091">
        <v>0.37726722009190283</v>
      </c>
      <c r="AJ1091">
        <v>0.3219095762189319</v>
      </c>
      <c r="AK1091">
        <v>0.3481670273138599</v>
      </c>
      <c r="AL1091">
        <v>0.33948600867963735</v>
      </c>
      <c r="AM1091">
        <v>0.35147595011312704</v>
      </c>
      <c r="AN1091">
        <v>0.33525613480590388</v>
      </c>
      <c r="AO1091">
        <v>0.36834890375732032</v>
      </c>
      <c r="AP1091">
        <v>0</v>
      </c>
      <c r="AQ1091">
        <v>0</v>
      </c>
      <c r="AR1091">
        <v>1.0412860659465559E-3</v>
      </c>
      <c r="AS1091">
        <v>4.8565940013188076E-3</v>
      </c>
      <c r="AT1091">
        <v>0.10165122352027255</v>
      </c>
      <c r="AU1091">
        <v>2.229769554412407E-3</v>
      </c>
      <c r="AV1091">
        <v>2.2321380428770281E-3</v>
      </c>
      <c r="AW1091">
        <v>3.709729131150627E-3</v>
      </c>
      <c r="AX1091">
        <v>5.3934952592764188E-4</v>
      </c>
      <c r="AY1091">
        <v>6.3836698122663924E-4</v>
      </c>
      <c r="AZ1091">
        <v>0</v>
      </c>
      <c r="BA1091">
        <v>0</v>
      </c>
      <c r="BB1091">
        <v>5.8046840448110509E-2</v>
      </c>
      <c r="BC1091">
        <v>0.11969904187849489</v>
      </c>
      <c r="BD1091">
        <v>0</v>
      </c>
      <c r="BE1091">
        <v>38517.093725531864</v>
      </c>
      <c r="BF1091">
        <v>21.199989195361933</v>
      </c>
      <c r="BG1091">
        <v>41166.691643746912</v>
      </c>
      <c r="BH1091">
        <v>21.172894654952813</v>
      </c>
    </row>
    <row r="1092" spans="3:60" x14ac:dyDescent="0.2">
      <c r="C1092" s="138">
        <v>38744.734444444439</v>
      </c>
      <c r="D1092">
        <v>21.228516745866084</v>
      </c>
      <c r="E1092" s="138">
        <v>41411.291717171734</v>
      </c>
      <c r="F1092" s="138">
        <v>21.202644959690257</v>
      </c>
      <c r="G1092" s="138">
        <v>-1825.9703030303085</v>
      </c>
      <c r="H1092" s="138">
        <v>7.1254472710511579E-2</v>
      </c>
      <c r="R1092">
        <v>419.8121816182595</v>
      </c>
      <c r="S1092">
        <v>71.920437621707066</v>
      </c>
      <c r="T1092">
        <v>278.29833442473023</v>
      </c>
      <c r="U1092">
        <v>111.41105339036676</v>
      </c>
      <c r="V1092">
        <v>0</v>
      </c>
      <c r="W1092">
        <v>0</v>
      </c>
      <c r="X1092">
        <v>0.81968683517563801</v>
      </c>
      <c r="Y1092">
        <v>0.80789761192848641</v>
      </c>
      <c r="Z1092">
        <v>0.8173653503567907</v>
      </c>
      <c r="AA1092">
        <v>0.82407922073465112</v>
      </c>
      <c r="AB1092">
        <v>0.80267418638699584</v>
      </c>
      <c r="AC1092">
        <v>0.80868214388992987</v>
      </c>
      <c r="AD1092">
        <v>0.80885043785808108</v>
      </c>
      <c r="AE1092">
        <v>0.79452966279468762</v>
      </c>
      <c r="AF1092">
        <v>0</v>
      </c>
      <c r="AG1092">
        <v>0</v>
      </c>
      <c r="AH1092">
        <v>0.40201945947476359</v>
      </c>
      <c r="AI1092">
        <v>0.38241199801175341</v>
      </c>
      <c r="AJ1092">
        <v>0.32628146165929228</v>
      </c>
      <c r="AK1092">
        <v>0.35288682455331782</v>
      </c>
      <c r="AL1092">
        <v>0.34412190297910394</v>
      </c>
      <c r="AM1092">
        <v>0.35627508787811113</v>
      </c>
      <c r="AN1092">
        <v>0.33981453300206371</v>
      </c>
      <c r="AO1092">
        <v>0.37333539940864624</v>
      </c>
      <c r="AP1092">
        <v>0</v>
      </c>
      <c r="AQ1092">
        <v>0</v>
      </c>
      <c r="AR1092">
        <v>1.0477274079027908E-3</v>
      </c>
      <c r="AS1092">
        <v>4.8708657912447609E-3</v>
      </c>
      <c r="AT1092">
        <v>0.10171121628221887</v>
      </c>
      <c r="AU1092">
        <v>2.2392092464588505E-3</v>
      </c>
      <c r="AV1092">
        <v>2.2414554341712647E-3</v>
      </c>
      <c r="AW1092">
        <v>3.7221857603125627E-3</v>
      </c>
      <c r="AX1092">
        <v>5.4347132993547295E-4</v>
      </c>
      <c r="AY1092">
        <v>6.4357401864515546E-4</v>
      </c>
      <c r="AZ1092">
        <v>0</v>
      </c>
      <c r="BA1092">
        <v>0</v>
      </c>
      <c r="BB1092">
        <v>5.8335672606171667E-2</v>
      </c>
      <c r="BC1092">
        <v>0.12127332420405267</v>
      </c>
      <c r="BD1092">
        <v>0</v>
      </c>
      <c r="BE1092">
        <v>38744.736017764881</v>
      </c>
      <c r="BF1092">
        <v>21.228516745866084</v>
      </c>
      <c r="BG1092">
        <v>41411.294815751266</v>
      </c>
      <c r="BH1092">
        <v>21.202644959690257</v>
      </c>
    </row>
    <row r="1093" spans="3:60" x14ac:dyDescent="0.2">
      <c r="C1093" s="138">
        <v>38972.376666666663</v>
      </c>
      <c r="D1093">
        <v>21.257044296370236</v>
      </c>
      <c r="E1093" s="138">
        <v>41655.894848484866</v>
      </c>
      <c r="F1093" s="138">
        <v>21.232395264427701</v>
      </c>
      <c r="G1093" s="138">
        <v>-1805.1390909090965</v>
      </c>
      <c r="H1093" s="138">
        <v>7.3058517779671442E-2</v>
      </c>
      <c r="R1093">
        <v>426.04478606497531</v>
      </c>
      <c r="S1093">
        <v>72.315193997641657</v>
      </c>
      <c r="T1093">
        <v>279.87732894340871</v>
      </c>
      <c r="U1093">
        <v>112.01966996719959</v>
      </c>
      <c r="V1093">
        <v>0</v>
      </c>
      <c r="W1093">
        <v>0</v>
      </c>
      <c r="X1093">
        <v>0.82658322422816821</v>
      </c>
      <c r="Y1093">
        <v>0.81477586015535053</v>
      </c>
      <c r="Z1093">
        <v>0.82448437559746557</v>
      </c>
      <c r="AA1093">
        <v>0.83070733228649063</v>
      </c>
      <c r="AB1093">
        <v>0.80981614493848841</v>
      </c>
      <c r="AC1093">
        <v>0.81564202008239051</v>
      </c>
      <c r="AD1093">
        <v>0.81569700976363801</v>
      </c>
      <c r="AE1093">
        <v>0.80231050610930366</v>
      </c>
      <c r="AF1093">
        <v>0</v>
      </c>
      <c r="AG1093">
        <v>0</v>
      </c>
      <c r="AH1093">
        <v>0.40741370286953588</v>
      </c>
      <c r="AI1093">
        <v>0.38755677593160398</v>
      </c>
      <c r="AJ1093">
        <v>0.33065334709965266</v>
      </c>
      <c r="AK1093">
        <v>0.35760662179277575</v>
      </c>
      <c r="AL1093">
        <v>0.34875779727857054</v>
      </c>
      <c r="AM1093">
        <v>0.36107422564309521</v>
      </c>
      <c r="AN1093">
        <v>0.34437293119822354</v>
      </c>
      <c r="AO1093">
        <v>0.37832189505997216</v>
      </c>
      <c r="AP1093">
        <v>0</v>
      </c>
      <c r="AQ1093">
        <v>0</v>
      </c>
      <c r="AR1093">
        <v>1.0541687498590256E-3</v>
      </c>
      <c r="AS1093">
        <v>4.8851375811707143E-3</v>
      </c>
      <c r="AT1093">
        <v>0.10177120904416519</v>
      </c>
      <c r="AU1093">
        <v>2.2486489385052941E-3</v>
      </c>
      <c r="AV1093">
        <v>2.2507728254655014E-3</v>
      </c>
      <c r="AW1093">
        <v>3.7346423894744985E-3</v>
      </c>
      <c r="AX1093">
        <v>5.4759313394330401E-4</v>
      </c>
      <c r="AY1093">
        <v>6.4878105606367168E-4</v>
      </c>
      <c r="AZ1093">
        <v>0</v>
      </c>
      <c r="BA1093">
        <v>0</v>
      </c>
      <c r="BB1093">
        <v>5.8624504764232824E-2</v>
      </c>
      <c r="BC1093">
        <v>0.12284760652961044</v>
      </c>
      <c r="BD1093">
        <v>0</v>
      </c>
      <c r="BE1093">
        <v>38972.378309997897</v>
      </c>
      <c r="BF1093">
        <v>21.257044296370236</v>
      </c>
      <c r="BG1093">
        <v>41655.897987755619</v>
      </c>
      <c r="BH1093">
        <v>21.232395264427701</v>
      </c>
    </row>
    <row r="1094" spans="3:60" x14ac:dyDescent="0.2">
      <c r="C1094" s="138">
        <v>39200.018888888888</v>
      </c>
      <c r="D1094">
        <v>21.285571846874387</v>
      </c>
      <c r="E1094" s="138">
        <v>41900.497979797998</v>
      </c>
      <c r="F1094" s="138">
        <v>21.262145569165146</v>
      </c>
      <c r="G1094" s="138">
        <v>-1784.3078787878844</v>
      </c>
      <c r="H1094" s="138">
        <v>7.4862562848831304E-2</v>
      </c>
      <c r="R1094">
        <v>432.27739051169112</v>
      </c>
      <c r="S1094">
        <v>72.709950373576248</v>
      </c>
      <c r="T1094">
        <v>281.4563234620872</v>
      </c>
      <c r="U1094">
        <v>112.62828654403242</v>
      </c>
      <c r="V1094">
        <v>0</v>
      </c>
      <c r="W1094">
        <v>0</v>
      </c>
      <c r="X1094">
        <v>0.83347961328069842</v>
      </c>
      <c r="Y1094">
        <v>0.82165410838221464</v>
      </c>
      <c r="Z1094">
        <v>0.83160340083814044</v>
      </c>
      <c r="AA1094">
        <v>0.83733544383833014</v>
      </c>
      <c r="AB1094">
        <v>0.81695810348998099</v>
      </c>
      <c r="AC1094">
        <v>0.82260189627485114</v>
      </c>
      <c r="AD1094">
        <v>0.82254358166919495</v>
      </c>
      <c r="AE1094">
        <v>0.81009134942391969</v>
      </c>
      <c r="AF1094">
        <v>0</v>
      </c>
      <c r="AG1094">
        <v>0</v>
      </c>
      <c r="AH1094">
        <v>0.41280794626430817</v>
      </c>
      <c r="AI1094">
        <v>0.39270155385145455</v>
      </c>
      <c r="AJ1094">
        <v>0.33502523254001304</v>
      </c>
      <c r="AK1094">
        <v>0.36232641903223367</v>
      </c>
      <c r="AL1094">
        <v>0.35339369157803713</v>
      </c>
      <c r="AM1094">
        <v>0.3658733634080793</v>
      </c>
      <c r="AN1094">
        <v>0.34893132939438337</v>
      </c>
      <c r="AO1094">
        <v>0.38330839071129807</v>
      </c>
      <c r="AP1094">
        <v>0</v>
      </c>
      <c r="AQ1094">
        <v>0</v>
      </c>
      <c r="AR1094">
        <v>1.0606100918152605E-3</v>
      </c>
      <c r="AS1094">
        <v>4.8994093710966677E-3</v>
      </c>
      <c r="AT1094">
        <v>0.10183120180611151</v>
      </c>
      <c r="AU1094">
        <v>2.2580886305517377E-3</v>
      </c>
      <c r="AV1094">
        <v>2.260090216759738E-3</v>
      </c>
      <c r="AW1094">
        <v>3.7470990186364342E-3</v>
      </c>
      <c r="AX1094">
        <v>5.5171493795113508E-4</v>
      </c>
      <c r="AY1094">
        <v>6.5398809348218791E-4</v>
      </c>
      <c r="AZ1094">
        <v>0</v>
      </c>
      <c r="BA1094">
        <v>0</v>
      </c>
      <c r="BB1094">
        <v>5.8913336922293981E-2</v>
      </c>
      <c r="BC1094">
        <v>0.12442188885516821</v>
      </c>
      <c r="BD1094">
        <v>0</v>
      </c>
      <c r="BE1094">
        <v>39200.020602230914</v>
      </c>
      <c r="BF1094">
        <v>21.285571846874387</v>
      </c>
      <c r="BG1094">
        <v>41900.501159759973</v>
      </c>
      <c r="BH1094">
        <v>21.262145569165146</v>
      </c>
    </row>
    <row r="1095" spans="3:60" x14ac:dyDescent="0.2">
      <c r="C1095" s="138">
        <v>39427.661111111112</v>
      </c>
      <c r="D1095">
        <v>21.314099397378538</v>
      </c>
      <c r="E1095" s="138">
        <v>42145.101111111129</v>
      </c>
      <c r="F1095" s="138">
        <v>21.29189587390259</v>
      </c>
      <c r="G1095" s="138">
        <v>-1763.4766666666724</v>
      </c>
      <c r="H1095" s="138">
        <v>7.6666607917991167E-2</v>
      </c>
      <c r="R1095">
        <v>438.50999495840693</v>
      </c>
      <c r="S1095">
        <v>73.104706749510839</v>
      </c>
      <c r="T1095">
        <v>283.03531798076568</v>
      </c>
      <c r="U1095">
        <v>113.23690312086525</v>
      </c>
      <c r="V1095">
        <v>0</v>
      </c>
      <c r="W1095">
        <v>0</v>
      </c>
      <c r="X1095">
        <v>0.84037600233322862</v>
      </c>
      <c r="Y1095">
        <v>0.82853235660907876</v>
      </c>
      <c r="Z1095">
        <v>0.83872242607881531</v>
      </c>
      <c r="AA1095">
        <v>0.84396355539016965</v>
      </c>
      <c r="AB1095">
        <v>0.82410006204147357</v>
      </c>
      <c r="AC1095">
        <v>0.82956177246731178</v>
      </c>
      <c r="AD1095">
        <v>0.82939015357475188</v>
      </c>
      <c r="AE1095">
        <v>0.81787219273853573</v>
      </c>
      <c r="AF1095">
        <v>0</v>
      </c>
      <c r="AG1095">
        <v>0</v>
      </c>
      <c r="AH1095">
        <v>0.41820218965908046</v>
      </c>
      <c r="AI1095">
        <v>0.39784633177130513</v>
      </c>
      <c r="AJ1095">
        <v>0.33939711798037342</v>
      </c>
      <c r="AK1095">
        <v>0.36704621627169159</v>
      </c>
      <c r="AL1095">
        <v>0.35802958587750372</v>
      </c>
      <c r="AM1095">
        <v>0.37067250117306338</v>
      </c>
      <c r="AN1095">
        <v>0.3534897275905432</v>
      </c>
      <c r="AO1095">
        <v>0.38829488636262399</v>
      </c>
      <c r="AP1095">
        <v>0</v>
      </c>
      <c r="AQ1095">
        <v>0</v>
      </c>
      <c r="AR1095">
        <v>1.0670514337714954E-3</v>
      </c>
      <c r="AS1095">
        <v>4.9136811610226211E-3</v>
      </c>
      <c r="AT1095">
        <v>0.10189119456805783</v>
      </c>
      <c r="AU1095">
        <v>2.2675283225981812E-3</v>
      </c>
      <c r="AV1095">
        <v>2.2694076080539746E-3</v>
      </c>
      <c r="AW1095">
        <v>3.75955564779837E-3</v>
      </c>
      <c r="AX1095">
        <v>5.5583674195896614E-4</v>
      </c>
      <c r="AY1095">
        <v>6.5919513090070413E-4</v>
      </c>
      <c r="AZ1095">
        <v>0</v>
      </c>
      <c r="BA1095">
        <v>0</v>
      </c>
      <c r="BB1095">
        <v>5.9202169080355138E-2</v>
      </c>
      <c r="BC1095">
        <v>0.12599617118072598</v>
      </c>
      <c r="BD1095">
        <v>0</v>
      </c>
      <c r="BE1095">
        <v>39427.662894463931</v>
      </c>
      <c r="BF1095">
        <v>21.314099397378538</v>
      </c>
      <c r="BG1095">
        <v>42145.104331764327</v>
      </c>
      <c r="BH1095">
        <v>21.29189587390259</v>
      </c>
    </row>
    <row r="1096" spans="3:60" x14ac:dyDescent="0.2">
      <c r="C1096" s="138">
        <v>39655.303333333337</v>
      </c>
      <c r="D1096">
        <v>21.342626947882689</v>
      </c>
      <c r="E1096" s="138">
        <v>42389.704242424261</v>
      </c>
      <c r="F1096" s="138">
        <v>21.321646178640034</v>
      </c>
      <c r="G1096" s="138">
        <v>-1742.6454545454603</v>
      </c>
      <c r="H1096" s="138">
        <v>7.8470652987151029E-2</v>
      </c>
      <c r="R1096">
        <v>444.74259940512275</v>
      </c>
      <c r="S1096">
        <v>73.49946312544543</v>
      </c>
      <c r="T1096">
        <v>284.61431249944417</v>
      </c>
      <c r="U1096">
        <v>113.84551969769808</v>
      </c>
      <c r="V1096">
        <v>0</v>
      </c>
      <c r="W1096">
        <v>0</v>
      </c>
      <c r="X1096">
        <v>0.84727239138575883</v>
      </c>
      <c r="Y1096">
        <v>0.83541060483594287</v>
      </c>
      <c r="Z1096">
        <v>0.84584145131949018</v>
      </c>
      <c r="AA1096">
        <v>0.85059166694200916</v>
      </c>
      <c r="AB1096">
        <v>0.83124202059296615</v>
      </c>
      <c r="AC1096">
        <v>0.83652164865977241</v>
      </c>
      <c r="AD1096">
        <v>0.83623672548030881</v>
      </c>
      <c r="AE1096">
        <v>0.82565303605315177</v>
      </c>
      <c r="AF1096">
        <v>0</v>
      </c>
      <c r="AG1096">
        <v>0</v>
      </c>
      <c r="AH1096">
        <v>0.42359643305385275</v>
      </c>
      <c r="AI1096">
        <v>0.4029911096911557</v>
      </c>
      <c r="AJ1096">
        <v>0.3437690034207338</v>
      </c>
      <c r="AK1096">
        <v>0.37176601351114952</v>
      </c>
      <c r="AL1096">
        <v>0.36266548017697031</v>
      </c>
      <c r="AM1096">
        <v>0.37547163893804747</v>
      </c>
      <c r="AN1096">
        <v>0.35804812578670303</v>
      </c>
      <c r="AO1096">
        <v>0.39328138201394991</v>
      </c>
      <c r="AP1096">
        <v>0</v>
      </c>
      <c r="AQ1096">
        <v>0</v>
      </c>
      <c r="AR1096">
        <v>1.0734927757277302E-3</v>
      </c>
      <c r="AS1096">
        <v>4.9279529509485744E-3</v>
      </c>
      <c r="AT1096">
        <v>0.10195118733000415</v>
      </c>
      <c r="AU1096">
        <v>2.2769680146446248E-3</v>
      </c>
      <c r="AV1096">
        <v>2.2787249993482112E-3</v>
      </c>
      <c r="AW1096">
        <v>3.7720122769603058E-3</v>
      </c>
      <c r="AX1096">
        <v>5.5995854596679721E-4</v>
      </c>
      <c r="AY1096">
        <v>6.6440216831922035E-4</v>
      </c>
      <c r="AZ1096">
        <v>0</v>
      </c>
      <c r="BA1096">
        <v>0</v>
      </c>
      <c r="BB1096">
        <v>5.9491001238416295E-2</v>
      </c>
      <c r="BC1096">
        <v>0.12757045350628374</v>
      </c>
      <c r="BD1096">
        <v>0</v>
      </c>
      <c r="BE1096">
        <v>39655.305186696947</v>
      </c>
      <c r="BF1096">
        <v>21.342626947882689</v>
      </c>
      <c r="BG1096">
        <v>42389.707503768681</v>
      </c>
      <c r="BH1096">
        <v>21.321646178640034</v>
      </c>
    </row>
    <row r="1097" spans="3:60" x14ac:dyDescent="0.2">
      <c r="C1097" s="138">
        <v>39882.945555555561</v>
      </c>
      <c r="D1097">
        <v>21.37115449838684</v>
      </c>
      <c r="E1097" s="138">
        <v>42634.307373737392</v>
      </c>
      <c r="F1097" s="138">
        <v>21.351396483377478</v>
      </c>
      <c r="G1097" s="138">
        <v>-1721.8142424242483</v>
      </c>
      <c r="H1097" s="138">
        <v>8.0274698056310892E-2</v>
      </c>
      <c r="R1097">
        <v>450.97520385183856</v>
      </c>
      <c r="S1097">
        <v>73.894219501380022</v>
      </c>
      <c r="T1097">
        <v>286.19330701812265</v>
      </c>
      <c r="U1097">
        <v>114.45413627453091</v>
      </c>
      <c r="V1097">
        <v>0</v>
      </c>
      <c r="W1097">
        <v>0</v>
      </c>
      <c r="X1097">
        <v>0.85416878043828903</v>
      </c>
      <c r="Y1097">
        <v>0.84228885306280699</v>
      </c>
      <c r="Z1097">
        <v>0.85296047656016505</v>
      </c>
      <c r="AA1097">
        <v>0.85721977849384867</v>
      </c>
      <c r="AB1097">
        <v>0.83838397914445872</v>
      </c>
      <c r="AC1097">
        <v>0.84348152485223304</v>
      </c>
      <c r="AD1097">
        <v>0.84308329738586574</v>
      </c>
      <c r="AE1097">
        <v>0.8334338793677678</v>
      </c>
      <c r="AF1097">
        <v>0</v>
      </c>
      <c r="AG1097">
        <v>0</v>
      </c>
      <c r="AH1097">
        <v>0.42899067644862504</v>
      </c>
      <c r="AI1097">
        <v>0.40813588761100628</v>
      </c>
      <c r="AJ1097">
        <v>0.34814088886109418</v>
      </c>
      <c r="AK1097">
        <v>0.37648581075060744</v>
      </c>
      <c r="AL1097">
        <v>0.3673013744764369</v>
      </c>
      <c r="AM1097">
        <v>0.38027077670303155</v>
      </c>
      <c r="AN1097">
        <v>0.36260652398286286</v>
      </c>
      <c r="AO1097">
        <v>0.39826787766527583</v>
      </c>
      <c r="AP1097">
        <v>0</v>
      </c>
      <c r="AQ1097">
        <v>0</v>
      </c>
      <c r="AR1097">
        <v>1.0799341176839651E-3</v>
      </c>
      <c r="AS1097">
        <v>4.9422247408745278E-3</v>
      </c>
      <c r="AT1097">
        <v>0.10201118009195047</v>
      </c>
      <c r="AU1097">
        <v>2.2864077066910684E-3</v>
      </c>
      <c r="AV1097">
        <v>2.2880423906424478E-3</v>
      </c>
      <c r="AW1097">
        <v>3.7844689061222415E-3</v>
      </c>
      <c r="AX1097">
        <v>5.6408034997462828E-4</v>
      </c>
      <c r="AY1097">
        <v>6.6960920573773657E-4</v>
      </c>
      <c r="AZ1097">
        <v>0</v>
      </c>
      <c r="BA1097">
        <v>0</v>
      </c>
      <c r="BB1097">
        <v>5.9779833396477453E-2</v>
      </c>
      <c r="BC1097">
        <v>0.1291447358318415</v>
      </c>
      <c r="BD1097">
        <v>0</v>
      </c>
      <c r="BE1097">
        <v>39882.947478929964</v>
      </c>
      <c r="BF1097">
        <v>21.37115449838684</v>
      </c>
      <c r="BG1097">
        <v>42634.310675773035</v>
      </c>
      <c r="BH1097">
        <v>21.351396483377478</v>
      </c>
    </row>
    <row r="1098" spans="3:60" x14ac:dyDescent="0.2">
      <c r="C1098" s="138">
        <v>40110.587777777786</v>
      </c>
      <c r="D1098">
        <v>21.399682048890991</v>
      </c>
      <c r="E1098" s="138">
        <v>42878.910505050524</v>
      </c>
      <c r="F1098" s="138">
        <v>21.381146788114922</v>
      </c>
      <c r="G1098" s="138">
        <v>-1700.9830303030362</v>
      </c>
      <c r="H1098" s="138">
        <v>8.2078743125470754E-2</v>
      </c>
      <c r="R1098">
        <v>457.20780829855437</v>
      </c>
      <c r="S1098">
        <v>74.288975877314613</v>
      </c>
      <c r="T1098">
        <v>287.77230153680114</v>
      </c>
      <c r="U1098">
        <v>115.06275285136374</v>
      </c>
      <c r="V1098">
        <v>0</v>
      </c>
      <c r="W1098">
        <v>0</v>
      </c>
      <c r="X1098">
        <v>0.86106516949081924</v>
      </c>
      <c r="Y1098">
        <v>0.8491671012896711</v>
      </c>
      <c r="Z1098">
        <v>0.86007950180083992</v>
      </c>
      <c r="AA1098">
        <v>0.86384789004568818</v>
      </c>
      <c r="AB1098">
        <v>0.8455259376959513</v>
      </c>
      <c r="AC1098">
        <v>0.85044140104469368</v>
      </c>
      <c r="AD1098">
        <v>0.84992986929142267</v>
      </c>
      <c r="AE1098">
        <v>0.84121472268238384</v>
      </c>
      <c r="AF1098">
        <v>0</v>
      </c>
      <c r="AG1098">
        <v>0</v>
      </c>
      <c r="AH1098">
        <v>0.43438491984339733</v>
      </c>
      <c r="AI1098">
        <v>0.41328066553085685</v>
      </c>
      <c r="AJ1098">
        <v>0.35251277430145456</v>
      </c>
      <c r="AK1098">
        <v>0.38120560799006536</v>
      </c>
      <c r="AL1098">
        <v>0.3719372687759035</v>
      </c>
      <c r="AM1098">
        <v>0.38506991446801564</v>
      </c>
      <c r="AN1098">
        <v>0.36716492217902269</v>
      </c>
      <c r="AO1098">
        <v>0.40325437331660174</v>
      </c>
      <c r="AP1098">
        <v>0</v>
      </c>
      <c r="AQ1098">
        <v>0</v>
      </c>
      <c r="AR1098">
        <v>1.0863754596401999E-3</v>
      </c>
      <c r="AS1098">
        <v>4.9564965308004812E-3</v>
      </c>
      <c r="AT1098">
        <v>0.10207117285389679</v>
      </c>
      <c r="AU1098">
        <v>2.2958473987375119E-3</v>
      </c>
      <c r="AV1098">
        <v>2.2973597819366844E-3</v>
      </c>
      <c r="AW1098">
        <v>3.7969255352841773E-3</v>
      </c>
      <c r="AX1098">
        <v>5.6820215398245934E-4</v>
      </c>
      <c r="AY1098">
        <v>6.7481624315625279E-4</v>
      </c>
      <c r="AZ1098">
        <v>0</v>
      </c>
      <c r="BA1098">
        <v>0</v>
      </c>
      <c r="BB1098">
        <v>6.006866555453861E-2</v>
      </c>
      <c r="BC1098">
        <v>0.13071901815739925</v>
      </c>
      <c r="BD1098">
        <v>0</v>
      </c>
      <c r="BE1098">
        <v>40110.58977116298</v>
      </c>
      <c r="BF1098">
        <v>21.399682048890991</v>
      </c>
      <c r="BG1098">
        <v>42878.913847777389</v>
      </c>
      <c r="BH1098">
        <v>21.381146788114922</v>
      </c>
    </row>
    <row r="1099" spans="3:60" x14ac:dyDescent="0.2">
      <c r="C1099" s="138">
        <v>40338.23000000001</v>
      </c>
      <c r="D1099">
        <v>21.428209599395142</v>
      </c>
      <c r="E1099" s="138">
        <v>43123.513636363656</v>
      </c>
      <c r="F1099" s="138">
        <v>21.410897092852366</v>
      </c>
      <c r="G1099" s="138">
        <v>-1680.1518181818242</v>
      </c>
      <c r="H1099" s="138">
        <v>8.3882788194630617E-2</v>
      </c>
      <c r="R1099">
        <v>463.44041274527018</v>
      </c>
      <c r="S1099">
        <v>74.683732253249204</v>
      </c>
      <c r="T1099">
        <v>289.35129605547962</v>
      </c>
      <c r="U1099">
        <v>115.67136942819657</v>
      </c>
      <c r="V1099">
        <v>0</v>
      </c>
      <c r="W1099">
        <v>0</v>
      </c>
      <c r="X1099">
        <v>0.86796155854334944</v>
      </c>
      <c r="Y1099">
        <v>0.85604534951653521</v>
      </c>
      <c r="Z1099">
        <v>0.86719852704151479</v>
      </c>
      <c r="AA1099">
        <v>0.87047600159752769</v>
      </c>
      <c r="AB1099">
        <v>0.85266789624744388</v>
      </c>
      <c r="AC1099">
        <v>0.85740127723715431</v>
      </c>
      <c r="AD1099">
        <v>0.8567764411969796</v>
      </c>
      <c r="AE1099">
        <v>0.84899556599699988</v>
      </c>
      <c r="AF1099">
        <v>0</v>
      </c>
      <c r="AG1099">
        <v>0</v>
      </c>
      <c r="AH1099">
        <v>0.43977916323816962</v>
      </c>
      <c r="AI1099">
        <v>0.41842544345070742</v>
      </c>
      <c r="AJ1099">
        <v>0.35688465974181494</v>
      </c>
      <c r="AK1099">
        <v>0.38592540522952329</v>
      </c>
      <c r="AL1099">
        <v>0.37657316307537009</v>
      </c>
      <c r="AM1099">
        <v>0.38986905223299972</v>
      </c>
      <c r="AN1099">
        <v>0.37172332037518252</v>
      </c>
      <c r="AO1099">
        <v>0.40824086896792766</v>
      </c>
      <c r="AP1099">
        <v>0</v>
      </c>
      <c r="AQ1099">
        <v>0</v>
      </c>
      <c r="AR1099">
        <v>1.0928168015964348E-3</v>
      </c>
      <c r="AS1099">
        <v>4.9707683207264345E-3</v>
      </c>
      <c r="AT1099">
        <v>0.10213116561584311</v>
      </c>
      <c r="AU1099">
        <v>2.3052870907839555E-3</v>
      </c>
      <c r="AV1099">
        <v>2.306677173230921E-3</v>
      </c>
      <c r="AW1099">
        <v>3.809382164446113E-3</v>
      </c>
      <c r="AX1099">
        <v>5.7232395799029041E-4</v>
      </c>
      <c r="AY1099">
        <v>6.8002328057476902E-4</v>
      </c>
      <c r="AZ1099">
        <v>0</v>
      </c>
      <c r="BA1099">
        <v>0</v>
      </c>
      <c r="BB1099">
        <v>6.0357497712599767E-2</v>
      </c>
      <c r="BC1099">
        <v>0.13229330048295701</v>
      </c>
      <c r="BD1099">
        <v>0</v>
      </c>
      <c r="BE1099">
        <v>40338.232063395997</v>
      </c>
      <c r="BF1099">
        <v>21.428209599395142</v>
      </c>
      <c r="BG1099">
        <v>43123.517019781742</v>
      </c>
      <c r="BH1099">
        <v>21.410897092852366</v>
      </c>
    </row>
    <row r="1100" spans="3:60" x14ac:dyDescent="0.2">
      <c r="C1100" s="138">
        <v>40565.872222222235</v>
      </c>
      <c r="D1100">
        <v>21.456737149899293</v>
      </c>
      <c r="E1100" s="138">
        <v>43368.116767676787</v>
      </c>
      <c r="F1100" s="138">
        <v>21.44064739758981</v>
      </c>
      <c r="G1100" s="138">
        <v>-1659.3206060606121</v>
      </c>
      <c r="H1100" s="138">
        <v>8.5686833263790479E-2</v>
      </c>
      <c r="R1100">
        <v>469.67301719198599</v>
      </c>
      <c r="S1100">
        <v>75.078488629183795</v>
      </c>
      <c r="T1100">
        <v>290.93029057415811</v>
      </c>
      <c r="U1100">
        <v>116.2799860050294</v>
      </c>
      <c r="V1100">
        <v>0</v>
      </c>
      <c r="W1100">
        <v>0</v>
      </c>
      <c r="X1100">
        <v>0.87485794759587965</v>
      </c>
      <c r="Y1100">
        <v>0.86292359774339933</v>
      </c>
      <c r="Z1100">
        <v>0.87431755228218966</v>
      </c>
      <c r="AA1100">
        <v>0.8771041131493672</v>
      </c>
      <c r="AB1100">
        <v>0.85980985479893646</v>
      </c>
      <c r="AC1100">
        <v>0.86436115342961495</v>
      </c>
      <c r="AD1100">
        <v>0.86362301310253653</v>
      </c>
      <c r="AE1100">
        <v>0.85677640931161592</v>
      </c>
      <c r="AF1100">
        <v>0</v>
      </c>
      <c r="AG1100">
        <v>0</v>
      </c>
      <c r="AH1100">
        <v>0.44517340663294191</v>
      </c>
      <c r="AI1100">
        <v>0.423570221370558</v>
      </c>
      <c r="AJ1100">
        <v>0.36125654518217531</v>
      </c>
      <c r="AK1100">
        <v>0.39064520246898121</v>
      </c>
      <c r="AL1100">
        <v>0.38120905737483668</v>
      </c>
      <c r="AM1100">
        <v>0.39466818999798381</v>
      </c>
      <c r="AN1100">
        <v>0.37628171857134235</v>
      </c>
      <c r="AO1100">
        <v>0.41322736461925358</v>
      </c>
      <c r="AP1100">
        <v>0</v>
      </c>
      <c r="AQ1100">
        <v>0</v>
      </c>
      <c r="AR1100">
        <v>1.0992581435526696E-3</v>
      </c>
      <c r="AS1100">
        <v>4.9850401106523879E-3</v>
      </c>
      <c r="AT1100">
        <v>0.10219115837778943</v>
      </c>
      <c r="AU1100">
        <v>2.3147267828303991E-3</v>
      </c>
      <c r="AV1100">
        <v>2.3159945645251576E-3</v>
      </c>
      <c r="AW1100">
        <v>3.8218387936080488E-3</v>
      </c>
      <c r="AX1100">
        <v>5.7644576199812148E-4</v>
      </c>
      <c r="AY1100">
        <v>6.8523031799328524E-4</v>
      </c>
      <c r="AZ1100">
        <v>0</v>
      </c>
      <c r="BA1100">
        <v>0</v>
      </c>
      <c r="BB1100">
        <v>6.0646329870660924E-2</v>
      </c>
      <c r="BC1100">
        <v>0.13386758280851477</v>
      </c>
      <c r="BD1100">
        <v>0</v>
      </c>
      <c r="BE1100">
        <v>40565.874355629014</v>
      </c>
      <c r="BF1100">
        <v>21.456737149899293</v>
      </c>
      <c r="BG1100">
        <v>43368.120191786096</v>
      </c>
      <c r="BH1100">
        <v>21.44064739758981</v>
      </c>
    </row>
    <row r="1101" spans="3:60" x14ac:dyDescent="0.2">
      <c r="C1101" s="138">
        <v>40793.51444444446</v>
      </c>
      <c r="D1101">
        <v>21.485264700403444</v>
      </c>
      <c r="E1101" s="138">
        <v>43612.719898989919</v>
      </c>
      <c r="F1101" s="138">
        <v>21.470397702327254</v>
      </c>
      <c r="G1101" s="138">
        <v>-1638.4893939394001</v>
      </c>
      <c r="H1101" s="138">
        <v>8.7490878332950342E-2</v>
      </c>
      <c r="R1101">
        <v>475.9056216387018</v>
      </c>
      <c r="S1101">
        <v>75.473245005118386</v>
      </c>
      <c r="T1101">
        <v>292.50928509283659</v>
      </c>
      <c r="U1101">
        <v>116.88860258186223</v>
      </c>
      <c r="V1101">
        <v>0</v>
      </c>
      <c r="W1101">
        <v>0</v>
      </c>
      <c r="X1101">
        <v>0.88175433664840985</v>
      </c>
      <c r="Y1101">
        <v>0.86980184597026344</v>
      </c>
      <c r="Z1101">
        <v>0.88143657752286453</v>
      </c>
      <c r="AA1101">
        <v>0.88373222470120671</v>
      </c>
      <c r="AB1101">
        <v>0.86695181335042903</v>
      </c>
      <c r="AC1101">
        <v>0.87132102962207558</v>
      </c>
      <c r="AD1101">
        <v>0.87046958500809346</v>
      </c>
      <c r="AE1101">
        <v>0.86455725262623195</v>
      </c>
      <c r="AF1101">
        <v>0</v>
      </c>
      <c r="AG1101">
        <v>0</v>
      </c>
      <c r="AH1101">
        <v>0.45056765002771421</v>
      </c>
      <c r="AI1101">
        <v>0.42871499929040857</v>
      </c>
      <c r="AJ1101">
        <v>0.36562843062253569</v>
      </c>
      <c r="AK1101">
        <v>0.39536499970843914</v>
      </c>
      <c r="AL1101">
        <v>0.38584495167430327</v>
      </c>
      <c r="AM1101">
        <v>0.39946732776296789</v>
      </c>
      <c r="AN1101">
        <v>0.38084011676750218</v>
      </c>
      <c r="AO1101">
        <v>0.4182138602705795</v>
      </c>
      <c r="AP1101">
        <v>0</v>
      </c>
      <c r="AQ1101">
        <v>0</v>
      </c>
      <c r="AR1101">
        <v>1.1056994855089045E-3</v>
      </c>
      <c r="AS1101">
        <v>4.9993119005783413E-3</v>
      </c>
      <c r="AT1101">
        <v>0.10225115113973575</v>
      </c>
      <c r="AU1101">
        <v>2.3241664748768426E-3</v>
      </c>
      <c r="AV1101">
        <v>2.3253119558193942E-3</v>
      </c>
      <c r="AW1101">
        <v>3.8342954227699845E-3</v>
      </c>
      <c r="AX1101">
        <v>5.8056756600595254E-4</v>
      </c>
      <c r="AY1101">
        <v>6.9043735541180146E-4</v>
      </c>
      <c r="AZ1101">
        <v>0</v>
      </c>
      <c r="BA1101">
        <v>0</v>
      </c>
      <c r="BB1101">
        <v>6.0935162028722081E-2</v>
      </c>
      <c r="BC1101">
        <v>0.13544186513407253</v>
      </c>
      <c r="BD1101">
        <v>0</v>
      </c>
      <c r="BE1101">
        <v>40793.51664786203</v>
      </c>
      <c r="BF1101">
        <v>21.485264700403444</v>
      </c>
      <c r="BG1101">
        <v>43612.72336379045</v>
      </c>
      <c r="BH1101">
        <v>21.470397702327254</v>
      </c>
    </row>
    <row r="1102" spans="3:60" x14ac:dyDescent="0.2">
      <c r="C1102" s="138">
        <v>41021.156666666684</v>
      </c>
      <c r="D1102">
        <v>21.513792250907596</v>
      </c>
      <c r="E1102" s="138">
        <v>43857.32303030305</v>
      </c>
      <c r="F1102" s="138">
        <v>21.500148007064698</v>
      </c>
      <c r="G1102" s="138">
        <v>-1617.658181818188</v>
      </c>
      <c r="H1102" s="138">
        <v>8.9294923402110205E-2</v>
      </c>
      <c r="R1102">
        <v>482.13822608541761</v>
      </c>
      <c r="S1102">
        <v>75.868001381052977</v>
      </c>
      <c r="T1102">
        <v>294.08827961151508</v>
      </c>
      <c r="U1102">
        <v>117.49721915869506</v>
      </c>
      <c r="V1102">
        <v>0</v>
      </c>
      <c r="W1102">
        <v>0</v>
      </c>
      <c r="X1102">
        <v>0.88865072570094006</v>
      </c>
      <c r="Y1102">
        <v>0.87668009419712756</v>
      </c>
      <c r="Z1102">
        <v>0.8885556027635394</v>
      </c>
      <c r="AA1102">
        <v>0.89036033625304623</v>
      </c>
      <c r="AB1102">
        <v>0.87409377190192161</v>
      </c>
      <c r="AC1102">
        <v>0.87828090581453622</v>
      </c>
      <c r="AD1102">
        <v>0.87731615691365039</v>
      </c>
      <c r="AE1102">
        <v>0.87233809594084799</v>
      </c>
      <c r="AF1102">
        <v>0</v>
      </c>
      <c r="AG1102">
        <v>0</v>
      </c>
      <c r="AH1102">
        <v>0.4559618934224865</v>
      </c>
      <c r="AI1102">
        <v>0.43385977721025915</v>
      </c>
      <c r="AJ1102">
        <v>0.37000031606289607</v>
      </c>
      <c r="AK1102">
        <v>0.40008479694789706</v>
      </c>
      <c r="AL1102">
        <v>0.39048084597376986</v>
      </c>
      <c r="AM1102">
        <v>0.40426646552795198</v>
      </c>
      <c r="AN1102">
        <v>0.38539851496366201</v>
      </c>
      <c r="AO1102">
        <v>0.42320035592190541</v>
      </c>
      <c r="AP1102">
        <v>0</v>
      </c>
      <c r="AQ1102">
        <v>0</v>
      </c>
      <c r="AR1102">
        <v>1.1121408274651393E-3</v>
      </c>
      <c r="AS1102">
        <v>5.0135836905042946E-3</v>
      </c>
      <c r="AT1102">
        <v>0.10231114390168207</v>
      </c>
      <c r="AU1102">
        <v>2.3336061669232862E-3</v>
      </c>
      <c r="AV1102">
        <v>2.3346293471136308E-3</v>
      </c>
      <c r="AW1102">
        <v>3.8467520519319203E-3</v>
      </c>
      <c r="AX1102">
        <v>5.8468937001378361E-4</v>
      </c>
      <c r="AY1102">
        <v>6.9564439283031768E-4</v>
      </c>
      <c r="AZ1102">
        <v>0</v>
      </c>
      <c r="BA1102">
        <v>0</v>
      </c>
      <c r="BB1102">
        <v>6.1223994186783239E-2</v>
      </c>
      <c r="BC1102">
        <v>0.13701614745963028</v>
      </c>
      <c r="BD1102">
        <v>0</v>
      </c>
      <c r="BE1102">
        <v>41021.158940095047</v>
      </c>
      <c r="BF1102">
        <v>21.513792250907596</v>
      </c>
      <c r="BG1102">
        <v>43857.326535794804</v>
      </c>
      <c r="BH1102">
        <v>21.500148007064698</v>
      </c>
    </row>
    <row r="1103" spans="3:60" x14ac:dyDescent="0.2">
      <c r="C1103" s="138">
        <v>41248.798888888909</v>
      </c>
      <c r="D1103">
        <v>21.542319801411747</v>
      </c>
      <c r="E1103" s="138">
        <v>44101.926161616182</v>
      </c>
      <c r="F1103" s="138">
        <v>21.529898311802143</v>
      </c>
      <c r="G1103" s="138">
        <v>-1596.826969696976</v>
      </c>
      <c r="H1103" s="138">
        <v>9.1098968471270067E-2</v>
      </c>
      <c r="R1103">
        <v>488.37083053213343</v>
      </c>
      <c r="S1103">
        <v>76.262757756987568</v>
      </c>
      <c r="T1103">
        <v>295.66727413019356</v>
      </c>
      <c r="U1103">
        <v>118.10583573552789</v>
      </c>
      <c r="V1103">
        <v>0</v>
      </c>
      <c r="W1103">
        <v>0</v>
      </c>
      <c r="X1103">
        <v>0.89554711475347026</v>
      </c>
      <c r="Y1103">
        <v>0.88355834242399167</v>
      </c>
      <c r="Z1103">
        <v>0.89567462800421427</v>
      </c>
      <c r="AA1103">
        <v>0.89698844780488574</v>
      </c>
      <c r="AB1103">
        <v>0.88123573045341419</v>
      </c>
      <c r="AC1103">
        <v>0.88524078200699685</v>
      </c>
      <c r="AD1103">
        <v>0.88416272881920732</v>
      </c>
      <c r="AE1103">
        <v>0.88011893925546403</v>
      </c>
      <c r="AF1103">
        <v>0</v>
      </c>
      <c r="AG1103">
        <v>0</v>
      </c>
      <c r="AH1103">
        <v>0.46135613681725879</v>
      </c>
      <c r="AI1103">
        <v>0.43900455513010972</v>
      </c>
      <c r="AJ1103">
        <v>0.37437220150325645</v>
      </c>
      <c r="AK1103">
        <v>0.40480459418735498</v>
      </c>
      <c r="AL1103">
        <v>0.39511674027323646</v>
      </c>
      <c r="AM1103">
        <v>0.40906560329293606</v>
      </c>
      <c r="AN1103">
        <v>0.38995691315982184</v>
      </c>
      <c r="AO1103">
        <v>0.42818685157323133</v>
      </c>
      <c r="AP1103">
        <v>0</v>
      </c>
      <c r="AQ1103">
        <v>0</v>
      </c>
      <c r="AR1103">
        <v>1.1185821694213742E-3</v>
      </c>
      <c r="AS1103">
        <v>5.027855480430248E-3</v>
      </c>
      <c r="AT1103">
        <v>0.10237113666362839</v>
      </c>
      <c r="AU1103">
        <v>2.3430458589697297E-3</v>
      </c>
      <c r="AV1103">
        <v>2.3439467384078674E-3</v>
      </c>
      <c r="AW1103">
        <v>3.859208681093856E-3</v>
      </c>
      <c r="AX1103">
        <v>5.8881117402161468E-4</v>
      </c>
      <c r="AY1103">
        <v>7.008514302488339E-4</v>
      </c>
      <c r="AZ1103">
        <v>0</v>
      </c>
      <c r="BA1103">
        <v>0</v>
      </c>
      <c r="BB1103">
        <v>6.1512826344844396E-2</v>
      </c>
      <c r="BC1103">
        <v>0.13859042978518804</v>
      </c>
      <c r="BD1103">
        <v>0</v>
      </c>
      <c r="BE1103">
        <v>41248.801232328064</v>
      </c>
      <c r="BF1103">
        <v>21.542319801411747</v>
      </c>
      <c r="BG1103">
        <v>44101.929707799158</v>
      </c>
      <c r="BH1103">
        <v>21.529898311802143</v>
      </c>
    </row>
    <row r="1104" spans="3:60" x14ac:dyDescent="0.2">
      <c r="C1104" s="138">
        <v>41476.441111111133</v>
      </c>
      <c r="D1104">
        <v>21.570847351915898</v>
      </c>
      <c r="E1104" s="138">
        <v>44346.529292929314</v>
      </c>
      <c r="F1104" s="138">
        <v>21.559648616539587</v>
      </c>
      <c r="G1104" s="138">
        <v>-1575.9957575757639</v>
      </c>
      <c r="H1104" s="138">
        <v>9.290301354042993E-2</v>
      </c>
      <c r="R1104">
        <v>494.60343497884924</v>
      </c>
      <c r="S1104">
        <v>76.657514132922159</v>
      </c>
      <c r="T1104">
        <v>297.24626864887205</v>
      </c>
      <c r="U1104">
        <v>118.71445231236072</v>
      </c>
      <c r="V1104">
        <v>0</v>
      </c>
      <c r="W1104">
        <v>0</v>
      </c>
      <c r="X1104">
        <v>0.90244350380600047</v>
      </c>
      <c r="Y1104">
        <v>0.89043659065085579</v>
      </c>
      <c r="Z1104">
        <v>0.90279365324488914</v>
      </c>
      <c r="AA1104">
        <v>0.90361655935672525</v>
      </c>
      <c r="AB1104">
        <v>0.88837768900490677</v>
      </c>
      <c r="AC1104">
        <v>0.89220065819945749</v>
      </c>
      <c r="AD1104">
        <v>0.89100930072476425</v>
      </c>
      <c r="AE1104">
        <v>0.88789978257008007</v>
      </c>
      <c r="AF1104">
        <v>0</v>
      </c>
      <c r="AG1104">
        <v>0</v>
      </c>
      <c r="AH1104">
        <v>0.46675038021203108</v>
      </c>
      <c r="AI1104">
        <v>0.44414933304996029</v>
      </c>
      <c r="AJ1104">
        <v>0.37874408694361683</v>
      </c>
      <c r="AK1104">
        <v>0.40952439142681291</v>
      </c>
      <c r="AL1104">
        <v>0.39975263457270305</v>
      </c>
      <c r="AM1104">
        <v>0.41386474105792015</v>
      </c>
      <c r="AN1104">
        <v>0.39451531135598167</v>
      </c>
      <c r="AO1104">
        <v>0.43317334722455725</v>
      </c>
      <c r="AP1104">
        <v>0</v>
      </c>
      <c r="AQ1104">
        <v>0</v>
      </c>
      <c r="AR1104">
        <v>1.125023511377609E-3</v>
      </c>
      <c r="AS1104">
        <v>5.0421272703562014E-3</v>
      </c>
      <c r="AT1104">
        <v>0.10243112942557471</v>
      </c>
      <c r="AU1104">
        <v>2.3524855510161733E-3</v>
      </c>
      <c r="AV1104">
        <v>2.353264129702104E-3</v>
      </c>
      <c r="AW1104">
        <v>3.8716653102557918E-3</v>
      </c>
      <c r="AX1104">
        <v>5.9293297802944574E-4</v>
      </c>
      <c r="AY1104">
        <v>7.0605846766735013E-4</v>
      </c>
      <c r="AZ1104">
        <v>0</v>
      </c>
      <c r="BA1104">
        <v>0</v>
      </c>
      <c r="BB1104">
        <v>6.1801658502905553E-2</v>
      </c>
      <c r="BC1104">
        <v>0.1401647121107458</v>
      </c>
      <c r="BD1104">
        <v>0</v>
      </c>
      <c r="BE1104">
        <v>41476.44352456108</v>
      </c>
      <c r="BF1104">
        <v>21.570847351915898</v>
      </c>
      <c r="BG1104">
        <v>44346.532879803512</v>
      </c>
      <c r="BH1104">
        <v>21.559648616539587</v>
      </c>
    </row>
    <row r="1105" spans="3:60" x14ac:dyDescent="0.2">
      <c r="C1105" s="138">
        <v>41704.083333333358</v>
      </c>
      <c r="D1105">
        <v>21.599374902420049</v>
      </c>
      <c r="E1105" s="138">
        <v>44591.132424242445</v>
      </c>
      <c r="F1105" s="138">
        <v>21.589398921277031</v>
      </c>
      <c r="G1105" s="138">
        <v>-1555.1645454545519</v>
      </c>
      <c r="H1105" s="138">
        <v>9.4707058609589792E-2</v>
      </c>
      <c r="R1105">
        <v>500.83603942556505</v>
      </c>
      <c r="S1105">
        <v>77.052270508856751</v>
      </c>
      <c r="T1105">
        <v>298.82526316755053</v>
      </c>
      <c r="U1105">
        <v>119.32306888919355</v>
      </c>
      <c r="V1105">
        <v>0</v>
      </c>
      <c r="W1105">
        <v>0</v>
      </c>
      <c r="X1105">
        <v>0.90933989285853067</v>
      </c>
      <c r="Y1105">
        <v>0.8973148388777199</v>
      </c>
      <c r="Z1105">
        <v>0.90991267848556401</v>
      </c>
      <c r="AA1105">
        <v>0.91024467090856476</v>
      </c>
      <c r="AB1105">
        <v>0.89551964755639935</v>
      </c>
      <c r="AC1105">
        <v>0.89916053439191812</v>
      </c>
      <c r="AD1105">
        <v>0.89785587263032118</v>
      </c>
      <c r="AE1105">
        <v>0.8956806258846961</v>
      </c>
      <c r="AF1105">
        <v>0</v>
      </c>
      <c r="AG1105">
        <v>0</v>
      </c>
      <c r="AH1105">
        <v>0.47214462360680337</v>
      </c>
      <c r="AI1105">
        <v>0.44929411096981087</v>
      </c>
      <c r="AJ1105">
        <v>0.38311597238397721</v>
      </c>
      <c r="AK1105">
        <v>0.41424418866627083</v>
      </c>
      <c r="AL1105">
        <v>0.40438852887216964</v>
      </c>
      <c r="AM1105">
        <v>0.41866387882290423</v>
      </c>
      <c r="AN1105">
        <v>0.3990737095521415</v>
      </c>
      <c r="AO1105">
        <v>0.43815984287588317</v>
      </c>
      <c r="AP1105">
        <v>0</v>
      </c>
      <c r="AQ1105">
        <v>0</v>
      </c>
      <c r="AR1105">
        <v>1.1314648533338439E-3</v>
      </c>
      <c r="AS1105">
        <v>5.0563990602821548E-3</v>
      </c>
      <c r="AT1105">
        <v>0.10249112218752103</v>
      </c>
      <c r="AU1105">
        <v>2.3619252430626169E-3</v>
      </c>
      <c r="AV1105">
        <v>2.3625815209963406E-3</v>
      </c>
      <c r="AW1105">
        <v>3.8841219394177276E-3</v>
      </c>
      <c r="AX1105">
        <v>5.9705478203727681E-4</v>
      </c>
      <c r="AY1105">
        <v>7.1126550508586635E-4</v>
      </c>
      <c r="AZ1105">
        <v>0</v>
      </c>
      <c r="BA1105">
        <v>0</v>
      </c>
      <c r="BB1105">
        <v>6.209049066096671E-2</v>
      </c>
      <c r="BC1105">
        <v>0.14173899443630356</v>
      </c>
      <c r="BD1105">
        <v>0</v>
      </c>
      <c r="BE1105">
        <v>41704.085816794097</v>
      </c>
      <c r="BF1105">
        <v>21.599374902420049</v>
      </c>
      <c r="BG1105">
        <v>44591.136051807865</v>
      </c>
      <c r="BH1105">
        <v>21.589398921277031</v>
      </c>
    </row>
    <row r="1106" spans="3:60" x14ac:dyDescent="0.2">
      <c r="C1106" s="138">
        <v>41931.725555555582</v>
      </c>
      <c r="D1106">
        <v>21.6279024529242</v>
      </c>
      <c r="E1106" s="138">
        <v>44835.735555555577</v>
      </c>
      <c r="F1106" s="138">
        <v>21.619149226014475</v>
      </c>
      <c r="G1106" s="138">
        <v>-1534.3333333333399</v>
      </c>
      <c r="H1106" s="138">
        <v>9.6511103678749655E-2</v>
      </c>
      <c r="R1106">
        <v>507.06864387228086</v>
      </c>
      <c r="S1106">
        <v>77.447026884791342</v>
      </c>
      <c r="T1106">
        <v>300.40425768622902</v>
      </c>
      <c r="U1106">
        <v>119.93168546602638</v>
      </c>
      <c r="V1106">
        <v>0</v>
      </c>
      <c r="W1106">
        <v>0</v>
      </c>
      <c r="X1106">
        <v>0.91623628191106088</v>
      </c>
      <c r="Y1106">
        <v>0.90419308710458401</v>
      </c>
      <c r="Z1106">
        <v>0.91703170372623888</v>
      </c>
      <c r="AA1106">
        <v>0.91687278246040427</v>
      </c>
      <c r="AB1106">
        <v>0.90266160610789192</v>
      </c>
      <c r="AC1106">
        <v>0.90612041058437875</v>
      </c>
      <c r="AD1106">
        <v>0.90470244453587811</v>
      </c>
      <c r="AE1106">
        <v>0.90346146919931214</v>
      </c>
      <c r="AF1106">
        <v>0</v>
      </c>
      <c r="AG1106">
        <v>0</v>
      </c>
      <c r="AH1106">
        <v>0.47753886700157566</v>
      </c>
      <c r="AI1106">
        <v>0.45443888888966144</v>
      </c>
      <c r="AJ1106">
        <v>0.38748785782433759</v>
      </c>
      <c r="AK1106">
        <v>0.41896398590572875</v>
      </c>
      <c r="AL1106">
        <v>0.40902442317163623</v>
      </c>
      <c r="AM1106">
        <v>0.42346301658788832</v>
      </c>
      <c r="AN1106">
        <v>0.40363210774830133</v>
      </c>
      <c r="AO1106">
        <v>0.44314633852720908</v>
      </c>
      <c r="AP1106">
        <v>0</v>
      </c>
      <c r="AQ1106">
        <v>0</v>
      </c>
      <c r="AR1106">
        <v>1.1379061952900788E-3</v>
      </c>
      <c r="AS1106">
        <v>5.0706708502081081E-3</v>
      </c>
      <c r="AT1106">
        <v>0.10255111494946735</v>
      </c>
      <c r="AU1106">
        <v>2.3713649351090604E-3</v>
      </c>
      <c r="AV1106">
        <v>2.3718989122905772E-3</v>
      </c>
      <c r="AW1106">
        <v>3.8965785685796633E-3</v>
      </c>
      <c r="AX1106">
        <v>6.0117658604510787E-4</v>
      </c>
      <c r="AY1106">
        <v>7.1647254250438257E-4</v>
      </c>
      <c r="AZ1106">
        <v>0</v>
      </c>
      <c r="BA1106">
        <v>0</v>
      </c>
      <c r="BB1106">
        <v>6.2379322819027867E-2</v>
      </c>
      <c r="BC1106">
        <v>0.14331327676186131</v>
      </c>
      <c r="BD1106">
        <v>0</v>
      </c>
      <c r="BE1106">
        <v>41931.728109027114</v>
      </c>
      <c r="BF1106">
        <v>21.6279024529242</v>
      </c>
      <c r="BG1106">
        <v>44835.739223812219</v>
      </c>
      <c r="BH1106">
        <v>21.619149226014475</v>
      </c>
    </row>
    <row r="1107" spans="3:60" x14ac:dyDescent="0.2">
      <c r="C1107" s="138">
        <v>42159.367777777807</v>
      </c>
      <c r="D1107">
        <v>21.656430003428351</v>
      </c>
      <c r="E1107" s="138">
        <v>45080.338686868708</v>
      </c>
      <c r="F1107" s="138">
        <v>21.648899530751919</v>
      </c>
      <c r="G1107" s="138">
        <v>-1513.5021212121278</v>
      </c>
      <c r="H1107" s="138">
        <v>9.8315148747909517E-2</v>
      </c>
      <c r="R1107">
        <v>513.30124831899673</v>
      </c>
      <c r="S1107">
        <v>77.841783260725933</v>
      </c>
      <c r="T1107">
        <v>301.9832522049075</v>
      </c>
      <c r="U1107">
        <v>120.54030204285921</v>
      </c>
      <c r="V1107">
        <v>0</v>
      </c>
      <c r="W1107">
        <v>0</v>
      </c>
      <c r="X1107">
        <v>0.92313267096359108</v>
      </c>
      <c r="Y1107">
        <v>0.91107133533144813</v>
      </c>
      <c r="Z1107">
        <v>0.92415072896691375</v>
      </c>
      <c r="AA1107">
        <v>0.92350089401224378</v>
      </c>
      <c r="AB1107">
        <v>0.9098035646593845</v>
      </c>
      <c r="AC1107">
        <v>0.91308028677683939</v>
      </c>
      <c r="AD1107">
        <v>0.91154901644143504</v>
      </c>
      <c r="AE1107">
        <v>0.91124231251392818</v>
      </c>
      <c r="AF1107">
        <v>0</v>
      </c>
      <c r="AG1107">
        <v>0</v>
      </c>
      <c r="AH1107">
        <v>0.48293311039634795</v>
      </c>
      <c r="AI1107">
        <v>0.45958366680951201</v>
      </c>
      <c r="AJ1107">
        <v>0.39185974326469797</v>
      </c>
      <c r="AK1107">
        <v>0.42368378314518668</v>
      </c>
      <c r="AL1107">
        <v>0.41366031747110282</v>
      </c>
      <c r="AM1107">
        <v>0.4282621543528724</v>
      </c>
      <c r="AN1107">
        <v>0.40819050594446116</v>
      </c>
      <c r="AO1107">
        <v>0.448132834178535</v>
      </c>
      <c r="AP1107">
        <v>0</v>
      </c>
      <c r="AQ1107">
        <v>0</v>
      </c>
      <c r="AR1107">
        <v>1.1443475372463136E-3</v>
      </c>
      <c r="AS1107">
        <v>5.0849426401340615E-3</v>
      </c>
      <c r="AT1107">
        <v>0.10261110771141367</v>
      </c>
      <c r="AU1107">
        <v>2.380804627155504E-3</v>
      </c>
      <c r="AV1107">
        <v>2.3812163035848138E-3</v>
      </c>
      <c r="AW1107">
        <v>3.9090351977415991E-3</v>
      </c>
      <c r="AX1107">
        <v>6.0529839005293894E-4</v>
      </c>
      <c r="AY1107">
        <v>7.2167957992289879E-4</v>
      </c>
      <c r="AZ1107">
        <v>0</v>
      </c>
      <c r="BA1107">
        <v>0</v>
      </c>
      <c r="BB1107">
        <v>6.2668154977089024E-2</v>
      </c>
      <c r="BC1107">
        <v>0.14488755908741907</v>
      </c>
      <c r="BD1107">
        <v>0</v>
      </c>
      <c r="BE1107">
        <v>42159.37040126013</v>
      </c>
      <c r="BF1107">
        <v>21.656430003428351</v>
      </c>
      <c r="BG1107">
        <v>45080.342395816573</v>
      </c>
      <c r="BH1107">
        <v>21.648899530751919</v>
      </c>
    </row>
    <row r="1108" spans="3:60" x14ac:dyDescent="0.2">
      <c r="C1108" s="138">
        <v>42387.010000000031</v>
      </c>
      <c r="D1108">
        <v>21.684957553932502</v>
      </c>
      <c r="E1108" s="138">
        <v>45324.94181818184</v>
      </c>
      <c r="F1108" s="138">
        <v>21.678649835489363</v>
      </c>
      <c r="G1108" s="138">
        <v>-1492.6709090909158</v>
      </c>
      <c r="H1108" s="138">
        <v>0.10011919381706938</v>
      </c>
      <c r="R1108">
        <v>519.5338527657126</v>
      </c>
      <c r="S1108">
        <v>78.236539636660524</v>
      </c>
      <c r="T1108">
        <v>303.56224672358599</v>
      </c>
      <c r="U1108">
        <v>121.14891861969204</v>
      </c>
      <c r="V1108">
        <v>0</v>
      </c>
      <c r="W1108">
        <v>0</v>
      </c>
      <c r="X1108">
        <v>0.93002906001612129</v>
      </c>
      <c r="Y1108">
        <v>0.91794958355831224</v>
      </c>
      <c r="Z1108">
        <v>0.93126975420758862</v>
      </c>
      <c r="AA1108">
        <v>0.93012900556408329</v>
      </c>
      <c r="AB1108">
        <v>0.91694552321087708</v>
      </c>
      <c r="AC1108">
        <v>0.92004016296930002</v>
      </c>
      <c r="AD1108">
        <v>0.91839558834699198</v>
      </c>
      <c r="AE1108">
        <v>0.91902315582854421</v>
      </c>
      <c r="AF1108">
        <v>0</v>
      </c>
      <c r="AG1108">
        <v>0</v>
      </c>
      <c r="AH1108">
        <v>0.48832735379112024</v>
      </c>
      <c r="AI1108">
        <v>0.46472844472936259</v>
      </c>
      <c r="AJ1108">
        <v>0.39623162870505835</v>
      </c>
      <c r="AK1108">
        <v>0.4284035803846446</v>
      </c>
      <c r="AL1108">
        <v>0.41829621177056941</v>
      </c>
      <c r="AM1108">
        <v>0.43306129211785649</v>
      </c>
      <c r="AN1108">
        <v>0.41274890414062099</v>
      </c>
      <c r="AO1108">
        <v>0.45311932982986092</v>
      </c>
      <c r="AP1108">
        <v>0</v>
      </c>
      <c r="AQ1108">
        <v>0</v>
      </c>
      <c r="AR1108">
        <v>1.1507888792025485E-3</v>
      </c>
      <c r="AS1108">
        <v>5.0992144300600149E-3</v>
      </c>
      <c r="AT1108">
        <v>0.10267110047335999</v>
      </c>
      <c r="AU1108">
        <v>2.3902443192019476E-3</v>
      </c>
      <c r="AV1108">
        <v>2.3905336948790504E-3</v>
      </c>
      <c r="AW1108">
        <v>3.9214918269035344E-3</v>
      </c>
      <c r="AX1108">
        <v>6.0942019406077001E-4</v>
      </c>
      <c r="AY1108">
        <v>7.2688661734141501E-4</v>
      </c>
      <c r="AZ1108">
        <v>0</v>
      </c>
      <c r="BA1108">
        <v>0</v>
      </c>
      <c r="BB1108">
        <v>6.2956987135150175E-2</v>
      </c>
      <c r="BC1108">
        <v>0.14646184141297683</v>
      </c>
      <c r="BD1108">
        <v>0</v>
      </c>
      <c r="BE1108">
        <v>42387.012693493147</v>
      </c>
      <c r="BF1108">
        <v>21.684957553932502</v>
      </c>
      <c r="BG1108">
        <v>45324.945567820927</v>
      </c>
      <c r="BH1108">
        <v>21.678649835489363</v>
      </c>
    </row>
    <row r="1109" spans="3:60" x14ac:dyDescent="0.2">
      <c r="C1109" s="138">
        <v>42614.652222222256</v>
      </c>
      <c r="D1109">
        <v>21.713485104436653</v>
      </c>
      <c r="E1109" s="138">
        <v>45569.544949494972</v>
      </c>
      <c r="F1109" s="138">
        <v>21.708400140226807</v>
      </c>
      <c r="G1109" s="138">
        <v>-1471.8396969697037</v>
      </c>
      <c r="H1109" s="138">
        <v>0.10192323888622924</v>
      </c>
      <c r="R1109">
        <v>525.76645721242846</v>
      </c>
      <c r="S1109">
        <v>78.631296012595115</v>
      </c>
      <c r="T1109">
        <v>305.14124124226447</v>
      </c>
      <c r="U1109">
        <v>121.75753519652487</v>
      </c>
      <c r="V1109">
        <v>0</v>
      </c>
      <c r="W1109">
        <v>0</v>
      </c>
      <c r="X1109">
        <v>0.93692544906865149</v>
      </c>
      <c r="Y1109">
        <v>0.92482783178517636</v>
      </c>
      <c r="Z1109">
        <v>0.93838877944826349</v>
      </c>
      <c r="AA1109">
        <v>0.9367571171159228</v>
      </c>
      <c r="AB1109">
        <v>0.92408748176236966</v>
      </c>
      <c r="AC1109">
        <v>0.92700003916176066</v>
      </c>
      <c r="AD1109">
        <v>0.92524216025254891</v>
      </c>
      <c r="AE1109">
        <v>0.92680399914316025</v>
      </c>
      <c r="AF1109">
        <v>0</v>
      </c>
      <c r="AG1109">
        <v>0</v>
      </c>
      <c r="AH1109">
        <v>0.49372159718589254</v>
      </c>
      <c r="AI1109">
        <v>0.46987322264921316</v>
      </c>
      <c r="AJ1109">
        <v>0.40060351414541873</v>
      </c>
      <c r="AK1109">
        <v>0.43312337762410252</v>
      </c>
      <c r="AL1109">
        <v>0.42293210607003601</v>
      </c>
      <c r="AM1109">
        <v>0.43786042988284057</v>
      </c>
      <c r="AN1109">
        <v>0.41730730233678082</v>
      </c>
      <c r="AO1109">
        <v>0.45810582548118683</v>
      </c>
      <c r="AP1109">
        <v>0</v>
      </c>
      <c r="AQ1109">
        <v>0</v>
      </c>
      <c r="AR1109">
        <v>1.1572302211587833E-3</v>
      </c>
      <c r="AS1109">
        <v>5.1134862199859682E-3</v>
      </c>
      <c r="AT1109">
        <v>0.10273109323530631</v>
      </c>
      <c r="AU1109">
        <v>2.3996840112483911E-3</v>
      </c>
      <c r="AV1109">
        <v>2.399851086173287E-3</v>
      </c>
      <c r="AW1109">
        <v>3.9339484560654697E-3</v>
      </c>
      <c r="AX1109">
        <v>6.1354199806860107E-4</v>
      </c>
      <c r="AY1109">
        <v>7.3209365475993124E-4</v>
      </c>
      <c r="AZ1109">
        <v>0</v>
      </c>
      <c r="BA1109">
        <v>0</v>
      </c>
      <c r="BB1109">
        <v>6.3245819293211325E-2</v>
      </c>
      <c r="BC1109">
        <v>0.14803612373853459</v>
      </c>
      <c r="BD1109">
        <v>0</v>
      </c>
      <c r="BE1109">
        <v>42614.654985726163</v>
      </c>
      <c r="BF1109">
        <v>21.713485104436653</v>
      </c>
      <c r="BG1109">
        <v>45569.548739825281</v>
      </c>
      <c r="BH1109">
        <v>21.708400140226807</v>
      </c>
    </row>
    <row r="1110" spans="3:60" x14ac:dyDescent="0.2">
      <c r="C1110" s="138">
        <v>42842.29444444448</v>
      </c>
      <c r="D1110">
        <v>21.742012654940805</v>
      </c>
      <c r="E1110" s="138">
        <v>45814.148080808103</v>
      </c>
      <c r="F1110" s="138">
        <v>21.738150444964251</v>
      </c>
      <c r="G1110" s="138">
        <v>-1451.0084848484917</v>
      </c>
      <c r="H1110" s="138">
        <v>0.1037272839553891</v>
      </c>
      <c r="R1110">
        <v>531.99906165914433</v>
      </c>
      <c r="S1110">
        <v>79.026052388529706</v>
      </c>
      <c r="T1110">
        <v>306.72023576094296</v>
      </c>
      <c r="U1110">
        <v>122.3661517733577</v>
      </c>
      <c r="V1110">
        <v>0</v>
      </c>
      <c r="W1110">
        <v>0</v>
      </c>
      <c r="X1110">
        <v>0.9438218381211817</v>
      </c>
      <c r="Y1110">
        <v>0.93170608001204047</v>
      </c>
      <c r="Z1110">
        <v>0.94550780468893836</v>
      </c>
      <c r="AA1110">
        <v>0.94338522866776231</v>
      </c>
      <c r="AB1110">
        <v>0.93122944031386223</v>
      </c>
      <c r="AC1110">
        <v>0.93395991535422129</v>
      </c>
      <c r="AD1110">
        <v>0.93208873215810584</v>
      </c>
      <c r="AE1110">
        <v>0.93458484245777629</v>
      </c>
      <c r="AF1110">
        <v>0</v>
      </c>
      <c r="AG1110">
        <v>0</v>
      </c>
      <c r="AH1110">
        <v>0.49911584058066483</v>
      </c>
      <c r="AI1110">
        <v>0.47501800056906374</v>
      </c>
      <c r="AJ1110">
        <v>0.40497539958577911</v>
      </c>
      <c r="AK1110">
        <v>0.43784317486356045</v>
      </c>
      <c r="AL1110">
        <v>0.4275680003695026</v>
      </c>
      <c r="AM1110">
        <v>0.44265956764782466</v>
      </c>
      <c r="AN1110">
        <v>0.42186570053294065</v>
      </c>
      <c r="AO1110">
        <v>0.46309232113251275</v>
      </c>
      <c r="AP1110">
        <v>0</v>
      </c>
      <c r="AQ1110">
        <v>0</v>
      </c>
      <c r="AR1110">
        <v>1.1636715631150182E-3</v>
      </c>
      <c r="AS1110">
        <v>5.1277580099119216E-3</v>
      </c>
      <c r="AT1110">
        <v>0.10279108599725263</v>
      </c>
      <c r="AU1110">
        <v>2.4091237032948347E-3</v>
      </c>
      <c r="AV1110">
        <v>2.4091684774675236E-3</v>
      </c>
      <c r="AW1110">
        <v>3.946405085227405E-3</v>
      </c>
      <c r="AX1110">
        <v>6.1766380207643214E-4</v>
      </c>
      <c r="AY1110">
        <v>7.3730069217844746E-4</v>
      </c>
      <c r="AZ1110">
        <v>0</v>
      </c>
      <c r="BA1110">
        <v>0</v>
      </c>
      <c r="BB1110">
        <v>6.3534651451272475E-2</v>
      </c>
      <c r="BC1110">
        <v>0.14961040606409234</v>
      </c>
      <c r="BD1110">
        <v>0</v>
      </c>
      <c r="BE1110">
        <v>42842.29727795918</v>
      </c>
      <c r="BF1110">
        <v>21.742012654940805</v>
      </c>
      <c r="BG1110">
        <v>45814.151911829635</v>
      </c>
      <c r="BH1110">
        <v>21.738150444964251</v>
      </c>
    </row>
    <row r="1111" spans="3:60" x14ac:dyDescent="0.2">
      <c r="C1111" s="138">
        <v>43069.936666666705</v>
      </c>
      <c r="D1111">
        <v>21.770540205444956</v>
      </c>
      <c r="E1111" s="138">
        <v>46058.751212121235</v>
      </c>
      <c r="F1111" s="138">
        <v>21.767900749701695</v>
      </c>
      <c r="G1111" s="138">
        <v>-1430.1772727272796</v>
      </c>
      <c r="H1111" s="138">
        <v>0.10553132902454897</v>
      </c>
      <c r="R1111">
        <v>538.2316661058602</v>
      </c>
      <c r="S1111">
        <v>79.420808764464297</v>
      </c>
      <c r="T1111">
        <v>308.29923027962144</v>
      </c>
      <c r="U1111">
        <v>122.97476835019053</v>
      </c>
      <c r="V1111">
        <v>0</v>
      </c>
      <c r="W1111">
        <v>0</v>
      </c>
      <c r="X1111">
        <v>0.95071822717371191</v>
      </c>
      <c r="Y1111">
        <v>0.93858432823890459</v>
      </c>
      <c r="Z1111">
        <v>0.95262682992961323</v>
      </c>
      <c r="AA1111">
        <v>0.95001334021960182</v>
      </c>
      <c r="AB1111">
        <v>0.93837139886535481</v>
      </c>
      <c r="AC1111">
        <v>0.94091979154668193</v>
      </c>
      <c r="AD1111">
        <v>0.93893530406366277</v>
      </c>
      <c r="AE1111">
        <v>0.94236568577239233</v>
      </c>
      <c r="AF1111">
        <v>0</v>
      </c>
      <c r="AG1111">
        <v>0</v>
      </c>
      <c r="AH1111">
        <v>0.50451008397543706</v>
      </c>
      <c r="AI1111">
        <v>0.48016277848891431</v>
      </c>
      <c r="AJ1111">
        <v>0.40934728502613948</v>
      </c>
      <c r="AK1111">
        <v>0.44256297210301837</v>
      </c>
      <c r="AL1111">
        <v>0.43220389466896919</v>
      </c>
      <c r="AM1111">
        <v>0.44745870541280874</v>
      </c>
      <c r="AN1111">
        <v>0.42642409872910048</v>
      </c>
      <c r="AO1111">
        <v>0.46807881678383867</v>
      </c>
      <c r="AP1111">
        <v>0</v>
      </c>
      <c r="AQ1111">
        <v>0</v>
      </c>
      <c r="AR1111">
        <v>1.170112905071253E-3</v>
      </c>
      <c r="AS1111">
        <v>5.142029799837875E-3</v>
      </c>
      <c r="AT1111">
        <v>0.10285107875919895</v>
      </c>
      <c r="AU1111">
        <v>2.4185633953412783E-3</v>
      </c>
      <c r="AV1111">
        <v>2.4184858687617602E-3</v>
      </c>
      <c r="AW1111">
        <v>3.9588617143893404E-3</v>
      </c>
      <c r="AX1111">
        <v>6.2178560608426321E-4</v>
      </c>
      <c r="AY1111">
        <v>7.4250772959696368E-4</v>
      </c>
      <c r="AZ1111">
        <v>0</v>
      </c>
      <c r="BA1111">
        <v>0</v>
      </c>
      <c r="BB1111">
        <v>6.3823483609333626E-2</v>
      </c>
      <c r="BC1111">
        <v>0.1511846883896501</v>
      </c>
      <c r="BD1111">
        <v>0</v>
      </c>
      <c r="BE1111">
        <v>43069.939570192197</v>
      </c>
      <c r="BF1111">
        <v>21.770540205444956</v>
      </c>
      <c r="BG1111">
        <v>46058.755083833988</v>
      </c>
      <c r="BH1111">
        <v>21.767900749701695</v>
      </c>
    </row>
    <row r="1112" spans="3:60" x14ac:dyDescent="0.2">
      <c r="C1112" s="138">
        <v>43297.578888888929</v>
      </c>
      <c r="D1112">
        <v>21.799067755949107</v>
      </c>
      <c r="E1112" s="138">
        <v>46303.354343434366</v>
      </c>
      <c r="F1112" s="138">
        <v>21.79765105443914</v>
      </c>
      <c r="G1112" s="138">
        <v>-1409.3460606060676</v>
      </c>
      <c r="H1112" s="138">
        <v>0.10733537409370883</v>
      </c>
      <c r="R1112">
        <v>544.46427055257607</v>
      </c>
      <c r="S1112">
        <v>79.815565140398888</v>
      </c>
      <c r="T1112">
        <v>309.87822479829993</v>
      </c>
      <c r="U1112">
        <v>123.58338492702336</v>
      </c>
      <c r="V1112">
        <v>0</v>
      </c>
      <c r="W1112">
        <v>0</v>
      </c>
      <c r="X1112">
        <v>0.95761461622624211</v>
      </c>
      <c r="Y1112">
        <v>0.9454625764657687</v>
      </c>
      <c r="Z1112">
        <v>0.9597458551702881</v>
      </c>
      <c r="AA1112">
        <v>0.95664145177144133</v>
      </c>
      <c r="AB1112">
        <v>0.94551335741684739</v>
      </c>
      <c r="AC1112">
        <v>0.94787966773914256</v>
      </c>
      <c r="AD1112">
        <v>0.9457818759692197</v>
      </c>
      <c r="AE1112">
        <v>0.95014652908700836</v>
      </c>
      <c r="AF1112">
        <v>0</v>
      </c>
      <c r="AG1112">
        <v>0</v>
      </c>
      <c r="AH1112">
        <v>0.5099043273702093</v>
      </c>
      <c r="AI1112">
        <v>0.48530755640876488</v>
      </c>
      <c r="AJ1112">
        <v>0.41371917046649986</v>
      </c>
      <c r="AK1112">
        <v>0.44728276934247629</v>
      </c>
      <c r="AL1112">
        <v>0.43683978896843578</v>
      </c>
      <c r="AM1112">
        <v>0.45225784317779283</v>
      </c>
      <c r="AN1112">
        <v>0.43098249692526031</v>
      </c>
      <c r="AO1112">
        <v>0.47306531243516459</v>
      </c>
      <c r="AP1112">
        <v>0</v>
      </c>
      <c r="AQ1112">
        <v>0</v>
      </c>
      <c r="AR1112">
        <v>1.1765542470274879E-3</v>
      </c>
      <c r="AS1112">
        <v>5.1563015897638283E-3</v>
      </c>
      <c r="AT1112">
        <v>0.10291107152114527</v>
      </c>
      <c r="AU1112">
        <v>2.4280030873877218E-3</v>
      </c>
      <c r="AV1112">
        <v>2.4278032600559968E-3</v>
      </c>
      <c r="AW1112">
        <v>3.9713183435512757E-3</v>
      </c>
      <c r="AX1112">
        <v>6.2590741009209427E-4</v>
      </c>
      <c r="AY1112">
        <v>7.477147670154799E-4</v>
      </c>
      <c r="AZ1112">
        <v>0</v>
      </c>
      <c r="BA1112">
        <v>0</v>
      </c>
      <c r="BB1112">
        <v>6.4112315767394776E-2</v>
      </c>
      <c r="BC1112">
        <v>0.15275897071520786</v>
      </c>
      <c r="BD1112">
        <v>0</v>
      </c>
      <c r="BE1112">
        <v>43297.581862425213</v>
      </c>
      <c r="BF1112">
        <v>21.799067755949107</v>
      </c>
      <c r="BG1112">
        <v>46303.358255838342</v>
      </c>
      <c r="BH1112">
        <v>21.79765105443914</v>
      </c>
    </row>
    <row r="1113" spans="3:60" x14ac:dyDescent="0.2">
      <c r="C1113" s="138">
        <v>43525.221111111154</v>
      </c>
      <c r="D1113">
        <v>21.827595306453258</v>
      </c>
      <c r="E1113" s="138">
        <v>46547.957474747498</v>
      </c>
      <c r="F1113" s="138">
        <v>21.827401359176584</v>
      </c>
      <c r="G1113" s="138">
        <v>-1388.5148484848555</v>
      </c>
      <c r="H1113" s="138">
        <v>0.10913941916286869</v>
      </c>
      <c r="R1113">
        <v>550.69687499929194</v>
      </c>
      <c r="S1113">
        <v>80.21032151633348</v>
      </c>
      <c r="T1113">
        <v>311.45721931697841</v>
      </c>
      <c r="U1113">
        <v>124.19200150385619</v>
      </c>
      <c r="V1113">
        <v>0</v>
      </c>
      <c r="W1113">
        <v>0</v>
      </c>
      <c r="X1113">
        <v>0.96451100527877232</v>
      </c>
      <c r="Y1113">
        <v>0.95234082469263281</v>
      </c>
      <c r="Z1113">
        <v>0.96686488041096297</v>
      </c>
      <c r="AA1113">
        <v>0.96326956332328084</v>
      </c>
      <c r="AB1113">
        <v>0.95265531596833997</v>
      </c>
      <c r="AC1113">
        <v>0.9548395439316032</v>
      </c>
      <c r="AD1113">
        <v>0.95262844787477663</v>
      </c>
      <c r="AE1113">
        <v>0.9579273724016244</v>
      </c>
      <c r="AF1113">
        <v>0</v>
      </c>
      <c r="AG1113">
        <v>0</v>
      </c>
      <c r="AH1113">
        <v>0.51529857076498153</v>
      </c>
      <c r="AI1113">
        <v>0.49045233432861546</v>
      </c>
      <c r="AJ1113">
        <v>0.41809105590686024</v>
      </c>
      <c r="AK1113">
        <v>0.45200256658193422</v>
      </c>
      <c r="AL1113">
        <v>0.44147568326790237</v>
      </c>
      <c r="AM1113">
        <v>0.45705698094277691</v>
      </c>
      <c r="AN1113">
        <v>0.43554089512142014</v>
      </c>
      <c r="AO1113">
        <v>0.4780518080864905</v>
      </c>
      <c r="AP1113">
        <v>0</v>
      </c>
      <c r="AQ1113">
        <v>0</v>
      </c>
      <c r="AR1113">
        <v>1.1829955889837227E-3</v>
      </c>
      <c r="AS1113">
        <v>5.1705733796897817E-3</v>
      </c>
      <c r="AT1113">
        <v>0.10297106428309159</v>
      </c>
      <c r="AU1113">
        <v>2.4374427794341654E-3</v>
      </c>
      <c r="AV1113">
        <v>2.4371206513502334E-3</v>
      </c>
      <c r="AW1113">
        <v>3.983774972713211E-3</v>
      </c>
      <c r="AX1113">
        <v>6.3002921409992534E-4</v>
      </c>
      <c r="AY1113">
        <v>7.5292180443399612E-4</v>
      </c>
      <c r="AZ1113">
        <v>0</v>
      </c>
      <c r="BA1113">
        <v>0</v>
      </c>
      <c r="BB1113">
        <v>6.4401147925455926E-2</v>
      </c>
      <c r="BC1113">
        <v>0.15433325304076562</v>
      </c>
      <c r="BD1113">
        <v>0</v>
      </c>
      <c r="BE1113">
        <v>43525.22415465823</v>
      </c>
      <c r="BF1113">
        <v>21.827595306453258</v>
      </c>
      <c r="BG1113">
        <v>46547.961427842696</v>
      </c>
      <c r="BH1113">
        <v>21.827401359176584</v>
      </c>
    </row>
    <row r="1114" spans="3:60" x14ac:dyDescent="0.2">
      <c r="C1114" s="138">
        <v>43752.863333333378</v>
      </c>
      <c r="D1114">
        <v>21.856122856957409</v>
      </c>
      <c r="E1114" s="138">
        <v>46792.56060606063</v>
      </c>
      <c r="F1114" s="138">
        <v>21.857151663914028</v>
      </c>
      <c r="G1114" s="138">
        <v>-1367.6836363636435</v>
      </c>
      <c r="H1114" s="138">
        <v>0.11094346423202855</v>
      </c>
      <c r="R1114">
        <v>556.9294794460078</v>
      </c>
      <c r="S1114">
        <v>80.605077892268071</v>
      </c>
      <c r="T1114">
        <v>313.03621383565689</v>
      </c>
      <c r="U1114">
        <v>124.80061808068902</v>
      </c>
      <c r="V1114">
        <v>0</v>
      </c>
      <c r="W1114">
        <v>0</v>
      </c>
      <c r="X1114">
        <v>0.97140739433130252</v>
      </c>
      <c r="Y1114">
        <v>0.95921907291949693</v>
      </c>
      <c r="Z1114">
        <v>0.97398390565163784</v>
      </c>
      <c r="AA1114">
        <v>0.96989767487512035</v>
      </c>
      <c r="AB1114">
        <v>0.95979727451983254</v>
      </c>
      <c r="AC1114">
        <v>0.96179942012406383</v>
      </c>
      <c r="AD1114">
        <v>0.95947501978033356</v>
      </c>
      <c r="AE1114">
        <v>0.96570821571624044</v>
      </c>
      <c r="AF1114">
        <v>0</v>
      </c>
      <c r="AG1114">
        <v>0</v>
      </c>
      <c r="AH1114">
        <v>0.52069281415975377</v>
      </c>
      <c r="AI1114">
        <v>0.49559711224846603</v>
      </c>
      <c r="AJ1114">
        <v>0.42246294134722062</v>
      </c>
      <c r="AK1114">
        <v>0.45672236382139214</v>
      </c>
      <c r="AL1114">
        <v>0.44611157756736897</v>
      </c>
      <c r="AM1114">
        <v>0.461856118707761</v>
      </c>
      <c r="AN1114">
        <v>0.44009929331757996</v>
      </c>
      <c r="AO1114">
        <v>0.48303830373781642</v>
      </c>
      <c r="AP1114">
        <v>0</v>
      </c>
      <c r="AQ1114">
        <v>0</v>
      </c>
      <c r="AR1114">
        <v>1.1894369309399576E-3</v>
      </c>
      <c r="AS1114">
        <v>5.1848451696157351E-3</v>
      </c>
      <c r="AT1114">
        <v>0.10303105704503791</v>
      </c>
      <c r="AU1114">
        <v>2.4468824714806089E-3</v>
      </c>
      <c r="AV1114">
        <v>2.44643804264447E-3</v>
      </c>
      <c r="AW1114">
        <v>3.9962316018751463E-3</v>
      </c>
      <c r="AX1114">
        <v>6.341510181077564E-4</v>
      </c>
      <c r="AY1114">
        <v>7.5812884185251235E-4</v>
      </c>
      <c r="AZ1114">
        <v>0</v>
      </c>
      <c r="BA1114">
        <v>0</v>
      </c>
      <c r="BB1114">
        <v>6.4689980083517076E-2</v>
      </c>
      <c r="BC1114">
        <v>0.15590753536632337</v>
      </c>
      <c r="BD1114">
        <v>0</v>
      </c>
      <c r="BE1114">
        <v>43752.866446891247</v>
      </c>
      <c r="BF1114">
        <v>21.856122856957409</v>
      </c>
      <c r="BG1114">
        <v>46792.56459984705</v>
      </c>
      <c r="BH1114">
        <v>21.857151663914028</v>
      </c>
    </row>
    <row r="1115" spans="3:60" x14ac:dyDescent="0.2">
      <c r="C1115" s="138">
        <v>43980.505555555603</v>
      </c>
      <c r="D1115">
        <v>21.88465040746156</v>
      </c>
      <c r="E1115" s="138">
        <v>47037.163737373761</v>
      </c>
      <c r="F1115" s="138">
        <v>21.886901968651472</v>
      </c>
      <c r="G1115" s="138">
        <v>-1346.8524242424314</v>
      </c>
      <c r="H1115" s="138">
        <v>0.11274750930118842</v>
      </c>
      <c r="R1115">
        <v>563.16208389272367</v>
      </c>
      <c r="S1115">
        <v>80.999834268202662</v>
      </c>
      <c r="T1115">
        <v>314.61520835433538</v>
      </c>
      <c r="U1115">
        <v>125.40923465752185</v>
      </c>
      <c r="V1115">
        <v>0</v>
      </c>
      <c r="W1115">
        <v>0</v>
      </c>
      <c r="X1115">
        <v>0.97830378338383273</v>
      </c>
      <c r="Y1115">
        <v>0.96609732114636104</v>
      </c>
      <c r="Z1115">
        <v>0.98110293089231271</v>
      </c>
      <c r="AA1115">
        <v>0.97652578642695986</v>
      </c>
      <c r="AB1115">
        <v>0.96693923307132512</v>
      </c>
      <c r="AC1115">
        <v>0.96875929631652447</v>
      </c>
      <c r="AD1115">
        <v>0.96632159168589049</v>
      </c>
      <c r="AE1115">
        <v>0.97348905903085647</v>
      </c>
      <c r="AF1115">
        <v>0</v>
      </c>
      <c r="AG1115">
        <v>0</v>
      </c>
      <c r="AH1115">
        <v>0.52608705755452601</v>
      </c>
      <c r="AI1115">
        <v>0.50074189016831661</v>
      </c>
      <c r="AJ1115">
        <v>0.426834826787581</v>
      </c>
      <c r="AK1115">
        <v>0.46144216106085006</v>
      </c>
      <c r="AL1115">
        <v>0.45074747186683556</v>
      </c>
      <c r="AM1115">
        <v>0.46665525647274508</v>
      </c>
      <c r="AN1115">
        <v>0.44465769151373979</v>
      </c>
      <c r="AO1115">
        <v>0.48802479938914234</v>
      </c>
      <c r="AP1115">
        <v>0</v>
      </c>
      <c r="AQ1115">
        <v>0</v>
      </c>
      <c r="AR1115">
        <v>1.1958782728961925E-3</v>
      </c>
      <c r="AS1115">
        <v>5.1991169595416884E-3</v>
      </c>
      <c r="AT1115">
        <v>0.10309104980698423</v>
      </c>
      <c r="AU1115">
        <v>2.4563221635270525E-3</v>
      </c>
      <c r="AV1115">
        <v>2.4557554339387066E-3</v>
      </c>
      <c r="AW1115">
        <v>4.0086882310370817E-3</v>
      </c>
      <c r="AX1115">
        <v>6.3827282211558747E-4</v>
      </c>
      <c r="AY1115">
        <v>7.6333587927102857E-4</v>
      </c>
      <c r="AZ1115">
        <v>0</v>
      </c>
      <c r="BA1115">
        <v>0</v>
      </c>
      <c r="BB1115">
        <v>6.4978812241578227E-2</v>
      </c>
      <c r="BC1115">
        <v>0.15748181769188113</v>
      </c>
      <c r="BD1115">
        <v>0</v>
      </c>
      <c r="BE1115">
        <v>43980.508739124263</v>
      </c>
      <c r="BF1115">
        <v>21.88465040746156</v>
      </c>
      <c r="BG1115">
        <v>47037.167771851404</v>
      </c>
      <c r="BH1115">
        <v>21.886901968651472</v>
      </c>
    </row>
    <row r="1116" spans="3:60" x14ac:dyDescent="0.2">
      <c r="C1116" s="138">
        <v>44208.147777777827</v>
      </c>
      <c r="D1116">
        <v>21.913177957965711</v>
      </c>
      <c r="E1116" s="138">
        <v>47281.766868686893</v>
      </c>
      <c r="F1116" s="138">
        <v>21.916652273388916</v>
      </c>
      <c r="G1116" s="138">
        <v>-1326.0212121212194</v>
      </c>
      <c r="H1116" s="138">
        <v>0.11455155437034828</v>
      </c>
      <c r="R1116">
        <v>569.39468833943954</v>
      </c>
      <c r="S1116">
        <v>81.394590644137253</v>
      </c>
      <c r="T1116">
        <v>316.19420287301386</v>
      </c>
      <c r="U1116">
        <v>126.01785123435468</v>
      </c>
      <c r="V1116">
        <v>0</v>
      </c>
      <c r="W1116">
        <v>0</v>
      </c>
      <c r="X1116">
        <v>0.98520017243636293</v>
      </c>
      <c r="Y1116">
        <v>0.97297556937322516</v>
      </c>
      <c r="Z1116">
        <v>0.98822195613298758</v>
      </c>
      <c r="AA1116">
        <v>0.98315389797879937</v>
      </c>
      <c r="AB1116">
        <v>0.9740811916228177</v>
      </c>
      <c r="AC1116">
        <v>0.9757191725089851</v>
      </c>
      <c r="AD1116">
        <v>0.97316816359144742</v>
      </c>
      <c r="AE1116">
        <v>0.98126990234547251</v>
      </c>
      <c r="AF1116">
        <v>0</v>
      </c>
      <c r="AG1116">
        <v>0</v>
      </c>
      <c r="AH1116">
        <v>0.53148130094929824</v>
      </c>
      <c r="AI1116">
        <v>0.50588666808816718</v>
      </c>
      <c r="AJ1116">
        <v>0.43120671222794138</v>
      </c>
      <c r="AK1116">
        <v>0.46616195830030799</v>
      </c>
      <c r="AL1116">
        <v>0.45538336616630215</v>
      </c>
      <c r="AM1116">
        <v>0.47145439423772917</v>
      </c>
      <c r="AN1116">
        <v>0.44921608970989962</v>
      </c>
      <c r="AO1116">
        <v>0.49301129504046826</v>
      </c>
      <c r="AP1116">
        <v>0</v>
      </c>
      <c r="AQ1116">
        <v>0</v>
      </c>
      <c r="AR1116">
        <v>1.2023196148524273E-3</v>
      </c>
      <c r="AS1116">
        <v>5.2133887494676418E-3</v>
      </c>
      <c r="AT1116">
        <v>0.10315104256893055</v>
      </c>
      <c r="AU1116">
        <v>2.4657618555734961E-3</v>
      </c>
      <c r="AV1116">
        <v>2.4650728252329432E-3</v>
      </c>
      <c r="AW1116">
        <v>4.021144860199017E-3</v>
      </c>
      <c r="AX1116">
        <v>6.4239462612341854E-4</v>
      </c>
      <c r="AY1116">
        <v>7.6854291668954479E-4</v>
      </c>
      <c r="AZ1116">
        <v>0</v>
      </c>
      <c r="BA1116">
        <v>0</v>
      </c>
      <c r="BB1116">
        <v>6.5267644399639377E-2</v>
      </c>
      <c r="BC1116">
        <v>0.15905610001743889</v>
      </c>
      <c r="BD1116">
        <v>0</v>
      </c>
      <c r="BE1116">
        <v>44208.15103135728</v>
      </c>
      <c r="BF1116">
        <v>21.913177957965711</v>
      </c>
      <c r="BG1116">
        <v>47281.770943855758</v>
      </c>
      <c r="BH1116">
        <v>21.916652273388916</v>
      </c>
    </row>
    <row r="1117" spans="3:60" x14ac:dyDescent="0.2">
      <c r="C1117" s="138">
        <v>44435.790000000052</v>
      </c>
      <c r="D1117">
        <v>21.941705508469862</v>
      </c>
      <c r="E1117" s="138">
        <v>47526.370000000024</v>
      </c>
      <c r="F1117" s="138">
        <v>21.94640257812636</v>
      </c>
      <c r="G1117" s="138">
        <v>-1305.1900000000073</v>
      </c>
      <c r="H1117" s="138">
        <v>0.11635559943950814</v>
      </c>
      <c r="R1117">
        <v>575.62729278615541</v>
      </c>
      <c r="S1117">
        <v>81.789347020071844</v>
      </c>
      <c r="T1117">
        <v>317.77319739169235</v>
      </c>
      <c r="U1117">
        <v>126.62646781118751</v>
      </c>
      <c r="V1117">
        <v>0</v>
      </c>
      <c r="W1117">
        <v>0</v>
      </c>
      <c r="X1117">
        <v>0.99209656148889314</v>
      </c>
      <c r="Y1117">
        <v>0.97985381760008927</v>
      </c>
      <c r="Z1117">
        <v>0.99534098137366245</v>
      </c>
      <c r="AA1117">
        <v>0.98978200953063888</v>
      </c>
      <c r="AB1117">
        <v>0.98122315017431028</v>
      </c>
      <c r="AC1117">
        <v>0.98267904870144573</v>
      </c>
      <c r="AD1117">
        <v>0.98001473549700435</v>
      </c>
      <c r="AE1117">
        <v>0.98905074566008855</v>
      </c>
      <c r="AF1117">
        <v>0</v>
      </c>
      <c r="AG1117">
        <v>0</v>
      </c>
      <c r="AH1117">
        <v>0.53687554434407048</v>
      </c>
      <c r="AI1117">
        <v>0.51103144600801775</v>
      </c>
      <c r="AJ1117">
        <v>0.43557859766830176</v>
      </c>
      <c r="AK1117">
        <v>0.47088175553976591</v>
      </c>
      <c r="AL1117">
        <v>0.46001926046576874</v>
      </c>
      <c r="AM1117">
        <v>0.47625353200271325</v>
      </c>
      <c r="AN1117">
        <v>0.45377448790605945</v>
      </c>
      <c r="AO1117">
        <v>0.49799779069179417</v>
      </c>
      <c r="AP1117">
        <v>0</v>
      </c>
      <c r="AQ1117">
        <v>0</v>
      </c>
      <c r="AR1117">
        <v>1.2087609568086622E-3</v>
      </c>
      <c r="AS1117">
        <v>5.2276605393935952E-3</v>
      </c>
      <c r="AT1117">
        <v>0.10321103533087687</v>
      </c>
      <c r="AU1117">
        <v>2.4752015476199396E-3</v>
      </c>
      <c r="AV1117">
        <v>2.4743902165271798E-3</v>
      </c>
      <c r="AW1117">
        <v>4.0336014893609523E-3</v>
      </c>
      <c r="AX1117">
        <v>6.465164301312496E-4</v>
      </c>
      <c r="AY1117">
        <v>7.7374995410806101E-4</v>
      </c>
      <c r="AZ1117">
        <v>0</v>
      </c>
      <c r="BA1117">
        <v>0</v>
      </c>
      <c r="BB1117">
        <v>6.5556476557700527E-2</v>
      </c>
      <c r="BC1117">
        <v>0.16063038234299665</v>
      </c>
      <c r="BD1117">
        <v>0</v>
      </c>
      <c r="BE1117">
        <v>44435.793323590296</v>
      </c>
      <c r="BF1117">
        <v>21.941705508469862</v>
      </c>
      <c r="BG1117">
        <v>47526.374115860111</v>
      </c>
      <c r="BH1117">
        <v>21.94640257812636</v>
      </c>
    </row>
    <row r="1118" spans="3:60" x14ac:dyDescent="0.2">
      <c r="C1118" s="138"/>
      <c r="E1118" s="138"/>
      <c r="F1118" s="138"/>
      <c r="G1118" s="138"/>
      <c r="H1118" s="138"/>
    </row>
    <row r="1119" spans="3:60" x14ac:dyDescent="0.2">
      <c r="C1119" s="138"/>
      <c r="E1119" s="138"/>
      <c r="F1119" s="138"/>
      <c r="G1119" s="138"/>
      <c r="H1119" s="138"/>
    </row>
    <row r="1120" spans="3:60" x14ac:dyDescent="0.2">
      <c r="C1120" s="138">
        <v>1</v>
      </c>
      <c r="D1120" s="138">
        <v>1</v>
      </c>
      <c r="E1120" s="138">
        <v>0</v>
      </c>
      <c r="F1120" s="138">
        <v>0</v>
      </c>
      <c r="G1120" s="138">
        <v>1</v>
      </c>
      <c r="H1120" s="138">
        <v>0</v>
      </c>
      <c r="R1120">
        <v>1</v>
      </c>
      <c r="S1120">
        <v>1</v>
      </c>
      <c r="T1120">
        <v>1</v>
      </c>
      <c r="U1120">
        <v>1</v>
      </c>
      <c r="V1120">
        <v>0</v>
      </c>
      <c r="W1120">
        <v>0</v>
      </c>
      <c r="X1120">
        <v>1</v>
      </c>
      <c r="Y1120">
        <v>1</v>
      </c>
      <c r="Z1120">
        <v>1</v>
      </c>
      <c r="AA1120">
        <v>1</v>
      </c>
      <c r="AB1120">
        <v>1</v>
      </c>
      <c r="AC1120">
        <v>1</v>
      </c>
      <c r="AD1120">
        <v>1</v>
      </c>
      <c r="AE1120">
        <v>1</v>
      </c>
      <c r="AF1120">
        <v>0</v>
      </c>
      <c r="AG1120">
        <v>0</v>
      </c>
      <c r="AH1120">
        <v>1</v>
      </c>
      <c r="AI1120">
        <v>1</v>
      </c>
      <c r="AJ1120">
        <v>1</v>
      </c>
      <c r="AK1120">
        <v>1</v>
      </c>
      <c r="AL1120">
        <v>1</v>
      </c>
      <c r="AM1120">
        <v>1</v>
      </c>
      <c r="AN1120">
        <v>1</v>
      </c>
      <c r="AO1120">
        <v>1</v>
      </c>
      <c r="AP1120">
        <v>0</v>
      </c>
      <c r="AQ1120">
        <v>0</v>
      </c>
      <c r="AR1120">
        <v>1</v>
      </c>
      <c r="AS1120">
        <v>1</v>
      </c>
      <c r="AT1120">
        <v>1</v>
      </c>
      <c r="AU1120">
        <v>1</v>
      </c>
      <c r="AV1120">
        <v>1</v>
      </c>
      <c r="AW1120">
        <v>1</v>
      </c>
      <c r="AX1120">
        <v>1</v>
      </c>
      <c r="AY1120">
        <v>1</v>
      </c>
      <c r="AZ1120">
        <v>0</v>
      </c>
      <c r="BA1120">
        <v>0</v>
      </c>
      <c r="BB1120">
        <v>1</v>
      </c>
      <c r="BC1120">
        <v>1</v>
      </c>
      <c r="BD1120">
        <v>0</v>
      </c>
      <c r="BE1120">
        <v>1</v>
      </c>
      <c r="BF1120">
        <v>1</v>
      </c>
      <c r="BG1120">
        <v>1</v>
      </c>
      <c r="BH1120">
        <v>1</v>
      </c>
    </row>
    <row r="1121" spans="3:60" x14ac:dyDescent="0.2">
      <c r="C1121" s="138">
        <v>0</v>
      </c>
      <c r="D1121" s="138">
        <v>0</v>
      </c>
      <c r="E1121" s="138">
        <v>1</v>
      </c>
      <c r="F1121" s="138">
        <v>1</v>
      </c>
      <c r="G1121" s="138">
        <v>0</v>
      </c>
      <c r="H1121" s="138">
        <v>1</v>
      </c>
      <c r="R1121">
        <v>1</v>
      </c>
      <c r="S1121">
        <v>0</v>
      </c>
      <c r="T1121">
        <v>0</v>
      </c>
      <c r="U1121">
        <v>1</v>
      </c>
      <c r="V1121">
        <v>0</v>
      </c>
      <c r="W1121">
        <v>0</v>
      </c>
      <c r="X1121">
        <v>1</v>
      </c>
      <c r="Y1121">
        <v>1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8</v>
      </c>
      <c r="AI1121">
        <v>6</v>
      </c>
      <c r="AJ1121">
        <v>6</v>
      </c>
      <c r="AK1121">
        <v>7</v>
      </c>
      <c r="AL1121">
        <v>5</v>
      </c>
      <c r="AM1121">
        <v>6</v>
      </c>
      <c r="AN1121">
        <v>6</v>
      </c>
      <c r="AO1121">
        <v>10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1</v>
      </c>
      <c r="AY1121">
        <v>0</v>
      </c>
      <c r="AZ1121">
        <v>0</v>
      </c>
      <c r="BA1121">
        <v>0</v>
      </c>
      <c r="BB1121">
        <v>1</v>
      </c>
      <c r="BC1121">
        <v>1</v>
      </c>
      <c r="BD1121">
        <v>0</v>
      </c>
      <c r="BE1121">
        <v>0</v>
      </c>
      <c r="BF1121">
        <v>0</v>
      </c>
      <c r="BG1121">
        <v>0</v>
      </c>
      <c r="BH1121">
        <v>0</v>
      </c>
    </row>
    <row r="1122" spans="3:60" x14ac:dyDescent="0.2">
      <c r="C1122" s="138">
        <v>2</v>
      </c>
      <c r="D1122" s="138">
        <v>1</v>
      </c>
      <c r="E1122" s="138">
        <v>1</v>
      </c>
      <c r="F1122" s="138">
        <v>0</v>
      </c>
      <c r="G1122" s="138">
        <v>0</v>
      </c>
      <c r="H1122" s="138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1</v>
      </c>
      <c r="Y1122">
        <v>0</v>
      </c>
      <c r="Z1122">
        <v>0</v>
      </c>
      <c r="AA1122">
        <v>0</v>
      </c>
      <c r="AB1122">
        <v>1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15</v>
      </c>
      <c r="AI1122">
        <v>11</v>
      </c>
      <c r="AJ1122">
        <v>8</v>
      </c>
      <c r="AK1122">
        <v>5</v>
      </c>
      <c r="AL1122">
        <v>7</v>
      </c>
      <c r="AM1122">
        <v>14</v>
      </c>
      <c r="AN1122">
        <v>4</v>
      </c>
      <c r="AO1122">
        <v>10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1</v>
      </c>
      <c r="AV1122">
        <v>2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2</v>
      </c>
      <c r="BF1122">
        <v>1</v>
      </c>
      <c r="BG1122">
        <v>1</v>
      </c>
      <c r="BH1122">
        <v>0</v>
      </c>
    </row>
    <row r="1123" spans="3:60" x14ac:dyDescent="0.2">
      <c r="C1123" s="138">
        <v>0</v>
      </c>
      <c r="D1123" s="138">
        <v>2</v>
      </c>
      <c r="E1123" s="138">
        <v>1</v>
      </c>
      <c r="F1123" s="138">
        <v>0</v>
      </c>
      <c r="G1123" s="138">
        <v>0</v>
      </c>
      <c r="H1123" s="138">
        <v>0</v>
      </c>
      <c r="R1123">
        <v>2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1</v>
      </c>
      <c r="Y1123">
        <v>0</v>
      </c>
      <c r="Z1123">
        <v>1</v>
      </c>
      <c r="AA1123">
        <v>1</v>
      </c>
      <c r="AB1123">
        <v>1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18</v>
      </c>
      <c r="AI1123">
        <v>11</v>
      </c>
      <c r="AJ1123">
        <v>7</v>
      </c>
      <c r="AK1123">
        <v>25</v>
      </c>
      <c r="AL1123">
        <v>13</v>
      </c>
      <c r="AM1123">
        <v>14</v>
      </c>
      <c r="AN1123">
        <v>11</v>
      </c>
      <c r="AO1123">
        <v>17</v>
      </c>
      <c r="AP1123">
        <v>0</v>
      </c>
      <c r="AQ1123">
        <v>0</v>
      </c>
      <c r="AR1123">
        <v>0</v>
      </c>
      <c r="AS1123">
        <v>0</v>
      </c>
      <c r="AT1123">
        <v>1</v>
      </c>
      <c r="AU1123">
        <v>0</v>
      </c>
      <c r="AV1123">
        <v>0</v>
      </c>
      <c r="AW1123">
        <v>1</v>
      </c>
      <c r="AX1123">
        <v>0</v>
      </c>
      <c r="AY1123">
        <v>1</v>
      </c>
      <c r="AZ1123">
        <v>0</v>
      </c>
      <c r="BA1123">
        <v>0</v>
      </c>
      <c r="BB1123">
        <v>4</v>
      </c>
      <c r="BC1123">
        <v>2</v>
      </c>
      <c r="BD1123">
        <v>0</v>
      </c>
      <c r="BE1123">
        <v>0</v>
      </c>
      <c r="BF1123">
        <v>2</v>
      </c>
      <c r="BG1123">
        <v>1</v>
      </c>
      <c r="BH1123">
        <v>0</v>
      </c>
    </row>
    <row r="1124" spans="3:60" x14ac:dyDescent="0.2">
      <c r="C1124" s="138">
        <v>0</v>
      </c>
      <c r="D1124" s="138">
        <v>0</v>
      </c>
      <c r="E1124" s="138">
        <v>0</v>
      </c>
      <c r="F1124" s="138">
        <v>2</v>
      </c>
      <c r="G1124" s="138">
        <v>0</v>
      </c>
      <c r="H1124" s="138">
        <v>0</v>
      </c>
      <c r="R1124">
        <v>0</v>
      </c>
      <c r="S1124">
        <v>0</v>
      </c>
      <c r="T1124">
        <v>1</v>
      </c>
      <c r="U1124">
        <v>0</v>
      </c>
      <c r="V1124">
        <v>0</v>
      </c>
      <c r="W1124">
        <v>0</v>
      </c>
      <c r="X1124">
        <v>0</v>
      </c>
      <c r="Y1124">
        <v>1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24</v>
      </c>
      <c r="AI1124">
        <v>16</v>
      </c>
      <c r="AJ1124">
        <v>12</v>
      </c>
      <c r="AK1124">
        <v>12</v>
      </c>
      <c r="AL1124">
        <v>20</v>
      </c>
      <c r="AM1124">
        <v>18</v>
      </c>
      <c r="AN1124">
        <v>14</v>
      </c>
      <c r="AO1124">
        <v>20</v>
      </c>
      <c r="AP1124">
        <v>0</v>
      </c>
      <c r="AQ1124">
        <v>0</v>
      </c>
      <c r="AR1124">
        <v>0</v>
      </c>
      <c r="AS1124">
        <v>0</v>
      </c>
      <c r="AT1124">
        <v>1</v>
      </c>
      <c r="AU1124">
        <v>0</v>
      </c>
      <c r="AV1124">
        <v>0</v>
      </c>
      <c r="AW1124">
        <v>0</v>
      </c>
      <c r="AX1124">
        <v>1</v>
      </c>
      <c r="AY1124">
        <v>0</v>
      </c>
      <c r="AZ1124">
        <v>0</v>
      </c>
      <c r="BA1124">
        <v>0</v>
      </c>
      <c r="BB1124">
        <v>1</v>
      </c>
      <c r="BC1124">
        <v>3</v>
      </c>
      <c r="BD1124">
        <v>0</v>
      </c>
      <c r="BE1124">
        <v>0</v>
      </c>
      <c r="BF1124">
        <v>0</v>
      </c>
      <c r="BG1124">
        <v>0</v>
      </c>
      <c r="BH1124">
        <v>2</v>
      </c>
    </row>
    <row r="1125" spans="3:60" x14ac:dyDescent="0.2">
      <c r="C1125" s="138">
        <v>0</v>
      </c>
      <c r="D1125" s="138">
        <v>0</v>
      </c>
      <c r="E1125" s="138">
        <v>0</v>
      </c>
      <c r="F1125" s="138">
        <v>1</v>
      </c>
      <c r="G1125" s="138">
        <v>0</v>
      </c>
      <c r="H1125" s="138">
        <v>1</v>
      </c>
      <c r="R1125">
        <v>1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1</v>
      </c>
      <c r="Y1125">
        <v>1</v>
      </c>
      <c r="Z1125">
        <v>0</v>
      </c>
      <c r="AA1125">
        <v>2</v>
      </c>
      <c r="AB1125">
        <v>0</v>
      </c>
      <c r="AC1125">
        <v>0</v>
      </c>
      <c r="AD1125">
        <v>2</v>
      </c>
      <c r="AE1125">
        <v>0</v>
      </c>
      <c r="AF1125">
        <v>0</v>
      </c>
      <c r="AG1125">
        <v>0</v>
      </c>
      <c r="AH1125">
        <v>21</v>
      </c>
      <c r="AI1125">
        <v>21</v>
      </c>
      <c r="AJ1125">
        <v>19</v>
      </c>
      <c r="AK1125">
        <v>23</v>
      </c>
      <c r="AL1125">
        <v>10</v>
      </c>
      <c r="AM1125">
        <v>19</v>
      </c>
      <c r="AN1125">
        <v>14</v>
      </c>
      <c r="AO1125">
        <v>20</v>
      </c>
      <c r="AP1125">
        <v>0</v>
      </c>
      <c r="AQ1125">
        <v>0</v>
      </c>
      <c r="AR1125">
        <v>0</v>
      </c>
      <c r="AS1125">
        <v>0</v>
      </c>
      <c r="AT1125">
        <v>1</v>
      </c>
      <c r="AU1125">
        <v>0</v>
      </c>
      <c r="AV1125">
        <v>0</v>
      </c>
      <c r="AW1125">
        <v>0</v>
      </c>
      <c r="AX1125">
        <v>1</v>
      </c>
      <c r="AY1125">
        <v>2</v>
      </c>
      <c r="AZ1125">
        <v>0</v>
      </c>
      <c r="BA1125">
        <v>0</v>
      </c>
      <c r="BB1125">
        <v>2</v>
      </c>
      <c r="BC1125">
        <v>5</v>
      </c>
      <c r="BD1125">
        <v>0</v>
      </c>
      <c r="BE1125">
        <v>0</v>
      </c>
      <c r="BF1125">
        <v>0</v>
      </c>
      <c r="BG1125">
        <v>0</v>
      </c>
      <c r="BH1125">
        <v>1</v>
      </c>
    </row>
    <row r="1126" spans="3:60" x14ac:dyDescent="0.2">
      <c r="C1126" s="138">
        <v>0</v>
      </c>
      <c r="D1126" s="138">
        <v>0</v>
      </c>
      <c r="E1126" s="138">
        <v>0</v>
      </c>
      <c r="F1126" s="138">
        <v>0</v>
      </c>
      <c r="G1126" s="138">
        <v>0</v>
      </c>
      <c r="H1126" s="138">
        <v>0</v>
      </c>
      <c r="R1126">
        <v>0</v>
      </c>
      <c r="S1126">
        <v>1</v>
      </c>
      <c r="T1126">
        <v>0</v>
      </c>
      <c r="U1126">
        <v>1</v>
      </c>
      <c r="V1126">
        <v>0</v>
      </c>
      <c r="W1126">
        <v>0</v>
      </c>
      <c r="X1126">
        <v>0</v>
      </c>
      <c r="Y1126">
        <v>0</v>
      </c>
      <c r="Z1126">
        <v>1</v>
      </c>
      <c r="AA1126">
        <v>1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28</v>
      </c>
      <c r="AI1126">
        <v>21</v>
      </c>
      <c r="AJ1126">
        <v>23</v>
      </c>
      <c r="AK1126">
        <v>24</v>
      </c>
      <c r="AL1126">
        <v>12</v>
      </c>
      <c r="AM1126">
        <v>22</v>
      </c>
      <c r="AN1126">
        <v>23</v>
      </c>
      <c r="AO1126">
        <v>15</v>
      </c>
      <c r="AP1126">
        <v>0</v>
      </c>
      <c r="AQ1126">
        <v>0</v>
      </c>
      <c r="AR1126">
        <v>0</v>
      </c>
      <c r="AS1126">
        <v>1</v>
      </c>
      <c r="AT1126">
        <v>1</v>
      </c>
      <c r="AU1126">
        <v>0</v>
      </c>
      <c r="AV1126">
        <v>0</v>
      </c>
      <c r="AW1126">
        <v>0</v>
      </c>
      <c r="AX1126">
        <v>0</v>
      </c>
      <c r="AY1126">
        <v>1</v>
      </c>
      <c r="AZ1126">
        <v>0</v>
      </c>
      <c r="BA1126">
        <v>0</v>
      </c>
      <c r="BB1126">
        <v>0</v>
      </c>
      <c r="BC1126">
        <v>9</v>
      </c>
      <c r="BD1126">
        <v>0</v>
      </c>
      <c r="BE1126">
        <v>0</v>
      </c>
      <c r="BF1126">
        <v>0</v>
      </c>
      <c r="BG1126">
        <v>0</v>
      </c>
      <c r="BH1126">
        <v>0</v>
      </c>
    </row>
    <row r="1127" spans="3:60" x14ac:dyDescent="0.2">
      <c r="C1127" s="138">
        <v>1</v>
      </c>
      <c r="D1127" s="138">
        <v>0</v>
      </c>
      <c r="E1127" s="138">
        <v>0</v>
      </c>
      <c r="F1127" s="138">
        <v>0</v>
      </c>
      <c r="G1127" s="138">
        <v>0</v>
      </c>
      <c r="H1127" s="138">
        <v>0</v>
      </c>
      <c r="R1127">
        <v>0</v>
      </c>
      <c r="S1127">
        <v>0</v>
      </c>
      <c r="T1127">
        <v>1</v>
      </c>
      <c r="U1127">
        <v>0</v>
      </c>
      <c r="V1127">
        <v>0</v>
      </c>
      <c r="W1127">
        <v>0</v>
      </c>
      <c r="X1127">
        <v>0</v>
      </c>
      <c r="Y1127">
        <v>2</v>
      </c>
      <c r="Z1127">
        <v>0</v>
      </c>
      <c r="AA1127">
        <v>1</v>
      </c>
      <c r="AB1127">
        <v>2</v>
      </c>
      <c r="AC1127">
        <v>0</v>
      </c>
      <c r="AD1127">
        <v>1</v>
      </c>
      <c r="AE1127">
        <v>0</v>
      </c>
      <c r="AF1127">
        <v>0</v>
      </c>
      <c r="AG1127">
        <v>0</v>
      </c>
      <c r="AH1127">
        <v>32</v>
      </c>
      <c r="AI1127">
        <v>19</v>
      </c>
      <c r="AJ1127">
        <v>17</v>
      </c>
      <c r="AK1127">
        <v>19</v>
      </c>
      <c r="AL1127">
        <v>18</v>
      </c>
      <c r="AM1127">
        <v>29</v>
      </c>
      <c r="AN1127">
        <v>17</v>
      </c>
      <c r="AO1127">
        <v>24</v>
      </c>
      <c r="AP1127">
        <v>0</v>
      </c>
      <c r="AQ1127">
        <v>0</v>
      </c>
      <c r="AR1127">
        <v>0</v>
      </c>
      <c r="AS1127">
        <v>0</v>
      </c>
      <c r="AT1127">
        <v>3</v>
      </c>
      <c r="AU1127">
        <v>0</v>
      </c>
      <c r="AV1127">
        <v>0</v>
      </c>
      <c r="AW1127">
        <v>0</v>
      </c>
      <c r="AX1127">
        <v>0</v>
      </c>
      <c r="AY1127">
        <v>1</v>
      </c>
      <c r="AZ1127">
        <v>0</v>
      </c>
      <c r="BA1127">
        <v>0</v>
      </c>
      <c r="BB1127">
        <v>2</v>
      </c>
      <c r="BC1127">
        <v>8</v>
      </c>
      <c r="BD1127">
        <v>0</v>
      </c>
      <c r="BE1127">
        <v>1</v>
      </c>
      <c r="BF1127">
        <v>0</v>
      </c>
      <c r="BG1127">
        <v>0</v>
      </c>
      <c r="BH1127">
        <v>0</v>
      </c>
    </row>
    <row r="1128" spans="3:60" x14ac:dyDescent="0.2">
      <c r="C1128" s="138">
        <v>1</v>
      </c>
      <c r="D1128" s="138">
        <v>2</v>
      </c>
      <c r="E1128" s="138">
        <v>1</v>
      </c>
      <c r="F1128" s="138">
        <v>0</v>
      </c>
      <c r="G1128" s="138">
        <v>0</v>
      </c>
      <c r="H1128" s="138">
        <v>1</v>
      </c>
      <c r="R1128">
        <v>1</v>
      </c>
      <c r="S1128">
        <v>0</v>
      </c>
      <c r="T1128">
        <v>0</v>
      </c>
      <c r="U1128">
        <v>3</v>
      </c>
      <c r="V1128">
        <v>0</v>
      </c>
      <c r="W1128">
        <v>0</v>
      </c>
      <c r="X1128">
        <v>0</v>
      </c>
      <c r="Y1128">
        <v>1</v>
      </c>
      <c r="Z1128">
        <v>1</v>
      </c>
      <c r="AA1128">
        <v>2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34</v>
      </c>
      <c r="AI1128">
        <v>29</v>
      </c>
      <c r="AJ1128">
        <v>20</v>
      </c>
      <c r="AK1128">
        <v>18</v>
      </c>
      <c r="AL1128">
        <v>25</v>
      </c>
      <c r="AM1128">
        <v>35</v>
      </c>
      <c r="AN1128">
        <v>25</v>
      </c>
      <c r="AO1128">
        <v>31</v>
      </c>
      <c r="AP1128">
        <v>0</v>
      </c>
      <c r="AQ1128">
        <v>0</v>
      </c>
      <c r="AR1128">
        <v>0</v>
      </c>
      <c r="AS1128">
        <v>1</v>
      </c>
      <c r="AT1128">
        <v>1</v>
      </c>
      <c r="AU1128">
        <v>1</v>
      </c>
      <c r="AV1128">
        <v>1</v>
      </c>
      <c r="AW1128">
        <v>0</v>
      </c>
      <c r="AX1128">
        <v>0</v>
      </c>
      <c r="AY1128">
        <v>2</v>
      </c>
      <c r="AZ1128">
        <v>0</v>
      </c>
      <c r="BA1128">
        <v>0</v>
      </c>
      <c r="BB1128">
        <v>2</v>
      </c>
      <c r="BC1128">
        <v>9</v>
      </c>
      <c r="BD1128">
        <v>0</v>
      </c>
      <c r="BE1128">
        <v>1</v>
      </c>
      <c r="BF1128">
        <v>2</v>
      </c>
      <c r="BG1128">
        <v>1</v>
      </c>
      <c r="BH1128">
        <v>0</v>
      </c>
    </row>
    <row r="1129" spans="3:60" x14ac:dyDescent="0.2">
      <c r="C1129" s="138">
        <v>1</v>
      </c>
      <c r="D1129" s="138">
        <v>0</v>
      </c>
      <c r="E1129" s="138">
        <v>0</v>
      </c>
      <c r="F1129" s="138">
        <v>2</v>
      </c>
      <c r="G1129" s="138">
        <v>0</v>
      </c>
      <c r="H1129" s="138">
        <v>0</v>
      </c>
      <c r="R1129">
        <v>1</v>
      </c>
      <c r="S1129">
        <v>1</v>
      </c>
      <c r="T1129">
        <v>0</v>
      </c>
      <c r="U1129">
        <v>2</v>
      </c>
      <c r="V1129">
        <v>0</v>
      </c>
      <c r="W1129">
        <v>0</v>
      </c>
      <c r="X1129">
        <v>0</v>
      </c>
      <c r="Y1129">
        <v>2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30</v>
      </c>
      <c r="AI1129">
        <v>36</v>
      </c>
      <c r="AJ1129">
        <v>18</v>
      </c>
      <c r="AK1129">
        <v>18</v>
      </c>
      <c r="AL1129">
        <v>18</v>
      </c>
      <c r="AM1129">
        <v>31</v>
      </c>
      <c r="AN1129">
        <v>20</v>
      </c>
      <c r="AO1129">
        <v>36</v>
      </c>
      <c r="AP1129">
        <v>0</v>
      </c>
      <c r="AQ1129">
        <v>0</v>
      </c>
      <c r="AR1129">
        <v>0</v>
      </c>
      <c r="AS1129">
        <v>0</v>
      </c>
      <c r="AT1129">
        <v>1</v>
      </c>
      <c r="AU1129">
        <v>0</v>
      </c>
      <c r="AV1129">
        <v>0</v>
      </c>
      <c r="AW1129">
        <v>1</v>
      </c>
      <c r="AX1129">
        <v>4</v>
      </c>
      <c r="AY1129">
        <v>1</v>
      </c>
      <c r="AZ1129">
        <v>0</v>
      </c>
      <c r="BA1129">
        <v>0</v>
      </c>
      <c r="BB1129">
        <v>3</v>
      </c>
      <c r="BC1129">
        <v>7</v>
      </c>
      <c r="BD1129">
        <v>0</v>
      </c>
      <c r="BE1129">
        <v>1</v>
      </c>
      <c r="BF1129">
        <v>0</v>
      </c>
      <c r="BG1129">
        <v>0</v>
      </c>
      <c r="BH1129">
        <v>2</v>
      </c>
    </row>
    <row r="1130" spans="3:60" x14ac:dyDescent="0.2">
      <c r="C1130" s="138">
        <v>1</v>
      </c>
      <c r="D1130" s="138">
        <v>0</v>
      </c>
      <c r="E1130" s="138">
        <v>2</v>
      </c>
      <c r="F1130" s="138">
        <v>0</v>
      </c>
      <c r="G1130" s="138">
        <v>0</v>
      </c>
      <c r="H1130" s="138">
        <v>0</v>
      </c>
      <c r="R1130">
        <v>1</v>
      </c>
      <c r="S1130">
        <v>1</v>
      </c>
      <c r="T1130">
        <v>0</v>
      </c>
      <c r="U1130">
        <v>2</v>
      </c>
      <c r="V1130">
        <v>0</v>
      </c>
      <c r="W1130">
        <v>0</v>
      </c>
      <c r="X1130">
        <v>1</v>
      </c>
      <c r="Y1130">
        <v>0</v>
      </c>
      <c r="Z1130">
        <v>2</v>
      </c>
      <c r="AA1130">
        <v>0</v>
      </c>
      <c r="AB1130">
        <v>0</v>
      </c>
      <c r="AC1130">
        <v>0</v>
      </c>
      <c r="AD1130">
        <v>1</v>
      </c>
      <c r="AE1130">
        <v>0</v>
      </c>
      <c r="AF1130">
        <v>0</v>
      </c>
      <c r="AG1130">
        <v>0</v>
      </c>
      <c r="AH1130">
        <v>29</v>
      </c>
      <c r="AI1130">
        <v>21</v>
      </c>
      <c r="AJ1130">
        <v>18</v>
      </c>
      <c r="AK1130">
        <v>22</v>
      </c>
      <c r="AL1130">
        <v>27</v>
      </c>
      <c r="AM1130">
        <v>21</v>
      </c>
      <c r="AN1130">
        <v>23</v>
      </c>
      <c r="AO1130">
        <v>25</v>
      </c>
      <c r="AP1130">
        <v>0</v>
      </c>
      <c r="AQ1130">
        <v>0</v>
      </c>
      <c r="AR1130">
        <v>2</v>
      </c>
      <c r="AS1130">
        <v>1</v>
      </c>
      <c r="AT1130">
        <v>1</v>
      </c>
      <c r="AU1130">
        <v>0</v>
      </c>
      <c r="AV1130">
        <v>0</v>
      </c>
      <c r="AW1130">
        <v>0</v>
      </c>
      <c r="AX1130">
        <v>6</v>
      </c>
      <c r="AY1130">
        <v>5</v>
      </c>
      <c r="AZ1130">
        <v>0</v>
      </c>
      <c r="BA1130">
        <v>0</v>
      </c>
      <c r="BB1130">
        <v>3</v>
      </c>
      <c r="BC1130">
        <v>16</v>
      </c>
      <c r="BD1130">
        <v>0</v>
      </c>
      <c r="BE1130">
        <v>1</v>
      </c>
      <c r="BF1130">
        <v>0</v>
      </c>
      <c r="BG1130">
        <v>2</v>
      </c>
      <c r="BH1130">
        <v>0</v>
      </c>
    </row>
    <row r="1131" spans="3:60" x14ac:dyDescent="0.2">
      <c r="C1131" s="138">
        <v>3</v>
      </c>
      <c r="D1131" s="138">
        <v>1</v>
      </c>
      <c r="E1131" s="138">
        <v>2</v>
      </c>
      <c r="F1131" s="138">
        <v>0</v>
      </c>
      <c r="G1131" s="138">
        <v>0</v>
      </c>
      <c r="H1131" s="138">
        <v>3</v>
      </c>
      <c r="R1131">
        <v>1</v>
      </c>
      <c r="S1131">
        <v>0</v>
      </c>
      <c r="T1131">
        <v>0</v>
      </c>
      <c r="U1131">
        <v>1</v>
      </c>
      <c r="V1131">
        <v>0</v>
      </c>
      <c r="W1131">
        <v>0</v>
      </c>
      <c r="X1131">
        <v>3</v>
      </c>
      <c r="Y1131">
        <v>0</v>
      </c>
      <c r="Z1131">
        <v>0</v>
      </c>
      <c r="AA1131">
        <v>0</v>
      </c>
      <c r="AB1131">
        <v>1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23</v>
      </c>
      <c r="AI1131">
        <v>22</v>
      </c>
      <c r="AJ1131">
        <v>22</v>
      </c>
      <c r="AK1131">
        <v>21</v>
      </c>
      <c r="AL1131">
        <v>23</v>
      </c>
      <c r="AM1131">
        <v>34</v>
      </c>
      <c r="AN1131">
        <v>31</v>
      </c>
      <c r="AO1131">
        <v>26</v>
      </c>
      <c r="AP1131">
        <v>0</v>
      </c>
      <c r="AQ1131">
        <v>0</v>
      </c>
      <c r="AR1131">
        <v>0</v>
      </c>
      <c r="AS1131">
        <v>1</v>
      </c>
      <c r="AT1131">
        <v>0</v>
      </c>
      <c r="AU1131">
        <v>1</v>
      </c>
      <c r="AV1131">
        <v>1</v>
      </c>
      <c r="AW1131">
        <v>0</v>
      </c>
      <c r="AX1131">
        <v>5</v>
      </c>
      <c r="AY1131">
        <v>3</v>
      </c>
      <c r="AZ1131">
        <v>0</v>
      </c>
      <c r="BA1131">
        <v>0</v>
      </c>
      <c r="BB1131">
        <v>7</v>
      </c>
      <c r="BC1131">
        <v>17</v>
      </c>
      <c r="BD1131">
        <v>0</v>
      </c>
      <c r="BE1131">
        <v>3</v>
      </c>
      <c r="BF1131">
        <v>1</v>
      </c>
      <c r="BG1131">
        <v>2</v>
      </c>
      <c r="BH1131">
        <v>0</v>
      </c>
    </row>
    <row r="1132" spans="3:60" x14ac:dyDescent="0.2">
      <c r="C1132" s="138">
        <v>3</v>
      </c>
      <c r="D1132" s="138">
        <v>0</v>
      </c>
      <c r="E1132" s="138">
        <v>3</v>
      </c>
      <c r="F1132" s="138">
        <v>1</v>
      </c>
      <c r="G1132" s="138">
        <v>0</v>
      </c>
      <c r="H1132" s="138">
        <v>2</v>
      </c>
      <c r="R1132">
        <v>1</v>
      </c>
      <c r="S1132">
        <v>2</v>
      </c>
      <c r="T1132">
        <v>0</v>
      </c>
      <c r="U1132">
        <v>3</v>
      </c>
      <c r="V1132">
        <v>0</v>
      </c>
      <c r="W1132">
        <v>0</v>
      </c>
      <c r="X1132">
        <v>2</v>
      </c>
      <c r="Y1132">
        <v>2</v>
      </c>
      <c r="Z1132">
        <v>0</v>
      </c>
      <c r="AA1132">
        <v>2</v>
      </c>
      <c r="AB1132">
        <v>1</v>
      </c>
      <c r="AC1132">
        <v>1</v>
      </c>
      <c r="AD1132">
        <v>2</v>
      </c>
      <c r="AE1132">
        <v>0</v>
      </c>
      <c r="AF1132">
        <v>0</v>
      </c>
      <c r="AG1132">
        <v>0</v>
      </c>
      <c r="AH1132">
        <v>30</v>
      </c>
      <c r="AI1132">
        <v>39</v>
      </c>
      <c r="AJ1132">
        <v>22</v>
      </c>
      <c r="AK1132">
        <v>38</v>
      </c>
      <c r="AL1132">
        <v>24</v>
      </c>
      <c r="AM1132">
        <v>21</v>
      </c>
      <c r="AN1132">
        <v>27</v>
      </c>
      <c r="AO1132">
        <v>28</v>
      </c>
      <c r="AP1132">
        <v>0</v>
      </c>
      <c r="AQ1132">
        <v>0</v>
      </c>
      <c r="AR1132">
        <v>0</v>
      </c>
      <c r="AS1132">
        <v>3</v>
      </c>
      <c r="AT1132">
        <v>2</v>
      </c>
      <c r="AU1132">
        <v>1</v>
      </c>
      <c r="AV1132">
        <v>1</v>
      </c>
      <c r="AW1132">
        <v>1</v>
      </c>
      <c r="AX1132">
        <v>5</v>
      </c>
      <c r="AY1132">
        <v>2</v>
      </c>
      <c r="AZ1132">
        <v>0</v>
      </c>
      <c r="BA1132">
        <v>0</v>
      </c>
      <c r="BB1132">
        <v>0</v>
      </c>
      <c r="BC1132">
        <v>17</v>
      </c>
      <c r="BD1132">
        <v>0</v>
      </c>
      <c r="BE1132">
        <v>3</v>
      </c>
      <c r="BF1132">
        <v>0</v>
      </c>
      <c r="BG1132">
        <v>3</v>
      </c>
      <c r="BH1132">
        <v>1</v>
      </c>
    </row>
    <row r="1133" spans="3:60" x14ac:dyDescent="0.2">
      <c r="C1133" s="138">
        <v>3</v>
      </c>
      <c r="D1133" s="138">
        <v>0</v>
      </c>
      <c r="E1133" s="138">
        <v>2</v>
      </c>
      <c r="F1133" s="138">
        <v>0</v>
      </c>
      <c r="G1133" s="138">
        <v>0</v>
      </c>
      <c r="H1133" s="138">
        <v>3</v>
      </c>
      <c r="R1133">
        <v>0</v>
      </c>
      <c r="S1133">
        <v>2</v>
      </c>
      <c r="T1133">
        <v>1</v>
      </c>
      <c r="U1133">
        <v>2</v>
      </c>
      <c r="V1133">
        <v>0</v>
      </c>
      <c r="W1133">
        <v>0</v>
      </c>
      <c r="X1133">
        <v>1</v>
      </c>
      <c r="Y1133">
        <v>1</v>
      </c>
      <c r="Z1133">
        <v>1</v>
      </c>
      <c r="AA1133">
        <v>1</v>
      </c>
      <c r="AB1133">
        <v>1</v>
      </c>
      <c r="AC1133">
        <v>1</v>
      </c>
      <c r="AD1133">
        <v>1</v>
      </c>
      <c r="AE1133">
        <v>0</v>
      </c>
      <c r="AF1133">
        <v>0</v>
      </c>
      <c r="AG1133">
        <v>0</v>
      </c>
      <c r="AH1133">
        <v>27</v>
      </c>
      <c r="AI1133">
        <v>34</v>
      </c>
      <c r="AJ1133">
        <v>19</v>
      </c>
      <c r="AK1133">
        <v>31</v>
      </c>
      <c r="AL1133">
        <v>21</v>
      </c>
      <c r="AM1133">
        <v>20</v>
      </c>
      <c r="AN1133">
        <v>24</v>
      </c>
      <c r="AO1133">
        <v>22</v>
      </c>
      <c r="AP1133">
        <v>0</v>
      </c>
      <c r="AQ1133">
        <v>0</v>
      </c>
      <c r="AR1133">
        <v>0</v>
      </c>
      <c r="AS1133">
        <v>1</v>
      </c>
      <c r="AT1133">
        <v>1</v>
      </c>
      <c r="AU1133">
        <v>1</v>
      </c>
      <c r="AV1133">
        <v>0</v>
      </c>
      <c r="AW1133">
        <v>2</v>
      </c>
      <c r="AX1133">
        <v>8</v>
      </c>
      <c r="AY1133">
        <v>4</v>
      </c>
      <c r="AZ1133">
        <v>0</v>
      </c>
      <c r="BA1133">
        <v>0</v>
      </c>
      <c r="BB1133">
        <v>3</v>
      </c>
      <c r="BC1133">
        <v>21</v>
      </c>
      <c r="BD1133">
        <v>0</v>
      </c>
      <c r="BE1133">
        <v>3</v>
      </c>
      <c r="BF1133">
        <v>0</v>
      </c>
      <c r="BG1133">
        <v>2</v>
      </c>
      <c r="BH1133">
        <v>0</v>
      </c>
    </row>
    <row r="1134" spans="3:60" x14ac:dyDescent="0.2">
      <c r="C1134" s="138">
        <v>2</v>
      </c>
      <c r="D1134" s="138">
        <v>1</v>
      </c>
      <c r="E1134" s="138">
        <v>5</v>
      </c>
      <c r="F1134" s="138">
        <v>0</v>
      </c>
      <c r="G1134" s="138">
        <v>1</v>
      </c>
      <c r="H1134" s="138">
        <v>1</v>
      </c>
      <c r="R1134">
        <v>5</v>
      </c>
      <c r="S1134">
        <v>2</v>
      </c>
      <c r="T1134">
        <v>1</v>
      </c>
      <c r="U1134">
        <v>5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2</v>
      </c>
      <c r="AB1134">
        <v>1</v>
      </c>
      <c r="AC1134">
        <v>1</v>
      </c>
      <c r="AD1134">
        <v>3</v>
      </c>
      <c r="AE1134">
        <v>0</v>
      </c>
      <c r="AF1134">
        <v>0</v>
      </c>
      <c r="AG1134">
        <v>0</v>
      </c>
      <c r="AH1134">
        <v>31</v>
      </c>
      <c r="AI1134">
        <v>29</v>
      </c>
      <c r="AJ1134">
        <v>28</v>
      </c>
      <c r="AK1134">
        <v>19</v>
      </c>
      <c r="AL1134">
        <v>25</v>
      </c>
      <c r="AM1134">
        <v>26</v>
      </c>
      <c r="AN1134">
        <v>26</v>
      </c>
      <c r="AO1134">
        <v>31</v>
      </c>
      <c r="AP1134">
        <v>0</v>
      </c>
      <c r="AQ1134">
        <v>0</v>
      </c>
      <c r="AR1134">
        <v>4</v>
      </c>
      <c r="AS1134">
        <v>2</v>
      </c>
      <c r="AT1134">
        <v>2</v>
      </c>
      <c r="AU1134">
        <v>1</v>
      </c>
      <c r="AV1134">
        <v>2</v>
      </c>
      <c r="AW1134">
        <v>2</v>
      </c>
      <c r="AX1134">
        <v>7</v>
      </c>
      <c r="AY1134">
        <v>5</v>
      </c>
      <c r="AZ1134">
        <v>0</v>
      </c>
      <c r="BA1134">
        <v>0</v>
      </c>
      <c r="BB1134">
        <v>3</v>
      </c>
      <c r="BC1134">
        <v>19</v>
      </c>
      <c r="BD1134">
        <v>0</v>
      </c>
      <c r="BE1134">
        <v>2</v>
      </c>
      <c r="BF1134">
        <v>1</v>
      </c>
      <c r="BG1134">
        <v>5</v>
      </c>
      <c r="BH1134">
        <v>0</v>
      </c>
    </row>
    <row r="1135" spans="3:60" x14ac:dyDescent="0.2">
      <c r="C1135" s="138">
        <v>7</v>
      </c>
      <c r="D1135" s="138">
        <v>0</v>
      </c>
      <c r="E1135" s="138">
        <v>3</v>
      </c>
      <c r="F1135" s="138">
        <v>0</v>
      </c>
      <c r="G1135" s="138">
        <v>0</v>
      </c>
      <c r="H1135" s="138">
        <v>1</v>
      </c>
      <c r="R1135">
        <v>1</v>
      </c>
      <c r="S1135">
        <v>4</v>
      </c>
      <c r="T1135">
        <v>4</v>
      </c>
      <c r="U1135">
        <v>2</v>
      </c>
      <c r="V1135">
        <v>0</v>
      </c>
      <c r="W1135">
        <v>0</v>
      </c>
      <c r="X1135">
        <v>2</v>
      </c>
      <c r="Y1135">
        <v>3</v>
      </c>
      <c r="Z1135">
        <v>0</v>
      </c>
      <c r="AA1135">
        <v>1</v>
      </c>
      <c r="AB1135">
        <v>0</v>
      </c>
      <c r="AC1135">
        <v>0</v>
      </c>
      <c r="AD1135">
        <v>2</v>
      </c>
      <c r="AE1135">
        <v>0</v>
      </c>
      <c r="AF1135">
        <v>0</v>
      </c>
      <c r="AG1135">
        <v>0</v>
      </c>
      <c r="AH1135">
        <v>35</v>
      </c>
      <c r="AI1135">
        <v>27</v>
      </c>
      <c r="AJ1135">
        <v>18</v>
      </c>
      <c r="AK1135">
        <v>29</v>
      </c>
      <c r="AL1135">
        <v>24</v>
      </c>
      <c r="AM1135">
        <v>27</v>
      </c>
      <c r="AN1135">
        <v>25</v>
      </c>
      <c r="AO1135">
        <v>34</v>
      </c>
      <c r="AP1135">
        <v>0</v>
      </c>
      <c r="AQ1135">
        <v>0</v>
      </c>
      <c r="AR1135">
        <v>0</v>
      </c>
      <c r="AS1135">
        <v>2</v>
      </c>
      <c r="AT1135">
        <v>3</v>
      </c>
      <c r="AU1135">
        <v>3</v>
      </c>
      <c r="AV1135">
        <v>2</v>
      </c>
      <c r="AW1135">
        <v>2</v>
      </c>
      <c r="AX1135">
        <v>6</v>
      </c>
      <c r="AY1135">
        <v>7</v>
      </c>
      <c r="AZ1135">
        <v>0</v>
      </c>
      <c r="BA1135">
        <v>0</v>
      </c>
      <c r="BB1135">
        <v>4</v>
      </c>
      <c r="BC1135">
        <v>22</v>
      </c>
      <c r="BD1135">
        <v>0</v>
      </c>
      <c r="BE1135">
        <v>7</v>
      </c>
      <c r="BF1135">
        <v>0</v>
      </c>
      <c r="BG1135">
        <v>3</v>
      </c>
      <c r="BH1135">
        <v>0</v>
      </c>
    </row>
    <row r="1136" spans="3:60" x14ac:dyDescent="0.2">
      <c r="C1136" s="138">
        <v>5</v>
      </c>
      <c r="D1136" s="138">
        <v>1</v>
      </c>
      <c r="E1136" s="138">
        <v>3</v>
      </c>
      <c r="F1136" s="138">
        <v>1</v>
      </c>
      <c r="G1136" s="138">
        <v>1</v>
      </c>
      <c r="H1136" s="138">
        <v>1</v>
      </c>
      <c r="R1136">
        <v>4</v>
      </c>
      <c r="S1136">
        <v>3</v>
      </c>
      <c r="T1136">
        <v>0</v>
      </c>
      <c r="U1136">
        <v>2</v>
      </c>
      <c r="V1136">
        <v>0</v>
      </c>
      <c r="W1136">
        <v>0</v>
      </c>
      <c r="X1136">
        <v>1</v>
      </c>
      <c r="Y1136">
        <v>0</v>
      </c>
      <c r="Z1136">
        <v>0</v>
      </c>
      <c r="AA1136">
        <v>2</v>
      </c>
      <c r="AB1136">
        <v>0</v>
      </c>
      <c r="AC1136">
        <v>0</v>
      </c>
      <c r="AD1136">
        <v>1</v>
      </c>
      <c r="AE1136">
        <v>1</v>
      </c>
      <c r="AF1136">
        <v>0</v>
      </c>
      <c r="AG1136">
        <v>0</v>
      </c>
      <c r="AH1136">
        <v>40</v>
      </c>
      <c r="AI1136">
        <v>29</v>
      </c>
      <c r="AJ1136">
        <v>22</v>
      </c>
      <c r="AK1136">
        <v>23</v>
      </c>
      <c r="AL1136">
        <v>22</v>
      </c>
      <c r="AM1136">
        <v>28</v>
      </c>
      <c r="AN1136">
        <v>20</v>
      </c>
      <c r="AO1136">
        <v>30</v>
      </c>
      <c r="AP1136">
        <v>0</v>
      </c>
      <c r="AQ1136">
        <v>0</v>
      </c>
      <c r="AR1136">
        <v>1</v>
      </c>
      <c r="AS1136">
        <v>2</v>
      </c>
      <c r="AT1136">
        <v>4</v>
      </c>
      <c r="AU1136">
        <v>2</v>
      </c>
      <c r="AV1136">
        <v>3</v>
      </c>
      <c r="AW1136">
        <v>2</v>
      </c>
      <c r="AX1136">
        <v>13</v>
      </c>
      <c r="AY1136">
        <v>5</v>
      </c>
      <c r="AZ1136">
        <v>0</v>
      </c>
      <c r="BA1136">
        <v>0</v>
      </c>
      <c r="BB1136">
        <v>5</v>
      </c>
      <c r="BC1136">
        <v>26</v>
      </c>
      <c r="BD1136">
        <v>0</v>
      </c>
      <c r="BE1136">
        <v>5</v>
      </c>
      <c r="BF1136">
        <v>1</v>
      </c>
      <c r="BG1136">
        <v>3</v>
      </c>
      <c r="BH1136">
        <v>1</v>
      </c>
    </row>
    <row r="1137" spans="3:60" x14ac:dyDescent="0.2">
      <c r="C1137" s="138">
        <v>9</v>
      </c>
      <c r="D1137" s="138">
        <v>0</v>
      </c>
      <c r="E1137" s="138">
        <v>3</v>
      </c>
      <c r="F1137" s="138">
        <v>0</v>
      </c>
      <c r="G1137" s="138">
        <v>0</v>
      </c>
      <c r="H1137" s="138">
        <v>2</v>
      </c>
      <c r="R1137">
        <v>9</v>
      </c>
      <c r="S1137">
        <v>4</v>
      </c>
      <c r="T1137">
        <v>1</v>
      </c>
      <c r="U1137">
        <v>4</v>
      </c>
      <c r="V1137">
        <v>0</v>
      </c>
      <c r="W1137">
        <v>0</v>
      </c>
      <c r="X1137">
        <v>3</v>
      </c>
      <c r="Y1137">
        <v>1</v>
      </c>
      <c r="Z1137">
        <v>0</v>
      </c>
      <c r="AA1137">
        <v>2</v>
      </c>
      <c r="AB1137">
        <v>1</v>
      </c>
      <c r="AC1137">
        <v>2</v>
      </c>
      <c r="AD1137">
        <v>1</v>
      </c>
      <c r="AE1137">
        <v>0</v>
      </c>
      <c r="AF1137">
        <v>0</v>
      </c>
      <c r="AG1137">
        <v>0</v>
      </c>
      <c r="AH1137">
        <v>20</v>
      </c>
      <c r="AI1137">
        <v>32</v>
      </c>
      <c r="AJ1137">
        <v>26</v>
      </c>
      <c r="AK1137">
        <v>24</v>
      </c>
      <c r="AL1137">
        <v>29</v>
      </c>
      <c r="AM1137">
        <v>24</v>
      </c>
      <c r="AN1137">
        <v>24</v>
      </c>
      <c r="AO1137">
        <v>22</v>
      </c>
      <c r="AP1137">
        <v>0</v>
      </c>
      <c r="AQ1137">
        <v>0</v>
      </c>
      <c r="AR1137">
        <v>2</v>
      </c>
      <c r="AS1137">
        <v>4</v>
      </c>
      <c r="AT1137">
        <v>4</v>
      </c>
      <c r="AU1137">
        <v>2</v>
      </c>
      <c r="AV1137">
        <v>5</v>
      </c>
      <c r="AW1137">
        <v>2</v>
      </c>
      <c r="AX1137">
        <v>9</v>
      </c>
      <c r="AY1137">
        <v>8</v>
      </c>
      <c r="AZ1137">
        <v>0</v>
      </c>
      <c r="BA1137">
        <v>0</v>
      </c>
      <c r="BB1137">
        <v>10</v>
      </c>
      <c r="BC1137">
        <v>31</v>
      </c>
      <c r="BD1137">
        <v>0</v>
      </c>
      <c r="BE1137">
        <v>9</v>
      </c>
      <c r="BF1137">
        <v>0</v>
      </c>
      <c r="BG1137">
        <v>3</v>
      </c>
      <c r="BH1137">
        <v>0</v>
      </c>
    </row>
    <row r="1138" spans="3:60" x14ac:dyDescent="0.2">
      <c r="C1138" s="138">
        <v>5</v>
      </c>
      <c r="D1138" s="138">
        <v>1</v>
      </c>
      <c r="E1138" s="138">
        <v>8</v>
      </c>
      <c r="F1138" s="138">
        <v>1</v>
      </c>
      <c r="G1138" s="138">
        <v>0</v>
      </c>
      <c r="H1138" s="138">
        <v>0</v>
      </c>
      <c r="R1138">
        <v>9</v>
      </c>
      <c r="S1138">
        <v>4</v>
      </c>
      <c r="T1138">
        <v>0</v>
      </c>
      <c r="U1138">
        <v>4</v>
      </c>
      <c r="V1138">
        <v>0</v>
      </c>
      <c r="W1138">
        <v>0</v>
      </c>
      <c r="X1138">
        <v>2</v>
      </c>
      <c r="Y1138">
        <v>1</v>
      </c>
      <c r="Z1138">
        <v>2</v>
      </c>
      <c r="AA1138">
        <v>5</v>
      </c>
      <c r="AB1138">
        <v>0</v>
      </c>
      <c r="AC1138">
        <v>3</v>
      </c>
      <c r="AD1138">
        <v>2</v>
      </c>
      <c r="AE1138">
        <v>1</v>
      </c>
      <c r="AF1138">
        <v>0</v>
      </c>
      <c r="AG1138">
        <v>0</v>
      </c>
      <c r="AH1138">
        <v>17</v>
      </c>
      <c r="AI1138">
        <v>27</v>
      </c>
      <c r="AJ1138">
        <v>22</v>
      </c>
      <c r="AK1138">
        <v>23</v>
      </c>
      <c r="AL1138">
        <v>30</v>
      </c>
      <c r="AM1138">
        <v>33</v>
      </c>
      <c r="AN1138">
        <v>22</v>
      </c>
      <c r="AO1138">
        <v>36</v>
      </c>
      <c r="AP1138">
        <v>0</v>
      </c>
      <c r="AQ1138">
        <v>0</v>
      </c>
      <c r="AR1138">
        <v>3</v>
      </c>
      <c r="AS1138">
        <v>4</v>
      </c>
      <c r="AT1138">
        <v>6</v>
      </c>
      <c r="AU1138">
        <v>0</v>
      </c>
      <c r="AV1138">
        <v>5</v>
      </c>
      <c r="AW1138">
        <v>4</v>
      </c>
      <c r="AX1138">
        <v>9</v>
      </c>
      <c r="AY1138">
        <v>5</v>
      </c>
      <c r="AZ1138">
        <v>0</v>
      </c>
      <c r="BA1138">
        <v>0</v>
      </c>
      <c r="BB1138">
        <v>6</v>
      </c>
      <c r="BC1138">
        <v>29</v>
      </c>
      <c r="BD1138">
        <v>0</v>
      </c>
      <c r="BE1138">
        <v>5</v>
      </c>
      <c r="BF1138">
        <v>1</v>
      </c>
      <c r="BG1138">
        <v>8</v>
      </c>
      <c r="BH1138">
        <v>1</v>
      </c>
    </row>
    <row r="1139" spans="3:60" x14ac:dyDescent="0.2">
      <c r="C1139" s="138">
        <v>12</v>
      </c>
      <c r="D1139" s="138">
        <v>2</v>
      </c>
      <c r="E1139" s="138">
        <v>14</v>
      </c>
      <c r="F1139" s="138">
        <v>1</v>
      </c>
      <c r="G1139" s="138">
        <v>0</v>
      </c>
      <c r="H1139" s="138">
        <v>2</v>
      </c>
      <c r="R1139">
        <v>10</v>
      </c>
      <c r="S1139">
        <v>3</v>
      </c>
      <c r="T1139">
        <v>0</v>
      </c>
      <c r="U1139">
        <v>4</v>
      </c>
      <c r="V1139">
        <v>0</v>
      </c>
      <c r="W1139">
        <v>0</v>
      </c>
      <c r="X1139">
        <v>1</v>
      </c>
      <c r="Y1139">
        <v>2</v>
      </c>
      <c r="Z1139">
        <v>0</v>
      </c>
      <c r="AA1139">
        <v>2</v>
      </c>
      <c r="AB1139">
        <v>0</v>
      </c>
      <c r="AC1139">
        <v>0</v>
      </c>
      <c r="AD1139">
        <v>0</v>
      </c>
      <c r="AE1139">
        <v>1</v>
      </c>
      <c r="AF1139">
        <v>0</v>
      </c>
      <c r="AG1139">
        <v>0</v>
      </c>
      <c r="AH1139">
        <v>27</v>
      </c>
      <c r="AI1139">
        <v>32</v>
      </c>
      <c r="AJ1139">
        <v>24</v>
      </c>
      <c r="AK1139">
        <v>24</v>
      </c>
      <c r="AL1139">
        <v>34</v>
      </c>
      <c r="AM1139">
        <v>18</v>
      </c>
      <c r="AN1139">
        <v>20</v>
      </c>
      <c r="AO1139">
        <v>33</v>
      </c>
      <c r="AP1139">
        <v>0</v>
      </c>
      <c r="AQ1139">
        <v>0</v>
      </c>
      <c r="AR1139">
        <v>2</v>
      </c>
      <c r="AS1139">
        <v>5</v>
      </c>
      <c r="AT1139">
        <v>4</v>
      </c>
      <c r="AU1139">
        <v>5</v>
      </c>
      <c r="AV1139">
        <v>4</v>
      </c>
      <c r="AW1139">
        <v>0</v>
      </c>
      <c r="AX1139">
        <v>8</v>
      </c>
      <c r="AY1139">
        <v>16</v>
      </c>
      <c r="AZ1139">
        <v>0</v>
      </c>
      <c r="BA1139">
        <v>0</v>
      </c>
      <c r="BB1139">
        <v>6</v>
      </c>
      <c r="BC1139">
        <v>24</v>
      </c>
      <c r="BD1139">
        <v>0</v>
      </c>
      <c r="BE1139">
        <v>12</v>
      </c>
      <c r="BF1139">
        <v>2</v>
      </c>
      <c r="BG1139">
        <v>14</v>
      </c>
      <c r="BH1139">
        <v>1</v>
      </c>
    </row>
    <row r="1140" spans="3:60" x14ac:dyDescent="0.2">
      <c r="C1140" s="138">
        <v>8</v>
      </c>
      <c r="D1140" s="138">
        <v>4</v>
      </c>
      <c r="E1140" s="138">
        <v>12</v>
      </c>
      <c r="F1140" s="138">
        <v>3</v>
      </c>
      <c r="G1140" s="138">
        <v>0</v>
      </c>
      <c r="H1140" s="138">
        <v>9</v>
      </c>
      <c r="R1140">
        <v>8</v>
      </c>
      <c r="S1140">
        <v>6</v>
      </c>
      <c r="T1140">
        <v>2</v>
      </c>
      <c r="U1140">
        <v>11</v>
      </c>
      <c r="V1140">
        <v>0</v>
      </c>
      <c r="W1140">
        <v>0</v>
      </c>
      <c r="X1140">
        <v>0</v>
      </c>
      <c r="Y1140">
        <v>1</v>
      </c>
      <c r="Z1140">
        <v>1</v>
      </c>
      <c r="AA1140">
        <v>6</v>
      </c>
      <c r="AB1140">
        <v>0</v>
      </c>
      <c r="AC1140">
        <v>1</v>
      </c>
      <c r="AD1140">
        <v>1</v>
      </c>
      <c r="AE1140">
        <v>1</v>
      </c>
      <c r="AF1140">
        <v>0</v>
      </c>
      <c r="AG1140">
        <v>0</v>
      </c>
      <c r="AH1140">
        <v>20</v>
      </c>
      <c r="AI1140">
        <v>16</v>
      </c>
      <c r="AJ1140">
        <v>27</v>
      </c>
      <c r="AK1140">
        <v>22</v>
      </c>
      <c r="AL1140">
        <v>32</v>
      </c>
      <c r="AM1140">
        <v>17</v>
      </c>
      <c r="AN1140">
        <v>26</v>
      </c>
      <c r="AO1140">
        <v>30</v>
      </c>
      <c r="AP1140">
        <v>0</v>
      </c>
      <c r="AQ1140">
        <v>0</v>
      </c>
      <c r="AR1140">
        <v>3</v>
      </c>
      <c r="AS1140">
        <v>5</v>
      </c>
      <c r="AT1140">
        <v>8</v>
      </c>
      <c r="AU1140">
        <v>5</v>
      </c>
      <c r="AV1140">
        <v>4</v>
      </c>
      <c r="AW1140">
        <v>1</v>
      </c>
      <c r="AX1140">
        <v>9</v>
      </c>
      <c r="AY1140">
        <v>14</v>
      </c>
      <c r="AZ1140">
        <v>0</v>
      </c>
      <c r="BA1140">
        <v>0</v>
      </c>
      <c r="BB1140">
        <v>10</v>
      </c>
      <c r="BC1140">
        <v>26</v>
      </c>
      <c r="BD1140">
        <v>0</v>
      </c>
      <c r="BE1140">
        <v>8</v>
      </c>
      <c r="BF1140">
        <v>4</v>
      </c>
      <c r="BG1140">
        <v>12</v>
      </c>
      <c r="BH1140">
        <v>3</v>
      </c>
    </row>
    <row r="1141" spans="3:60" x14ac:dyDescent="0.2">
      <c r="C1141" s="138">
        <v>16</v>
      </c>
      <c r="D1141" s="138">
        <v>0</v>
      </c>
      <c r="E1141" s="138">
        <v>10</v>
      </c>
      <c r="F1141" s="138">
        <v>2</v>
      </c>
      <c r="G1141" s="138">
        <v>2</v>
      </c>
      <c r="H1141" s="138">
        <v>3</v>
      </c>
      <c r="R1141">
        <v>7</v>
      </c>
      <c r="S1141">
        <v>3</v>
      </c>
      <c r="T1141">
        <v>4</v>
      </c>
      <c r="U1141">
        <v>8</v>
      </c>
      <c r="V1141">
        <v>0</v>
      </c>
      <c r="W1141">
        <v>0</v>
      </c>
      <c r="X1141">
        <v>3</v>
      </c>
      <c r="Y1141">
        <v>2</v>
      </c>
      <c r="Z1141">
        <v>0</v>
      </c>
      <c r="AA1141">
        <v>5</v>
      </c>
      <c r="AB1141">
        <v>1</v>
      </c>
      <c r="AC1141">
        <v>4</v>
      </c>
      <c r="AD1141">
        <v>4</v>
      </c>
      <c r="AE1141">
        <v>1</v>
      </c>
      <c r="AF1141">
        <v>0</v>
      </c>
      <c r="AG1141">
        <v>0</v>
      </c>
      <c r="AH1141">
        <v>27</v>
      </c>
      <c r="AI1141">
        <v>13</v>
      </c>
      <c r="AJ1141">
        <v>21</v>
      </c>
      <c r="AK1141">
        <v>29</v>
      </c>
      <c r="AL1141">
        <v>19</v>
      </c>
      <c r="AM1141">
        <v>30</v>
      </c>
      <c r="AN1141">
        <v>27</v>
      </c>
      <c r="AO1141">
        <v>20</v>
      </c>
      <c r="AP1141">
        <v>0</v>
      </c>
      <c r="AQ1141">
        <v>0</v>
      </c>
      <c r="AR1141">
        <v>2</v>
      </c>
      <c r="AS1141">
        <v>6</v>
      </c>
      <c r="AT1141">
        <v>8</v>
      </c>
      <c r="AU1141">
        <v>5</v>
      </c>
      <c r="AV1141">
        <v>4</v>
      </c>
      <c r="AW1141">
        <v>2</v>
      </c>
      <c r="AX1141">
        <v>16</v>
      </c>
      <c r="AY1141">
        <v>16</v>
      </c>
      <c r="AZ1141">
        <v>0</v>
      </c>
      <c r="BA1141">
        <v>0</v>
      </c>
      <c r="BB1141">
        <v>9</v>
      </c>
      <c r="BC1141">
        <v>29</v>
      </c>
      <c r="BD1141">
        <v>0</v>
      </c>
      <c r="BE1141">
        <v>16</v>
      </c>
      <c r="BF1141">
        <v>0</v>
      </c>
      <c r="BG1141">
        <v>10</v>
      </c>
      <c r="BH1141">
        <v>2</v>
      </c>
    </row>
    <row r="1142" spans="3:60" x14ac:dyDescent="0.2">
      <c r="C1142" s="138">
        <v>13</v>
      </c>
      <c r="D1142" s="138">
        <v>2</v>
      </c>
      <c r="E1142" s="138">
        <v>15</v>
      </c>
      <c r="F1142" s="138">
        <v>1</v>
      </c>
      <c r="G1142" s="138">
        <v>1</v>
      </c>
      <c r="H1142" s="138">
        <v>3</v>
      </c>
      <c r="R1142">
        <v>7</v>
      </c>
      <c r="S1142">
        <v>3</v>
      </c>
      <c r="T1142">
        <v>4</v>
      </c>
      <c r="U1142">
        <v>5</v>
      </c>
      <c r="V1142">
        <v>0</v>
      </c>
      <c r="W1142">
        <v>0</v>
      </c>
      <c r="X1142">
        <v>3</v>
      </c>
      <c r="Y1142">
        <v>1</v>
      </c>
      <c r="Z1142">
        <v>4</v>
      </c>
      <c r="AA1142">
        <v>3</v>
      </c>
      <c r="AB1142">
        <v>1</v>
      </c>
      <c r="AC1142">
        <v>5</v>
      </c>
      <c r="AD1142">
        <v>4</v>
      </c>
      <c r="AE1142">
        <v>1</v>
      </c>
      <c r="AF1142">
        <v>0</v>
      </c>
      <c r="AG1142">
        <v>0</v>
      </c>
      <c r="AH1142">
        <v>19</v>
      </c>
      <c r="AI1142">
        <v>29</v>
      </c>
      <c r="AJ1142">
        <v>30</v>
      </c>
      <c r="AK1142">
        <v>21</v>
      </c>
      <c r="AL1142">
        <v>31</v>
      </c>
      <c r="AM1142">
        <v>23</v>
      </c>
      <c r="AN1142">
        <v>25</v>
      </c>
      <c r="AO1142">
        <v>26</v>
      </c>
      <c r="AP1142">
        <v>0</v>
      </c>
      <c r="AQ1142">
        <v>0</v>
      </c>
      <c r="AR1142">
        <v>5</v>
      </c>
      <c r="AS1142">
        <v>7</v>
      </c>
      <c r="AT1142">
        <v>11</v>
      </c>
      <c r="AU1142">
        <v>6</v>
      </c>
      <c r="AV1142">
        <v>5</v>
      </c>
      <c r="AW1142">
        <v>4</v>
      </c>
      <c r="AX1142">
        <v>14</v>
      </c>
      <c r="AY1142">
        <v>16</v>
      </c>
      <c r="AZ1142">
        <v>0</v>
      </c>
      <c r="BA1142">
        <v>0</v>
      </c>
      <c r="BB1142">
        <v>9</v>
      </c>
      <c r="BC1142">
        <v>31</v>
      </c>
      <c r="BD1142">
        <v>0</v>
      </c>
      <c r="BE1142">
        <v>13</v>
      </c>
      <c r="BF1142">
        <v>2</v>
      </c>
      <c r="BG1142">
        <v>15</v>
      </c>
      <c r="BH1142">
        <v>1</v>
      </c>
    </row>
    <row r="1143" spans="3:60" x14ac:dyDescent="0.2">
      <c r="C1143" s="138">
        <v>15</v>
      </c>
      <c r="D1143" s="138">
        <v>3</v>
      </c>
      <c r="E1143" s="138">
        <v>11</v>
      </c>
      <c r="F1143" s="138">
        <v>2</v>
      </c>
      <c r="G1143" s="138">
        <v>0</v>
      </c>
      <c r="H1143" s="138">
        <v>6</v>
      </c>
      <c r="R1143">
        <v>8</v>
      </c>
      <c r="S1143">
        <v>7</v>
      </c>
      <c r="T1143">
        <v>1</v>
      </c>
      <c r="U1143">
        <v>4</v>
      </c>
      <c r="V1143">
        <v>0</v>
      </c>
      <c r="W1143">
        <v>0</v>
      </c>
      <c r="X1143">
        <v>2</v>
      </c>
      <c r="Y1143">
        <v>1</v>
      </c>
      <c r="Z1143">
        <v>3</v>
      </c>
      <c r="AA1143">
        <v>3</v>
      </c>
      <c r="AB1143">
        <v>1</v>
      </c>
      <c r="AC1143">
        <v>1</v>
      </c>
      <c r="AD1143">
        <v>4</v>
      </c>
      <c r="AE1143">
        <v>0</v>
      </c>
      <c r="AF1143">
        <v>0</v>
      </c>
      <c r="AG1143">
        <v>0</v>
      </c>
      <c r="AH1143">
        <v>24</v>
      </c>
      <c r="AI1143">
        <v>21</v>
      </c>
      <c r="AJ1143">
        <v>24</v>
      </c>
      <c r="AK1143">
        <v>26</v>
      </c>
      <c r="AL1143">
        <v>18</v>
      </c>
      <c r="AM1143">
        <v>27</v>
      </c>
      <c r="AN1143">
        <v>23</v>
      </c>
      <c r="AO1143">
        <v>19</v>
      </c>
      <c r="AP1143">
        <v>0</v>
      </c>
      <c r="AQ1143">
        <v>0</v>
      </c>
      <c r="AR1143">
        <v>3</v>
      </c>
      <c r="AS1143">
        <v>4</v>
      </c>
      <c r="AT1143">
        <v>6</v>
      </c>
      <c r="AU1143">
        <v>3</v>
      </c>
      <c r="AV1143">
        <v>6</v>
      </c>
      <c r="AW1143">
        <v>8</v>
      </c>
      <c r="AX1143">
        <v>17</v>
      </c>
      <c r="AY1143">
        <v>13</v>
      </c>
      <c r="AZ1143">
        <v>0</v>
      </c>
      <c r="BA1143">
        <v>0</v>
      </c>
      <c r="BB1143">
        <v>16</v>
      </c>
      <c r="BC1143">
        <v>35</v>
      </c>
      <c r="BD1143">
        <v>0</v>
      </c>
      <c r="BE1143">
        <v>15</v>
      </c>
      <c r="BF1143">
        <v>3</v>
      </c>
      <c r="BG1143">
        <v>11</v>
      </c>
      <c r="BH1143">
        <v>2</v>
      </c>
    </row>
    <row r="1144" spans="3:60" x14ac:dyDescent="0.2">
      <c r="C1144" s="138">
        <v>8</v>
      </c>
      <c r="D1144" s="138">
        <v>2</v>
      </c>
      <c r="E1144" s="138">
        <v>13</v>
      </c>
      <c r="F1144" s="138">
        <v>3</v>
      </c>
      <c r="G1144" s="138">
        <v>2</v>
      </c>
      <c r="H1144" s="138">
        <v>8</v>
      </c>
      <c r="R1144">
        <v>7</v>
      </c>
      <c r="S1144">
        <v>13</v>
      </c>
      <c r="T1144">
        <v>7</v>
      </c>
      <c r="U1144">
        <v>8</v>
      </c>
      <c r="V1144">
        <v>0</v>
      </c>
      <c r="W1144">
        <v>0</v>
      </c>
      <c r="X1144">
        <v>0</v>
      </c>
      <c r="Y1144">
        <v>4</v>
      </c>
      <c r="Z1144">
        <v>1</v>
      </c>
      <c r="AA1144">
        <v>4</v>
      </c>
      <c r="AB1144">
        <v>2</v>
      </c>
      <c r="AC1144">
        <v>5</v>
      </c>
      <c r="AD1144">
        <v>3</v>
      </c>
      <c r="AE1144">
        <v>1</v>
      </c>
      <c r="AF1144">
        <v>0</v>
      </c>
      <c r="AG1144">
        <v>0</v>
      </c>
      <c r="AH1144">
        <v>25</v>
      </c>
      <c r="AI1144">
        <v>28</v>
      </c>
      <c r="AJ1144">
        <v>29</v>
      </c>
      <c r="AK1144">
        <v>30</v>
      </c>
      <c r="AL1144">
        <v>34</v>
      </c>
      <c r="AM1144">
        <v>28</v>
      </c>
      <c r="AN1144">
        <v>25</v>
      </c>
      <c r="AO1144">
        <v>22</v>
      </c>
      <c r="AP1144">
        <v>0</v>
      </c>
      <c r="AQ1144">
        <v>0</v>
      </c>
      <c r="AR1144">
        <v>7</v>
      </c>
      <c r="AS1144">
        <v>8</v>
      </c>
      <c r="AT1144">
        <v>11</v>
      </c>
      <c r="AU1144">
        <v>6</v>
      </c>
      <c r="AV1144">
        <v>5</v>
      </c>
      <c r="AW1144">
        <v>8</v>
      </c>
      <c r="AX1144">
        <v>17</v>
      </c>
      <c r="AY1144">
        <v>25</v>
      </c>
      <c r="AZ1144">
        <v>0</v>
      </c>
      <c r="BA1144">
        <v>0</v>
      </c>
      <c r="BB1144">
        <v>10</v>
      </c>
      <c r="BC1144">
        <v>29</v>
      </c>
      <c r="BD1144">
        <v>0</v>
      </c>
      <c r="BE1144">
        <v>8</v>
      </c>
      <c r="BF1144">
        <v>2</v>
      </c>
      <c r="BG1144">
        <v>13</v>
      </c>
      <c r="BH1144">
        <v>3</v>
      </c>
    </row>
    <row r="1145" spans="3:60" x14ac:dyDescent="0.2">
      <c r="C1145" s="138">
        <v>13</v>
      </c>
      <c r="D1145" s="138">
        <v>5</v>
      </c>
      <c r="E1145" s="138">
        <v>14</v>
      </c>
      <c r="F1145" s="138">
        <v>1</v>
      </c>
      <c r="G1145" s="138">
        <v>2</v>
      </c>
      <c r="H1145" s="138">
        <v>4</v>
      </c>
      <c r="R1145">
        <v>8</v>
      </c>
      <c r="S1145">
        <v>6</v>
      </c>
      <c r="T1145">
        <v>4</v>
      </c>
      <c r="U1145">
        <v>4</v>
      </c>
      <c r="V1145">
        <v>0</v>
      </c>
      <c r="W1145">
        <v>0</v>
      </c>
      <c r="X1145">
        <v>4</v>
      </c>
      <c r="Y1145">
        <v>2</v>
      </c>
      <c r="Z1145">
        <v>3</v>
      </c>
      <c r="AA1145">
        <v>3</v>
      </c>
      <c r="AB1145">
        <v>1</v>
      </c>
      <c r="AC1145">
        <v>2</v>
      </c>
      <c r="AD1145">
        <v>2</v>
      </c>
      <c r="AE1145">
        <v>1</v>
      </c>
      <c r="AF1145">
        <v>0</v>
      </c>
      <c r="AG1145">
        <v>0</v>
      </c>
      <c r="AH1145">
        <v>26</v>
      </c>
      <c r="AI1145">
        <v>16</v>
      </c>
      <c r="AJ1145">
        <v>15</v>
      </c>
      <c r="AK1145">
        <v>18</v>
      </c>
      <c r="AL1145">
        <v>24</v>
      </c>
      <c r="AM1145">
        <v>25</v>
      </c>
      <c r="AN1145">
        <v>23</v>
      </c>
      <c r="AO1145">
        <v>19</v>
      </c>
      <c r="AP1145">
        <v>0</v>
      </c>
      <c r="AQ1145">
        <v>0</v>
      </c>
      <c r="AR1145">
        <v>10</v>
      </c>
      <c r="AS1145">
        <v>8</v>
      </c>
      <c r="AT1145">
        <v>10</v>
      </c>
      <c r="AU1145">
        <v>9</v>
      </c>
      <c r="AV1145">
        <v>14</v>
      </c>
      <c r="AW1145">
        <v>8</v>
      </c>
      <c r="AX1145">
        <v>19</v>
      </c>
      <c r="AY1145">
        <v>18</v>
      </c>
      <c r="AZ1145">
        <v>0</v>
      </c>
      <c r="BA1145">
        <v>0</v>
      </c>
      <c r="BB1145">
        <v>15</v>
      </c>
      <c r="BC1145">
        <v>24</v>
      </c>
      <c r="BD1145">
        <v>0</v>
      </c>
      <c r="BE1145">
        <v>13</v>
      </c>
      <c r="BF1145">
        <v>5</v>
      </c>
      <c r="BG1145">
        <v>14</v>
      </c>
      <c r="BH1145">
        <v>1</v>
      </c>
    </row>
    <row r="1146" spans="3:60" x14ac:dyDescent="0.2">
      <c r="C1146" s="138">
        <v>20</v>
      </c>
      <c r="D1146" s="138">
        <v>3</v>
      </c>
      <c r="E1146" s="138">
        <v>15</v>
      </c>
      <c r="F1146" s="138">
        <v>3</v>
      </c>
      <c r="G1146" s="138">
        <v>3</v>
      </c>
      <c r="H1146" s="138">
        <v>8</v>
      </c>
      <c r="R1146">
        <v>9</v>
      </c>
      <c r="S1146">
        <v>4</v>
      </c>
      <c r="T1146">
        <v>4</v>
      </c>
      <c r="U1146">
        <v>9</v>
      </c>
      <c r="V1146">
        <v>0</v>
      </c>
      <c r="W1146">
        <v>0</v>
      </c>
      <c r="X1146">
        <v>4</v>
      </c>
      <c r="Y1146">
        <v>3</v>
      </c>
      <c r="Z1146">
        <v>1</v>
      </c>
      <c r="AA1146">
        <v>6</v>
      </c>
      <c r="AB1146">
        <v>2</v>
      </c>
      <c r="AC1146">
        <v>1</v>
      </c>
      <c r="AD1146">
        <v>0</v>
      </c>
      <c r="AE1146">
        <v>1</v>
      </c>
      <c r="AF1146">
        <v>0</v>
      </c>
      <c r="AG1146">
        <v>0</v>
      </c>
      <c r="AH1146">
        <v>17</v>
      </c>
      <c r="AI1146">
        <v>24</v>
      </c>
      <c r="AJ1146">
        <v>17</v>
      </c>
      <c r="AK1146">
        <v>27</v>
      </c>
      <c r="AL1146">
        <v>18</v>
      </c>
      <c r="AM1146">
        <v>22</v>
      </c>
      <c r="AN1146">
        <v>25</v>
      </c>
      <c r="AO1146">
        <v>22</v>
      </c>
      <c r="AP1146">
        <v>0</v>
      </c>
      <c r="AQ1146">
        <v>0</v>
      </c>
      <c r="AR1146">
        <v>5</v>
      </c>
      <c r="AS1146">
        <v>11</v>
      </c>
      <c r="AT1146">
        <v>13</v>
      </c>
      <c r="AU1146">
        <v>13</v>
      </c>
      <c r="AV1146">
        <v>10</v>
      </c>
      <c r="AW1146">
        <v>8</v>
      </c>
      <c r="AX1146">
        <v>16</v>
      </c>
      <c r="AY1146">
        <v>31</v>
      </c>
      <c r="AZ1146">
        <v>0</v>
      </c>
      <c r="BA1146">
        <v>0</v>
      </c>
      <c r="BB1146">
        <v>13</v>
      </c>
      <c r="BC1146">
        <v>32</v>
      </c>
      <c r="BD1146">
        <v>0</v>
      </c>
      <c r="BE1146">
        <v>20</v>
      </c>
      <c r="BF1146">
        <v>3</v>
      </c>
      <c r="BG1146">
        <v>15</v>
      </c>
      <c r="BH1146">
        <v>3</v>
      </c>
    </row>
    <row r="1147" spans="3:60" x14ac:dyDescent="0.2">
      <c r="C1147" s="138">
        <v>20</v>
      </c>
      <c r="D1147" s="138">
        <v>2</v>
      </c>
      <c r="E1147" s="138">
        <v>16</v>
      </c>
      <c r="F1147" s="138">
        <v>6</v>
      </c>
      <c r="G1147" s="138">
        <v>0</v>
      </c>
      <c r="H1147" s="138">
        <v>4</v>
      </c>
      <c r="R1147">
        <v>9</v>
      </c>
      <c r="S1147">
        <v>8</v>
      </c>
      <c r="T1147">
        <v>7</v>
      </c>
      <c r="U1147">
        <v>9</v>
      </c>
      <c r="V1147">
        <v>0</v>
      </c>
      <c r="W1147">
        <v>0</v>
      </c>
      <c r="X1147">
        <v>3</v>
      </c>
      <c r="Y1147">
        <v>3</v>
      </c>
      <c r="Z1147">
        <v>4</v>
      </c>
      <c r="AA1147">
        <v>5</v>
      </c>
      <c r="AB1147">
        <v>2</v>
      </c>
      <c r="AC1147">
        <v>1</v>
      </c>
      <c r="AD1147">
        <v>4</v>
      </c>
      <c r="AE1147">
        <v>2</v>
      </c>
      <c r="AF1147">
        <v>0</v>
      </c>
      <c r="AG1147">
        <v>0</v>
      </c>
      <c r="AH1147">
        <v>16</v>
      </c>
      <c r="AI1147">
        <v>27</v>
      </c>
      <c r="AJ1147">
        <v>20</v>
      </c>
      <c r="AK1147">
        <v>17</v>
      </c>
      <c r="AL1147">
        <v>23</v>
      </c>
      <c r="AM1147">
        <v>22</v>
      </c>
      <c r="AN1147">
        <v>22</v>
      </c>
      <c r="AO1147">
        <v>19</v>
      </c>
      <c r="AP1147">
        <v>0</v>
      </c>
      <c r="AQ1147">
        <v>0</v>
      </c>
      <c r="AR1147">
        <v>10</v>
      </c>
      <c r="AS1147">
        <v>11</v>
      </c>
      <c r="AT1147">
        <v>6</v>
      </c>
      <c r="AU1147">
        <v>9</v>
      </c>
      <c r="AV1147">
        <v>13</v>
      </c>
      <c r="AW1147">
        <v>12</v>
      </c>
      <c r="AX1147">
        <v>25</v>
      </c>
      <c r="AY1147">
        <v>26</v>
      </c>
      <c r="AZ1147">
        <v>0</v>
      </c>
      <c r="BA1147">
        <v>0</v>
      </c>
      <c r="BB1147">
        <v>8</v>
      </c>
      <c r="BC1147">
        <v>30</v>
      </c>
      <c r="BD1147">
        <v>0</v>
      </c>
      <c r="BE1147">
        <v>20</v>
      </c>
      <c r="BF1147">
        <v>2</v>
      </c>
      <c r="BG1147">
        <v>16</v>
      </c>
      <c r="BH1147">
        <v>6</v>
      </c>
    </row>
    <row r="1148" spans="3:60" x14ac:dyDescent="0.2">
      <c r="C1148" s="138">
        <v>14</v>
      </c>
      <c r="D1148" s="138">
        <v>5</v>
      </c>
      <c r="E1148" s="138">
        <v>24</v>
      </c>
      <c r="F1148" s="138">
        <v>3</v>
      </c>
      <c r="G1148" s="138">
        <v>0</v>
      </c>
      <c r="H1148" s="138">
        <v>7</v>
      </c>
      <c r="R1148">
        <v>9</v>
      </c>
      <c r="S1148">
        <v>8</v>
      </c>
      <c r="T1148">
        <v>5</v>
      </c>
      <c r="U1148">
        <v>11</v>
      </c>
      <c r="V1148">
        <v>0</v>
      </c>
      <c r="W1148">
        <v>0</v>
      </c>
      <c r="X1148">
        <v>3</v>
      </c>
      <c r="Y1148">
        <v>3</v>
      </c>
      <c r="Z1148">
        <v>6</v>
      </c>
      <c r="AA1148">
        <v>5</v>
      </c>
      <c r="AB1148">
        <v>4</v>
      </c>
      <c r="AC1148">
        <v>5</v>
      </c>
      <c r="AD1148">
        <v>1</v>
      </c>
      <c r="AE1148">
        <v>2</v>
      </c>
      <c r="AF1148">
        <v>0</v>
      </c>
      <c r="AG1148">
        <v>0</v>
      </c>
      <c r="AH1148">
        <v>29</v>
      </c>
      <c r="AI1148">
        <v>18</v>
      </c>
      <c r="AJ1148">
        <v>21</v>
      </c>
      <c r="AK1148">
        <v>17</v>
      </c>
      <c r="AL1148">
        <v>22</v>
      </c>
      <c r="AM1148">
        <v>21</v>
      </c>
      <c r="AN1148">
        <v>18</v>
      </c>
      <c r="AO1148">
        <v>20</v>
      </c>
      <c r="AP1148">
        <v>0</v>
      </c>
      <c r="AQ1148">
        <v>0</v>
      </c>
      <c r="AR1148">
        <v>11</v>
      </c>
      <c r="AS1148">
        <v>9</v>
      </c>
      <c r="AT1148">
        <v>21</v>
      </c>
      <c r="AU1148">
        <v>13</v>
      </c>
      <c r="AV1148">
        <v>8</v>
      </c>
      <c r="AW1148">
        <v>11</v>
      </c>
      <c r="AX1148">
        <v>21</v>
      </c>
      <c r="AY1148">
        <v>31</v>
      </c>
      <c r="AZ1148">
        <v>0</v>
      </c>
      <c r="BA1148">
        <v>0</v>
      </c>
      <c r="BB1148">
        <v>10</v>
      </c>
      <c r="BC1148">
        <v>27</v>
      </c>
      <c r="BD1148">
        <v>0</v>
      </c>
      <c r="BE1148">
        <v>14</v>
      </c>
      <c r="BF1148">
        <v>5</v>
      </c>
      <c r="BG1148">
        <v>24</v>
      </c>
      <c r="BH1148">
        <v>3</v>
      </c>
    </row>
    <row r="1149" spans="3:60" x14ac:dyDescent="0.2">
      <c r="C1149" s="138">
        <v>14</v>
      </c>
      <c r="D1149" s="138">
        <v>1</v>
      </c>
      <c r="E1149" s="138">
        <v>15</v>
      </c>
      <c r="F1149" s="138">
        <v>5</v>
      </c>
      <c r="G1149" s="138">
        <v>2</v>
      </c>
      <c r="H1149" s="138">
        <v>10</v>
      </c>
      <c r="R1149">
        <v>13</v>
      </c>
      <c r="S1149">
        <v>7</v>
      </c>
      <c r="T1149">
        <v>10</v>
      </c>
      <c r="U1149">
        <v>14</v>
      </c>
      <c r="V1149">
        <v>0</v>
      </c>
      <c r="W1149">
        <v>0</v>
      </c>
      <c r="X1149">
        <v>3</v>
      </c>
      <c r="Y1149">
        <v>5</v>
      </c>
      <c r="Z1149">
        <v>2</v>
      </c>
      <c r="AA1149">
        <v>4</v>
      </c>
      <c r="AB1149">
        <v>3</v>
      </c>
      <c r="AC1149">
        <v>3</v>
      </c>
      <c r="AD1149">
        <v>7</v>
      </c>
      <c r="AE1149">
        <v>4</v>
      </c>
      <c r="AF1149">
        <v>0</v>
      </c>
      <c r="AG1149">
        <v>0</v>
      </c>
      <c r="AH1149">
        <v>17</v>
      </c>
      <c r="AI1149">
        <v>20</v>
      </c>
      <c r="AJ1149">
        <v>17</v>
      </c>
      <c r="AK1149">
        <v>9</v>
      </c>
      <c r="AL1149">
        <v>22</v>
      </c>
      <c r="AM1149">
        <v>20</v>
      </c>
      <c r="AN1149">
        <v>22</v>
      </c>
      <c r="AO1149">
        <v>12</v>
      </c>
      <c r="AP1149">
        <v>0</v>
      </c>
      <c r="AQ1149">
        <v>0</v>
      </c>
      <c r="AR1149">
        <v>7</v>
      </c>
      <c r="AS1149">
        <v>13</v>
      </c>
      <c r="AT1149">
        <v>18</v>
      </c>
      <c r="AU1149">
        <v>9</v>
      </c>
      <c r="AV1149">
        <v>10</v>
      </c>
      <c r="AW1149">
        <v>12</v>
      </c>
      <c r="AX1149">
        <v>20</v>
      </c>
      <c r="AY1149">
        <v>32</v>
      </c>
      <c r="AZ1149">
        <v>0</v>
      </c>
      <c r="BA1149">
        <v>0</v>
      </c>
      <c r="BB1149">
        <v>19</v>
      </c>
      <c r="BC1149">
        <v>26</v>
      </c>
      <c r="BD1149">
        <v>0</v>
      </c>
      <c r="BE1149">
        <v>14</v>
      </c>
      <c r="BF1149">
        <v>1</v>
      </c>
      <c r="BG1149">
        <v>15</v>
      </c>
      <c r="BH1149">
        <v>5</v>
      </c>
    </row>
    <row r="1150" spans="3:60" x14ac:dyDescent="0.2">
      <c r="C1150" s="138">
        <v>13</v>
      </c>
      <c r="D1150" s="138">
        <v>5</v>
      </c>
      <c r="E1150" s="138">
        <v>17</v>
      </c>
      <c r="F1150" s="138">
        <v>3</v>
      </c>
      <c r="G1150" s="138">
        <v>6</v>
      </c>
      <c r="H1150" s="138">
        <v>11</v>
      </c>
      <c r="R1150">
        <v>16</v>
      </c>
      <c r="S1150">
        <v>18</v>
      </c>
      <c r="T1150">
        <v>9</v>
      </c>
      <c r="U1150">
        <v>12</v>
      </c>
      <c r="V1150">
        <v>0</v>
      </c>
      <c r="W1150">
        <v>0</v>
      </c>
      <c r="X1150">
        <v>6</v>
      </c>
      <c r="Y1150">
        <v>3</v>
      </c>
      <c r="Z1150">
        <v>2</v>
      </c>
      <c r="AA1150">
        <v>5</v>
      </c>
      <c r="AB1150">
        <v>5</v>
      </c>
      <c r="AC1150">
        <v>3</v>
      </c>
      <c r="AD1150">
        <v>5</v>
      </c>
      <c r="AE1150">
        <v>2</v>
      </c>
      <c r="AF1150">
        <v>0</v>
      </c>
      <c r="AG1150">
        <v>0</v>
      </c>
      <c r="AH1150">
        <v>22</v>
      </c>
      <c r="AI1150">
        <v>19</v>
      </c>
      <c r="AJ1150">
        <v>13</v>
      </c>
      <c r="AK1150">
        <v>21</v>
      </c>
      <c r="AL1150">
        <v>13</v>
      </c>
      <c r="AM1150">
        <v>16</v>
      </c>
      <c r="AN1150">
        <v>19</v>
      </c>
      <c r="AO1150">
        <v>21</v>
      </c>
      <c r="AP1150">
        <v>0</v>
      </c>
      <c r="AQ1150">
        <v>0</v>
      </c>
      <c r="AR1150">
        <v>6</v>
      </c>
      <c r="AS1150">
        <v>12</v>
      </c>
      <c r="AT1150">
        <v>11</v>
      </c>
      <c r="AU1150">
        <v>11</v>
      </c>
      <c r="AV1150">
        <v>19</v>
      </c>
      <c r="AW1150">
        <v>11</v>
      </c>
      <c r="AX1150">
        <v>20</v>
      </c>
      <c r="AY1150">
        <v>29</v>
      </c>
      <c r="AZ1150">
        <v>0</v>
      </c>
      <c r="BA1150">
        <v>0</v>
      </c>
      <c r="BB1150">
        <v>13</v>
      </c>
      <c r="BC1150">
        <v>29</v>
      </c>
      <c r="BD1150">
        <v>0</v>
      </c>
      <c r="BE1150">
        <v>13</v>
      </c>
      <c r="BF1150">
        <v>5</v>
      </c>
      <c r="BG1150">
        <v>17</v>
      </c>
      <c r="BH1150">
        <v>3</v>
      </c>
    </row>
    <row r="1151" spans="3:60" x14ac:dyDescent="0.2">
      <c r="C1151" s="138">
        <v>18</v>
      </c>
      <c r="D1151" s="138">
        <v>0</v>
      </c>
      <c r="E1151" s="138">
        <v>18</v>
      </c>
      <c r="F1151" s="138">
        <v>2</v>
      </c>
      <c r="G1151" s="138">
        <v>1</v>
      </c>
      <c r="H1151" s="138">
        <v>14</v>
      </c>
      <c r="R1151">
        <v>19</v>
      </c>
      <c r="S1151">
        <v>6</v>
      </c>
      <c r="T1151">
        <v>3</v>
      </c>
      <c r="U1151">
        <v>12</v>
      </c>
      <c r="V1151">
        <v>0</v>
      </c>
      <c r="W1151">
        <v>0</v>
      </c>
      <c r="X1151">
        <v>5</v>
      </c>
      <c r="Y1151">
        <v>5</v>
      </c>
      <c r="Z1151">
        <v>5</v>
      </c>
      <c r="AA1151">
        <v>6</v>
      </c>
      <c r="AB1151">
        <v>4</v>
      </c>
      <c r="AC1151">
        <v>7</v>
      </c>
      <c r="AD1151">
        <v>5</v>
      </c>
      <c r="AE1151">
        <v>2</v>
      </c>
      <c r="AF1151">
        <v>0</v>
      </c>
      <c r="AG1151">
        <v>0</v>
      </c>
      <c r="AH1151">
        <v>18</v>
      </c>
      <c r="AI1151">
        <v>17</v>
      </c>
      <c r="AJ1151">
        <v>19</v>
      </c>
      <c r="AK1151">
        <v>21</v>
      </c>
      <c r="AL1151">
        <v>20</v>
      </c>
      <c r="AM1151">
        <v>15</v>
      </c>
      <c r="AN1151">
        <v>14</v>
      </c>
      <c r="AO1151">
        <v>15</v>
      </c>
      <c r="AP1151">
        <v>0</v>
      </c>
      <c r="AQ1151">
        <v>0</v>
      </c>
      <c r="AR1151">
        <v>13</v>
      </c>
      <c r="AS1151">
        <v>13</v>
      </c>
      <c r="AT1151">
        <v>25</v>
      </c>
      <c r="AU1151">
        <v>20</v>
      </c>
      <c r="AV1151">
        <v>19</v>
      </c>
      <c r="AW1151">
        <v>12</v>
      </c>
      <c r="AX1151">
        <v>23</v>
      </c>
      <c r="AY1151">
        <v>39</v>
      </c>
      <c r="AZ1151">
        <v>0</v>
      </c>
      <c r="BA1151">
        <v>0</v>
      </c>
      <c r="BB1151">
        <v>16</v>
      </c>
      <c r="BC1151">
        <v>23</v>
      </c>
      <c r="BD1151">
        <v>0</v>
      </c>
      <c r="BE1151">
        <v>18</v>
      </c>
      <c r="BF1151">
        <v>0</v>
      </c>
      <c r="BG1151">
        <v>18</v>
      </c>
      <c r="BH1151">
        <v>2</v>
      </c>
    </row>
    <row r="1152" spans="3:60" x14ac:dyDescent="0.2">
      <c r="C1152" s="138">
        <v>28</v>
      </c>
      <c r="D1152" s="138">
        <v>4</v>
      </c>
      <c r="E1152" s="138">
        <v>26</v>
      </c>
      <c r="F1152" s="138">
        <v>2</v>
      </c>
      <c r="G1152" s="138">
        <v>2</v>
      </c>
      <c r="H1152" s="138">
        <v>18</v>
      </c>
      <c r="R1152">
        <v>11</v>
      </c>
      <c r="S1152">
        <v>13</v>
      </c>
      <c r="T1152">
        <v>11</v>
      </c>
      <c r="U1152">
        <v>14</v>
      </c>
      <c r="V1152">
        <v>0</v>
      </c>
      <c r="W1152">
        <v>0</v>
      </c>
      <c r="X1152">
        <v>2</v>
      </c>
      <c r="Y1152">
        <v>2</v>
      </c>
      <c r="Z1152">
        <v>6</v>
      </c>
      <c r="AA1152">
        <v>6</v>
      </c>
      <c r="AB1152">
        <v>5</v>
      </c>
      <c r="AC1152">
        <v>6</v>
      </c>
      <c r="AD1152">
        <v>1</v>
      </c>
      <c r="AE1152">
        <v>2</v>
      </c>
      <c r="AF1152">
        <v>0</v>
      </c>
      <c r="AG1152">
        <v>0</v>
      </c>
      <c r="AH1152">
        <v>14</v>
      </c>
      <c r="AI1152">
        <v>17</v>
      </c>
      <c r="AJ1152">
        <v>20</v>
      </c>
      <c r="AK1152">
        <v>25</v>
      </c>
      <c r="AL1152">
        <v>16</v>
      </c>
      <c r="AM1152">
        <v>12</v>
      </c>
      <c r="AN1152">
        <v>13</v>
      </c>
      <c r="AO1152">
        <v>17</v>
      </c>
      <c r="AP1152">
        <v>0</v>
      </c>
      <c r="AQ1152">
        <v>0</v>
      </c>
      <c r="AR1152">
        <v>9</v>
      </c>
      <c r="AS1152">
        <v>16</v>
      </c>
      <c r="AT1152">
        <v>20</v>
      </c>
      <c r="AU1152">
        <v>14</v>
      </c>
      <c r="AV1152">
        <v>20</v>
      </c>
      <c r="AW1152">
        <v>14</v>
      </c>
      <c r="AX1152">
        <v>24</v>
      </c>
      <c r="AY1152">
        <v>34</v>
      </c>
      <c r="AZ1152">
        <v>0</v>
      </c>
      <c r="BA1152">
        <v>0</v>
      </c>
      <c r="BB1152">
        <v>21</v>
      </c>
      <c r="BC1152">
        <v>27</v>
      </c>
      <c r="BD1152">
        <v>0</v>
      </c>
      <c r="BE1152">
        <v>28</v>
      </c>
      <c r="BF1152">
        <v>4</v>
      </c>
      <c r="BG1152">
        <v>26</v>
      </c>
      <c r="BH1152">
        <v>2</v>
      </c>
    </row>
    <row r="1153" spans="3:60" x14ac:dyDescent="0.2">
      <c r="C1153" s="138">
        <v>24</v>
      </c>
      <c r="D1153" s="138">
        <v>0</v>
      </c>
      <c r="E1153" s="138">
        <v>18</v>
      </c>
      <c r="F1153" s="138">
        <v>1</v>
      </c>
      <c r="G1153" s="138">
        <v>3</v>
      </c>
      <c r="H1153" s="138">
        <v>21</v>
      </c>
      <c r="R1153">
        <v>17</v>
      </c>
      <c r="S1153">
        <v>13</v>
      </c>
      <c r="T1153">
        <v>10</v>
      </c>
      <c r="U1153">
        <v>15</v>
      </c>
      <c r="V1153">
        <v>0</v>
      </c>
      <c r="W1153">
        <v>0</v>
      </c>
      <c r="X1153">
        <v>5</v>
      </c>
      <c r="Y1153">
        <v>7</v>
      </c>
      <c r="Z1153">
        <v>6</v>
      </c>
      <c r="AA1153">
        <v>0</v>
      </c>
      <c r="AB1153">
        <v>5</v>
      </c>
      <c r="AC1153">
        <v>4</v>
      </c>
      <c r="AD1153">
        <v>9</v>
      </c>
      <c r="AE1153">
        <v>3</v>
      </c>
      <c r="AF1153">
        <v>0</v>
      </c>
      <c r="AG1153">
        <v>0</v>
      </c>
      <c r="AH1153">
        <v>15</v>
      </c>
      <c r="AI1153">
        <v>21</v>
      </c>
      <c r="AJ1153">
        <v>14</v>
      </c>
      <c r="AK1153">
        <v>20</v>
      </c>
      <c r="AL1153">
        <v>11</v>
      </c>
      <c r="AM1153">
        <v>22</v>
      </c>
      <c r="AN1153">
        <v>17</v>
      </c>
      <c r="AO1153">
        <v>15</v>
      </c>
      <c r="AP1153">
        <v>0</v>
      </c>
      <c r="AQ1153">
        <v>0</v>
      </c>
      <c r="AR1153">
        <v>14</v>
      </c>
      <c r="AS1153">
        <v>16</v>
      </c>
      <c r="AT1153">
        <v>9</v>
      </c>
      <c r="AU1153">
        <v>15</v>
      </c>
      <c r="AV1153">
        <v>14</v>
      </c>
      <c r="AW1153">
        <v>13</v>
      </c>
      <c r="AX1153">
        <v>25</v>
      </c>
      <c r="AY1153">
        <v>33</v>
      </c>
      <c r="AZ1153">
        <v>0</v>
      </c>
      <c r="BA1153">
        <v>0</v>
      </c>
      <c r="BB1153">
        <v>19</v>
      </c>
      <c r="BC1153">
        <v>20</v>
      </c>
      <c r="BD1153">
        <v>0</v>
      </c>
      <c r="BE1153">
        <v>24</v>
      </c>
      <c r="BF1153">
        <v>0</v>
      </c>
      <c r="BG1153">
        <v>18</v>
      </c>
      <c r="BH1153">
        <v>1</v>
      </c>
    </row>
    <row r="1154" spans="3:60" x14ac:dyDescent="0.2">
      <c r="C1154" s="138">
        <v>22</v>
      </c>
      <c r="D1154" s="138">
        <v>1</v>
      </c>
      <c r="E1154" s="138">
        <v>28</v>
      </c>
      <c r="F1154" s="138">
        <v>0</v>
      </c>
      <c r="G1154" s="138">
        <v>2</v>
      </c>
      <c r="H1154" s="138">
        <v>14</v>
      </c>
      <c r="R1154">
        <v>20</v>
      </c>
      <c r="S1154">
        <v>15</v>
      </c>
      <c r="T1154">
        <v>6</v>
      </c>
      <c r="U1154">
        <v>14</v>
      </c>
      <c r="V1154">
        <v>0</v>
      </c>
      <c r="W1154">
        <v>0</v>
      </c>
      <c r="X1154">
        <v>2</v>
      </c>
      <c r="Y1154">
        <v>7</v>
      </c>
      <c r="Z1154">
        <v>5</v>
      </c>
      <c r="AA1154">
        <v>8</v>
      </c>
      <c r="AB1154">
        <v>3</v>
      </c>
      <c r="AC1154">
        <v>5</v>
      </c>
      <c r="AD1154">
        <v>4</v>
      </c>
      <c r="AE1154">
        <v>4</v>
      </c>
      <c r="AF1154">
        <v>0</v>
      </c>
      <c r="AG1154">
        <v>0</v>
      </c>
      <c r="AH1154">
        <v>13</v>
      </c>
      <c r="AI1154">
        <v>9</v>
      </c>
      <c r="AJ1154">
        <v>12</v>
      </c>
      <c r="AK1154">
        <v>13</v>
      </c>
      <c r="AL1154">
        <v>16</v>
      </c>
      <c r="AM1154">
        <v>8</v>
      </c>
      <c r="AN1154">
        <v>16</v>
      </c>
      <c r="AO1154">
        <v>17</v>
      </c>
      <c r="AP1154">
        <v>0</v>
      </c>
      <c r="AQ1154">
        <v>0</v>
      </c>
      <c r="AR1154">
        <v>17</v>
      </c>
      <c r="AS1154">
        <v>15</v>
      </c>
      <c r="AT1154">
        <v>26</v>
      </c>
      <c r="AU1154">
        <v>14</v>
      </c>
      <c r="AV1154">
        <v>18</v>
      </c>
      <c r="AW1154">
        <v>17</v>
      </c>
      <c r="AX1154">
        <v>32</v>
      </c>
      <c r="AY1154">
        <v>30</v>
      </c>
      <c r="AZ1154">
        <v>0</v>
      </c>
      <c r="BA1154">
        <v>0</v>
      </c>
      <c r="BB1154">
        <v>20</v>
      </c>
      <c r="BC1154">
        <v>21</v>
      </c>
      <c r="BD1154">
        <v>0</v>
      </c>
      <c r="BE1154">
        <v>22</v>
      </c>
      <c r="BF1154">
        <v>1</v>
      </c>
      <c r="BG1154">
        <v>28</v>
      </c>
      <c r="BH1154">
        <v>0</v>
      </c>
    </row>
    <row r="1155" spans="3:60" x14ac:dyDescent="0.2">
      <c r="C1155" s="138">
        <v>24</v>
      </c>
      <c r="D1155" s="138">
        <v>8</v>
      </c>
      <c r="E1155" s="138">
        <v>30</v>
      </c>
      <c r="F1155" s="138">
        <v>4</v>
      </c>
      <c r="G1155" s="138">
        <v>7</v>
      </c>
      <c r="H1155" s="138">
        <v>18</v>
      </c>
      <c r="R1155">
        <v>25</v>
      </c>
      <c r="S1155">
        <v>7</v>
      </c>
      <c r="T1155">
        <v>11</v>
      </c>
      <c r="U1155">
        <v>15</v>
      </c>
      <c r="V1155">
        <v>0</v>
      </c>
      <c r="W1155">
        <v>0</v>
      </c>
      <c r="X1155">
        <v>8</v>
      </c>
      <c r="Y1155">
        <v>2</v>
      </c>
      <c r="Z1155">
        <v>5</v>
      </c>
      <c r="AA1155">
        <v>8</v>
      </c>
      <c r="AB1155">
        <v>5</v>
      </c>
      <c r="AC1155">
        <v>11</v>
      </c>
      <c r="AD1155">
        <v>6</v>
      </c>
      <c r="AE1155">
        <v>1</v>
      </c>
      <c r="AF1155">
        <v>0</v>
      </c>
      <c r="AG1155">
        <v>0</v>
      </c>
      <c r="AH1155">
        <v>15</v>
      </c>
      <c r="AI1155">
        <v>12</v>
      </c>
      <c r="AJ1155">
        <v>24</v>
      </c>
      <c r="AK1155">
        <v>16</v>
      </c>
      <c r="AL1155">
        <v>17</v>
      </c>
      <c r="AM1155">
        <v>15</v>
      </c>
      <c r="AN1155">
        <v>13</v>
      </c>
      <c r="AO1155">
        <v>9</v>
      </c>
      <c r="AP1155">
        <v>0</v>
      </c>
      <c r="AQ1155">
        <v>0</v>
      </c>
      <c r="AR1155">
        <v>8</v>
      </c>
      <c r="AS1155">
        <v>8</v>
      </c>
      <c r="AT1155">
        <v>17</v>
      </c>
      <c r="AU1155">
        <v>25</v>
      </c>
      <c r="AV1155">
        <v>21</v>
      </c>
      <c r="AW1155">
        <v>16</v>
      </c>
      <c r="AX1155">
        <v>30</v>
      </c>
      <c r="AY1155">
        <v>25</v>
      </c>
      <c r="AZ1155">
        <v>0</v>
      </c>
      <c r="BA1155">
        <v>0</v>
      </c>
      <c r="BB1155">
        <v>26</v>
      </c>
      <c r="BC1155">
        <v>22</v>
      </c>
      <c r="BD1155">
        <v>0</v>
      </c>
      <c r="BE1155">
        <v>24</v>
      </c>
      <c r="BF1155">
        <v>8</v>
      </c>
      <c r="BG1155">
        <v>30</v>
      </c>
      <c r="BH1155">
        <v>4</v>
      </c>
    </row>
    <row r="1156" spans="3:60" x14ac:dyDescent="0.2">
      <c r="C1156" s="138">
        <v>29</v>
      </c>
      <c r="D1156" s="138">
        <v>9</v>
      </c>
      <c r="E1156" s="138">
        <v>26</v>
      </c>
      <c r="F1156" s="138">
        <v>8</v>
      </c>
      <c r="G1156" s="138">
        <v>9</v>
      </c>
      <c r="H1156" s="138">
        <v>26</v>
      </c>
      <c r="R1156">
        <v>17</v>
      </c>
      <c r="S1156">
        <v>15</v>
      </c>
      <c r="T1156">
        <v>11</v>
      </c>
      <c r="U1156">
        <v>20</v>
      </c>
      <c r="V1156">
        <v>0</v>
      </c>
      <c r="W1156">
        <v>0</v>
      </c>
      <c r="X1156">
        <v>10</v>
      </c>
      <c r="Y1156">
        <v>7</v>
      </c>
      <c r="Z1156">
        <v>7</v>
      </c>
      <c r="AA1156">
        <v>9</v>
      </c>
      <c r="AB1156">
        <v>4</v>
      </c>
      <c r="AC1156">
        <v>4</v>
      </c>
      <c r="AD1156">
        <v>8</v>
      </c>
      <c r="AE1156">
        <v>7</v>
      </c>
      <c r="AF1156">
        <v>0</v>
      </c>
      <c r="AG1156">
        <v>0</v>
      </c>
      <c r="AH1156">
        <v>15</v>
      </c>
      <c r="AI1156">
        <v>8</v>
      </c>
      <c r="AJ1156">
        <v>26</v>
      </c>
      <c r="AK1156">
        <v>14</v>
      </c>
      <c r="AL1156">
        <v>18</v>
      </c>
      <c r="AM1156">
        <v>7</v>
      </c>
      <c r="AN1156">
        <v>15</v>
      </c>
      <c r="AO1156">
        <v>8</v>
      </c>
      <c r="AP1156">
        <v>0</v>
      </c>
      <c r="AQ1156">
        <v>0</v>
      </c>
      <c r="AR1156">
        <v>16</v>
      </c>
      <c r="AS1156">
        <v>21</v>
      </c>
      <c r="AT1156">
        <v>28</v>
      </c>
      <c r="AU1156">
        <v>11</v>
      </c>
      <c r="AV1156">
        <v>18</v>
      </c>
      <c r="AW1156">
        <v>24</v>
      </c>
      <c r="AX1156">
        <v>28</v>
      </c>
      <c r="AY1156">
        <v>28</v>
      </c>
      <c r="AZ1156">
        <v>0</v>
      </c>
      <c r="BA1156">
        <v>0</v>
      </c>
      <c r="BB1156">
        <v>19</v>
      </c>
      <c r="BC1156">
        <v>20</v>
      </c>
      <c r="BD1156">
        <v>0</v>
      </c>
      <c r="BE1156">
        <v>29</v>
      </c>
      <c r="BF1156">
        <v>9</v>
      </c>
      <c r="BG1156">
        <v>26</v>
      </c>
      <c r="BH1156">
        <v>8</v>
      </c>
    </row>
    <row r="1157" spans="3:60" x14ac:dyDescent="0.2">
      <c r="C1157" s="138">
        <v>31</v>
      </c>
      <c r="D1157" s="138">
        <v>5</v>
      </c>
      <c r="E1157" s="138">
        <v>29</v>
      </c>
      <c r="F1157" s="138">
        <v>8</v>
      </c>
      <c r="G1157" s="138">
        <v>6</v>
      </c>
      <c r="H1157" s="138">
        <v>22</v>
      </c>
      <c r="R1157">
        <v>25</v>
      </c>
      <c r="S1157">
        <v>19</v>
      </c>
      <c r="T1157">
        <v>7</v>
      </c>
      <c r="U1157">
        <v>28</v>
      </c>
      <c r="V1157">
        <v>0</v>
      </c>
      <c r="W1157">
        <v>0</v>
      </c>
      <c r="X1157">
        <v>10</v>
      </c>
      <c r="Y1157">
        <v>11</v>
      </c>
      <c r="Z1157">
        <v>8</v>
      </c>
      <c r="AA1157">
        <v>7</v>
      </c>
      <c r="AB1157">
        <v>4</v>
      </c>
      <c r="AC1157">
        <v>4</v>
      </c>
      <c r="AD1157">
        <v>8</v>
      </c>
      <c r="AE1157">
        <v>5</v>
      </c>
      <c r="AF1157">
        <v>0</v>
      </c>
      <c r="AG1157">
        <v>0</v>
      </c>
      <c r="AH1157">
        <v>11</v>
      </c>
      <c r="AI1157">
        <v>15</v>
      </c>
      <c r="AJ1157">
        <v>13</v>
      </c>
      <c r="AK1157">
        <v>13</v>
      </c>
      <c r="AL1157">
        <v>12</v>
      </c>
      <c r="AM1157">
        <v>20</v>
      </c>
      <c r="AN1157">
        <v>12</v>
      </c>
      <c r="AO1157">
        <v>11</v>
      </c>
      <c r="AP1157">
        <v>0</v>
      </c>
      <c r="AQ1157">
        <v>0</v>
      </c>
      <c r="AR1157">
        <v>19</v>
      </c>
      <c r="AS1157">
        <v>20</v>
      </c>
      <c r="AT1157">
        <v>21</v>
      </c>
      <c r="AU1157">
        <v>27</v>
      </c>
      <c r="AV1157">
        <v>22</v>
      </c>
      <c r="AW1157">
        <v>15</v>
      </c>
      <c r="AX1157">
        <v>18</v>
      </c>
      <c r="AY1157">
        <v>35</v>
      </c>
      <c r="AZ1157">
        <v>0</v>
      </c>
      <c r="BA1157">
        <v>0</v>
      </c>
      <c r="BB1157">
        <v>18</v>
      </c>
      <c r="BC1157">
        <v>13</v>
      </c>
      <c r="BD1157">
        <v>0</v>
      </c>
      <c r="BE1157">
        <v>31</v>
      </c>
      <c r="BF1157">
        <v>5</v>
      </c>
      <c r="BG1157">
        <v>29</v>
      </c>
      <c r="BH1157">
        <v>8</v>
      </c>
    </row>
    <row r="1158" spans="3:60" x14ac:dyDescent="0.2">
      <c r="C1158" s="138">
        <v>29</v>
      </c>
      <c r="D1158" s="138">
        <v>7</v>
      </c>
      <c r="E1158" s="138">
        <v>26</v>
      </c>
      <c r="F1158" s="138">
        <v>4</v>
      </c>
      <c r="G1158" s="138">
        <v>3</v>
      </c>
      <c r="H1158" s="138">
        <v>31</v>
      </c>
      <c r="R1158">
        <v>15</v>
      </c>
      <c r="S1158">
        <v>16</v>
      </c>
      <c r="T1158">
        <v>16</v>
      </c>
      <c r="U1158">
        <v>11</v>
      </c>
      <c r="V1158">
        <v>0</v>
      </c>
      <c r="W1158">
        <v>0</v>
      </c>
      <c r="X1158">
        <v>6</v>
      </c>
      <c r="Y1158">
        <v>6</v>
      </c>
      <c r="Z1158">
        <v>9</v>
      </c>
      <c r="AA1158">
        <v>10</v>
      </c>
      <c r="AB1158">
        <v>7</v>
      </c>
      <c r="AC1158">
        <v>8</v>
      </c>
      <c r="AD1158">
        <v>7</v>
      </c>
      <c r="AE1158">
        <v>2</v>
      </c>
      <c r="AF1158">
        <v>0</v>
      </c>
      <c r="AG1158">
        <v>0</v>
      </c>
      <c r="AH1158">
        <v>7</v>
      </c>
      <c r="AI1158">
        <v>15</v>
      </c>
      <c r="AJ1158">
        <v>22</v>
      </c>
      <c r="AK1158">
        <v>11</v>
      </c>
      <c r="AL1158">
        <v>11</v>
      </c>
      <c r="AM1158">
        <v>13</v>
      </c>
      <c r="AN1158">
        <v>19</v>
      </c>
      <c r="AO1158">
        <v>9</v>
      </c>
      <c r="AP1158">
        <v>0</v>
      </c>
      <c r="AQ1158">
        <v>0</v>
      </c>
      <c r="AR1158">
        <v>24</v>
      </c>
      <c r="AS1158">
        <v>18</v>
      </c>
      <c r="AT1158">
        <v>23</v>
      </c>
      <c r="AU1158">
        <v>23</v>
      </c>
      <c r="AV1158">
        <v>21</v>
      </c>
      <c r="AW1158">
        <v>22</v>
      </c>
      <c r="AX1158">
        <v>36</v>
      </c>
      <c r="AY1158">
        <v>29</v>
      </c>
      <c r="AZ1158">
        <v>0</v>
      </c>
      <c r="BA1158">
        <v>0</v>
      </c>
      <c r="BB1158">
        <v>22</v>
      </c>
      <c r="BC1158">
        <v>17</v>
      </c>
      <c r="BD1158">
        <v>0</v>
      </c>
      <c r="BE1158">
        <v>29</v>
      </c>
      <c r="BF1158">
        <v>7</v>
      </c>
      <c r="BG1158">
        <v>26</v>
      </c>
      <c r="BH1158">
        <v>4</v>
      </c>
    </row>
    <row r="1159" spans="3:60" x14ac:dyDescent="0.2">
      <c r="C1159" s="138">
        <v>18</v>
      </c>
      <c r="D1159" s="138">
        <v>6</v>
      </c>
      <c r="E1159" s="138">
        <v>29</v>
      </c>
      <c r="F1159" s="138">
        <v>12</v>
      </c>
      <c r="G1159" s="138">
        <v>5</v>
      </c>
      <c r="H1159" s="138">
        <v>32</v>
      </c>
      <c r="R1159">
        <v>22</v>
      </c>
      <c r="S1159">
        <v>17</v>
      </c>
      <c r="T1159">
        <v>9</v>
      </c>
      <c r="U1159">
        <v>24</v>
      </c>
      <c r="V1159">
        <v>0</v>
      </c>
      <c r="W1159">
        <v>0</v>
      </c>
      <c r="X1159">
        <v>6</v>
      </c>
      <c r="Y1159">
        <v>6</v>
      </c>
      <c r="Z1159">
        <v>5</v>
      </c>
      <c r="AA1159">
        <v>7</v>
      </c>
      <c r="AB1159">
        <v>10</v>
      </c>
      <c r="AC1159">
        <v>7</v>
      </c>
      <c r="AD1159">
        <v>11</v>
      </c>
      <c r="AE1159">
        <v>5</v>
      </c>
      <c r="AF1159">
        <v>0</v>
      </c>
      <c r="AG1159">
        <v>0</v>
      </c>
      <c r="AH1159">
        <v>10</v>
      </c>
      <c r="AI1159">
        <v>20</v>
      </c>
      <c r="AJ1159">
        <v>20</v>
      </c>
      <c r="AK1159">
        <v>11</v>
      </c>
      <c r="AL1159">
        <v>13</v>
      </c>
      <c r="AM1159">
        <v>13</v>
      </c>
      <c r="AN1159">
        <v>10</v>
      </c>
      <c r="AO1159">
        <v>12</v>
      </c>
      <c r="AP1159">
        <v>0</v>
      </c>
      <c r="AQ1159">
        <v>0</v>
      </c>
      <c r="AR1159">
        <v>29</v>
      </c>
      <c r="AS1159">
        <v>20</v>
      </c>
      <c r="AT1159">
        <v>18</v>
      </c>
      <c r="AU1159">
        <v>16</v>
      </c>
      <c r="AV1159">
        <v>25</v>
      </c>
      <c r="AW1159">
        <v>18</v>
      </c>
      <c r="AX1159">
        <v>33</v>
      </c>
      <c r="AY1159">
        <v>21</v>
      </c>
      <c r="AZ1159">
        <v>0</v>
      </c>
      <c r="BA1159">
        <v>0</v>
      </c>
      <c r="BB1159">
        <v>20</v>
      </c>
      <c r="BC1159">
        <v>22</v>
      </c>
      <c r="BD1159">
        <v>0</v>
      </c>
      <c r="BE1159">
        <v>18</v>
      </c>
      <c r="BF1159">
        <v>6</v>
      </c>
      <c r="BG1159">
        <v>29</v>
      </c>
      <c r="BH1159">
        <v>12</v>
      </c>
    </row>
    <row r="1160" spans="3:60" x14ac:dyDescent="0.2">
      <c r="C1160" s="138">
        <v>31</v>
      </c>
      <c r="D1160" s="138">
        <v>6</v>
      </c>
      <c r="E1160" s="138">
        <v>33</v>
      </c>
      <c r="F1160" s="138">
        <v>3</v>
      </c>
      <c r="G1160" s="138">
        <v>7</v>
      </c>
      <c r="H1160" s="138">
        <v>37</v>
      </c>
      <c r="R1160">
        <v>19</v>
      </c>
      <c r="S1160">
        <v>19</v>
      </c>
      <c r="T1160">
        <v>8</v>
      </c>
      <c r="U1160">
        <v>22</v>
      </c>
      <c r="V1160">
        <v>0</v>
      </c>
      <c r="W1160">
        <v>0</v>
      </c>
      <c r="X1160">
        <v>4</v>
      </c>
      <c r="Y1160">
        <v>7</v>
      </c>
      <c r="Z1160">
        <v>3</v>
      </c>
      <c r="AA1160">
        <v>8</v>
      </c>
      <c r="AB1160">
        <v>4</v>
      </c>
      <c r="AC1160">
        <v>12</v>
      </c>
      <c r="AD1160">
        <v>5</v>
      </c>
      <c r="AE1160">
        <v>5</v>
      </c>
      <c r="AF1160">
        <v>0</v>
      </c>
      <c r="AG1160">
        <v>0</v>
      </c>
      <c r="AH1160">
        <v>12</v>
      </c>
      <c r="AI1160">
        <v>18</v>
      </c>
      <c r="AJ1160">
        <v>9</v>
      </c>
      <c r="AK1160">
        <v>15</v>
      </c>
      <c r="AL1160">
        <v>14</v>
      </c>
      <c r="AM1160">
        <v>11</v>
      </c>
      <c r="AN1160">
        <v>21</v>
      </c>
      <c r="AO1160">
        <v>8</v>
      </c>
      <c r="AP1160">
        <v>0</v>
      </c>
      <c r="AQ1160">
        <v>0</v>
      </c>
      <c r="AR1160">
        <v>23</v>
      </c>
      <c r="AS1160">
        <v>24</v>
      </c>
      <c r="AT1160">
        <v>24</v>
      </c>
      <c r="AU1160">
        <v>23</v>
      </c>
      <c r="AV1160">
        <v>22</v>
      </c>
      <c r="AW1160">
        <v>20</v>
      </c>
      <c r="AX1160">
        <v>27</v>
      </c>
      <c r="AY1160">
        <v>30</v>
      </c>
      <c r="AZ1160">
        <v>0</v>
      </c>
      <c r="BA1160">
        <v>0</v>
      </c>
      <c r="BB1160">
        <v>21</v>
      </c>
      <c r="BC1160">
        <v>16</v>
      </c>
      <c r="BD1160">
        <v>0</v>
      </c>
      <c r="BE1160">
        <v>31</v>
      </c>
      <c r="BF1160">
        <v>6</v>
      </c>
      <c r="BG1160">
        <v>33</v>
      </c>
      <c r="BH1160">
        <v>3</v>
      </c>
    </row>
    <row r="1161" spans="3:60" x14ac:dyDescent="0.2">
      <c r="C1161" s="138">
        <v>22</v>
      </c>
      <c r="D1161" s="138">
        <v>4</v>
      </c>
      <c r="E1161" s="138">
        <v>18</v>
      </c>
      <c r="F1161" s="138">
        <v>5</v>
      </c>
      <c r="G1161" s="138">
        <v>8</v>
      </c>
      <c r="H1161" s="138">
        <v>30</v>
      </c>
      <c r="R1161">
        <v>21</v>
      </c>
      <c r="S1161">
        <v>17</v>
      </c>
      <c r="T1161">
        <v>14</v>
      </c>
      <c r="U1161">
        <v>26</v>
      </c>
      <c r="V1161">
        <v>0</v>
      </c>
      <c r="W1161">
        <v>0</v>
      </c>
      <c r="X1161">
        <v>10</v>
      </c>
      <c r="Y1161">
        <v>0</v>
      </c>
      <c r="Z1161">
        <v>8</v>
      </c>
      <c r="AA1161">
        <v>13</v>
      </c>
      <c r="AB1161">
        <v>11</v>
      </c>
      <c r="AC1161">
        <v>10</v>
      </c>
      <c r="AD1161">
        <v>11</v>
      </c>
      <c r="AE1161">
        <v>5</v>
      </c>
      <c r="AF1161">
        <v>0</v>
      </c>
      <c r="AG1161">
        <v>0</v>
      </c>
      <c r="AH1161">
        <v>13</v>
      </c>
      <c r="AI1161">
        <v>8</v>
      </c>
      <c r="AJ1161">
        <v>11</v>
      </c>
      <c r="AK1161">
        <v>14</v>
      </c>
      <c r="AL1161">
        <v>13</v>
      </c>
      <c r="AM1161">
        <v>12</v>
      </c>
      <c r="AN1161">
        <v>12</v>
      </c>
      <c r="AO1161">
        <v>15</v>
      </c>
      <c r="AP1161">
        <v>0</v>
      </c>
      <c r="AQ1161">
        <v>0</v>
      </c>
      <c r="AR1161">
        <v>17</v>
      </c>
      <c r="AS1161">
        <v>25</v>
      </c>
      <c r="AT1161">
        <v>21</v>
      </c>
      <c r="AU1161">
        <v>15</v>
      </c>
      <c r="AV1161">
        <v>21</v>
      </c>
      <c r="AW1161">
        <v>18</v>
      </c>
      <c r="AX1161">
        <v>26</v>
      </c>
      <c r="AY1161">
        <v>20</v>
      </c>
      <c r="AZ1161">
        <v>0</v>
      </c>
      <c r="BA1161">
        <v>0</v>
      </c>
      <c r="BB1161">
        <v>24</v>
      </c>
      <c r="BC1161">
        <v>11</v>
      </c>
      <c r="BD1161">
        <v>0</v>
      </c>
      <c r="BE1161">
        <v>22</v>
      </c>
      <c r="BF1161">
        <v>4</v>
      </c>
      <c r="BG1161">
        <v>18</v>
      </c>
      <c r="BH1161">
        <v>5</v>
      </c>
    </row>
    <row r="1162" spans="3:60" x14ac:dyDescent="0.2">
      <c r="C1162" s="138">
        <v>23</v>
      </c>
      <c r="D1162" s="138">
        <v>5</v>
      </c>
      <c r="E1162" s="138">
        <v>23</v>
      </c>
      <c r="F1162" s="138">
        <v>5</v>
      </c>
      <c r="G1162" s="138">
        <v>10</v>
      </c>
      <c r="H1162" s="138">
        <v>27</v>
      </c>
      <c r="R1162">
        <v>21</v>
      </c>
      <c r="S1162">
        <v>25</v>
      </c>
      <c r="T1162">
        <v>23</v>
      </c>
      <c r="U1162">
        <v>10</v>
      </c>
      <c r="V1162">
        <v>0</v>
      </c>
      <c r="W1162">
        <v>0</v>
      </c>
      <c r="X1162">
        <v>7</v>
      </c>
      <c r="Y1162">
        <v>4</v>
      </c>
      <c r="Z1162">
        <v>10</v>
      </c>
      <c r="AA1162">
        <v>9</v>
      </c>
      <c r="AB1162">
        <v>6</v>
      </c>
      <c r="AC1162">
        <v>9</v>
      </c>
      <c r="AD1162">
        <v>10</v>
      </c>
      <c r="AE1162">
        <v>8</v>
      </c>
      <c r="AF1162">
        <v>0</v>
      </c>
      <c r="AG1162">
        <v>0</v>
      </c>
      <c r="AH1162">
        <v>5</v>
      </c>
      <c r="AI1162">
        <v>12</v>
      </c>
      <c r="AJ1162">
        <v>10</v>
      </c>
      <c r="AK1162">
        <v>8</v>
      </c>
      <c r="AL1162">
        <v>14</v>
      </c>
      <c r="AM1162">
        <v>10</v>
      </c>
      <c r="AN1162">
        <v>8</v>
      </c>
      <c r="AO1162">
        <v>7</v>
      </c>
      <c r="AP1162">
        <v>0</v>
      </c>
      <c r="AQ1162">
        <v>0</v>
      </c>
      <c r="AR1162">
        <v>20</v>
      </c>
      <c r="AS1162">
        <v>33</v>
      </c>
      <c r="AT1162">
        <v>31</v>
      </c>
      <c r="AU1162">
        <v>25</v>
      </c>
      <c r="AV1162">
        <v>22</v>
      </c>
      <c r="AW1162">
        <v>23</v>
      </c>
      <c r="AX1162">
        <v>26</v>
      </c>
      <c r="AY1162">
        <v>32</v>
      </c>
      <c r="AZ1162">
        <v>0</v>
      </c>
      <c r="BA1162">
        <v>0</v>
      </c>
      <c r="BB1162">
        <v>21</v>
      </c>
      <c r="BC1162">
        <v>9</v>
      </c>
      <c r="BD1162">
        <v>0</v>
      </c>
      <c r="BE1162">
        <v>23</v>
      </c>
      <c r="BF1162">
        <v>5</v>
      </c>
      <c r="BG1162">
        <v>23</v>
      </c>
      <c r="BH1162">
        <v>5</v>
      </c>
    </row>
    <row r="1163" spans="3:60" x14ac:dyDescent="0.2">
      <c r="C1163" s="138">
        <v>28</v>
      </c>
      <c r="D1163" s="138">
        <v>11</v>
      </c>
      <c r="E1163" s="138">
        <v>26</v>
      </c>
      <c r="F1163" s="138">
        <v>6</v>
      </c>
      <c r="G1163" s="138">
        <v>12</v>
      </c>
      <c r="H1163" s="138">
        <v>31</v>
      </c>
      <c r="R1163">
        <v>21</v>
      </c>
      <c r="S1163">
        <v>17</v>
      </c>
      <c r="T1163">
        <v>13</v>
      </c>
      <c r="U1163">
        <v>19</v>
      </c>
      <c r="V1163">
        <v>0</v>
      </c>
      <c r="W1163">
        <v>0</v>
      </c>
      <c r="X1163">
        <v>9</v>
      </c>
      <c r="Y1163">
        <v>10</v>
      </c>
      <c r="Z1163">
        <v>7</v>
      </c>
      <c r="AA1163">
        <v>10</v>
      </c>
      <c r="AB1163">
        <v>7</v>
      </c>
      <c r="AC1163">
        <v>8</v>
      </c>
      <c r="AD1163">
        <v>8</v>
      </c>
      <c r="AE1163">
        <v>6</v>
      </c>
      <c r="AF1163">
        <v>0</v>
      </c>
      <c r="AG1163">
        <v>0</v>
      </c>
      <c r="AH1163">
        <v>7</v>
      </c>
      <c r="AI1163">
        <v>11</v>
      </c>
      <c r="AJ1163">
        <v>13</v>
      </c>
      <c r="AK1163">
        <v>10</v>
      </c>
      <c r="AL1163">
        <v>11</v>
      </c>
      <c r="AM1163">
        <v>9</v>
      </c>
      <c r="AN1163">
        <v>11</v>
      </c>
      <c r="AO1163">
        <v>12</v>
      </c>
      <c r="AP1163">
        <v>0</v>
      </c>
      <c r="AQ1163">
        <v>0</v>
      </c>
      <c r="AR1163">
        <v>29</v>
      </c>
      <c r="AS1163">
        <v>30</v>
      </c>
      <c r="AT1163">
        <v>20</v>
      </c>
      <c r="AU1163">
        <v>29</v>
      </c>
      <c r="AV1163">
        <v>17</v>
      </c>
      <c r="AW1163">
        <v>26</v>
      </c>
      <c r="AX1163">
        <v>21</v>
      </c>
      <c r="AY1163">
        <v>23</v>
      </c>
      <c r="AZ1163">
        <v>0</v>
      </c>
      <c r="BA1163">
        <v>0</v>
      </c>
      <c r="BB1163">
        <v>18</v>
      </c>
      <c r="BC1163">
        <v>10</v>
      </c>
      <c r="BD1163">
        <v>0</v>
      </c>
      <c r="BE1163">
        <v>28</v>
      </c>
      <c r="BF1163">
        <v>11</v>
      </c>
      <c r="BG1163">
        <v>26</v>
      </c>
      <c r="BH1163">
        <v>6</v>
      </c>
    </row>
    <row r="1164" spans="3:60" x14ac:dyDescent="0.2">
      <c r="C1164" s="138">
        <v>28</v>
      </c>
      <c r="D1164" s="138">
        <v>1</v>
      </c>
      <c r="E1164" s="138">
        <v>32</v>
      </c>
      <c r="F1164" s="138">
        <v>6</v>
      </c>
      <c r="G1164" s="138">
        <v>8</v>
      </c>
      <c r="H1164" s="138">
        <v>34</v>
      </c>
      <c r="R1164">
        <v>21</v>
      </c>
      <c r="S1164">
        <v>22</v>
      </c>
      <c r="T1164">
        <v>15</v>
      </c>
      <c r="U1164">
        <v>21</v>
      </c>
      <c r="V1164">
        <v>0</v>
      </c>
      <c r="W1164">
        <v>0</v>
      </c>
      <c r="X1164">
        <v>5</v>
      </c>
      <c r="Y1164">
        <v>12</v>
      </c>
      <c r="Z1164">
        <v>9</v>
      </c>
      <c r="AA1164">
        <v>8</v>
      </c>
      <c r="AB1164">
        <v>8</v>
      </c>
      <c r="AC1164">
        <v>11</v>
      </c>
      <c r="AD1164">
        <v>12</v>
      </c>
      <c r="AE1164">
        <v>8</v>
      </c>
      <c r="AF1164">
        <v>0</v>
      </c>
      <c r="AG1164">
        <v>0</v>
      </c>
      <c r="AH1164">
        <v>5</v>
      </c>
      <c r="AI1164">
        <v>8</v>
      </c>
      <c r="AJ1164">
        <v>6</v>
      </c>
      <c r="AK1164">
        <v>8</v>
      </c>
      <c r="AL1164">
        <v>8</v>
      </c>
      <c r="AM1164">
        <v>11</v>
      </c>
      <c r="AN1164">
        <v>9</v>
      </c>
      <c r="AO1164">
        <v>7</v>
      </c>
      <c r="AP1164">
        <v>0</v>
      </c>
      <c r="AQ1164">
        <v>0</v>
      </c>
      <c r="AR1164">
        <v>25</v>
      </c>
      <c r="AS1164">
        <v>28</v>
      </c>
      <c r="AT1164">
        <v>23</v>
      </c>
      <c r="AU1164">
        <v>30</v>
      </c>
      <c r="AV1164">
        <v>18</v>
      </c>
      <c r="AW1164">
        <v>21</v>
      </c>
      <c r="AX1164">
        <v>22</v>
      </c>
      <c r="AY1164">
        <v>17</v>
      </c>
      <c r="AZ1164">
        <v>0</v>
      </c>
      <c r="BA1164">
        <v>0</v>
      </c>
      <c r="BB1164">
        <v>18</v>
      </c>
      <c r="BC1164">
        <v>13</v>
      </c>
      <c r="BD1164">
        <v>0</v>
      </c>
      <c r="BE1164">
        <v>28</v>
      </c>
      <c r="BF1164">
        <v>1</v>
      </c>
      <c r="BG1164">
        <v>32</v>
      </c>
      <c r="BH1164">
        <v>6</v>
      </c>
    </row>
    <row r="1165" spans="3:60" x14ac:dyDescent="0.2">
      <c r="C1165" s="138">
        <v>27</v>
      </c>
      <c r="D1165" s="138">
        <v>10</v>
      </c>
      <c r="E1165" s="138">
        <v>29</v>
      </c>
      <c r="F1165" s="138">
        <v>10</v>
      </c>
      <c r="G1165" s="138">
        <v>16</v>
      </c>
      <c r="H1165" s="138">
        <v>24</v>
      </c>
      <c r="R1165">
        <v>26</v>
      </c>
      <c r="S1165">
        <v>16</v>
      </c>
      <c r="T1165">
        <v>23</v>
      </c>
      <c r="U1165">
        <v>23</v>
      </c>
      <c r="V1165">
        <v>0</v>
      </c>
      <c r="W1165">
        <v>0</v>
      </c>
      <c r="X1165">
        <v>8</v>
      </c>
      <c r="Y1165">
        <v>5</v>
      </c>
      <c r="Z1165">
        <v>12</v>
      </c>
      <c r="AA1165">
        <v>13</v>
      </c>
      <c r="AB1165">
        <v>13</v>
      </c>
      <c r="AC1165">
        <v>19</v>
      </c>
      <c r="AD1165">
        <v>8</v>
      </c>
      <c r="AE1165">
        <v>11</v>
      </c>
      <c r="AF1165">
        <v>0</v>
      </c>
      <c r="AG1165">
        <v>0</v>
      </c>
      <c r="AH1165">
        <v>7</v>
      </c>
      <c r="AI1165">
        <v>15</v>
      </c>
      <c r="AJ1165">
        <v>11</v>
      </c>
      <c r="AK1165">
        <v>8</v>
      </c>
      <c r="AL1165">
        <v>15</v>
      </c>
      <c r="AM1165">
        <v>10</v>
      </c>
      <c r="AN1165">
        <v>10</v>
      </c>
      <c r="AO1165">
        <v>11</v>
      </c>
      <c r="AP1165">
        <v>0</v>
      </c>
      <c r="AQ1165">
        <v>0</v>
      </c>
      <c r="AR1165">
        <v>25</v>
      </c>
      <c r="AS1165">
        <v>32</v>
      </c>
      <c r="AT1165">
        <v>20</v>
      </c>
      <c r="AU1165">
        <v>19</v>
      </c>
      <c r="AV1165">
        <v>19</v>
      </c>
      <c r="AW1165">
        <v>30</v>
      </c>
      <c r="AX1165">
        <v>27</v>
      </c>
      <c r="AY1165">
        <v>21</v>
      </c>
      <c r="AZ1165">
        <v>0</v>
      </c>
      <c r="BA1165">
        <v>0</v>
      </c>
      <c r="BB1165">
        <v>22</v>
      </c>
      <c r="BC1165">
        <v>11</v>
      </c>
      <c r="BD1165">
        <v>0</v>
      </c>
      <c r="BE1165">
        <v>27</v>
      </c>
      <c r="BF1165">
        <v>10</v>
      </c>
      <c r="BG1165">
        <v>29</v>
      </c>
      <c r="BH1165">
        <v>10</v>
      </c>
    </row>
    <row r="1166" spans="3:60" x14ac:dyDescent="0.2">
      <c r="C1166" s="138">
        <v>26</v>
      </c>
      <c r="D1166" s="138">
        <v>4</v>
      </c>
      <c r="E1166" s="138">
        <v>21</v>
      </c>
      <c r="F1166" s="138">
        <v>6</v>
      </c>
      <c r="G1166" s="138">
        <v>13</v>
      </c>
      <c r="H1166" s="138">
        <v>35</v>
      </c>
      <c r="R1166">
        <v>25</v>
      </c>
      <c r="S1166">
        <v>22</v>
      </c>
      <c r="T1166">
        <v>20</v>
      </c>
      <c r="U1166">
        <v>33</v>
      </c>
      <c r="V1166">
        <v>0</v>
      </c>
      <c r="W1166">
        <v>0</v>
      </c>
      <c r="X1166">
        <v>10</v>
      </c>
      <c r="Y1166">
        <v>13</v>
      </c>
      <c r="Z1166">
        <v>12</v>
      </c>
      <c r="AA1166">
        <v>12</v>
      </c>
      <c r="AB1166">
        <v>13</v>
      </c>
      <c r="AC1166">
        <v>9</v>
      </c>
      <c r="AD1166">
        <v>10</v>
      </c>
      <c r="AE1166">
        <v>6</v>
      </c>
      <c r="AF1166">
        <v>0</v>
      </c>
      <c r="AG1166">
        <v>0</v>
      </c>
      <c r="AH1166">
        <v>7</v>
      </c>
      <c r="AI1166">
        <v>10</v>
      </c>
      <c r="AJ1166">
        <v>12</v>
      </c>
      <c r="AK1166">
        <v>4</v>
      </c>
      <c r="AL1166">
        <v>14</v>
      </c>
      <c r="AM1166">
        <v>4</v>
      </c>
      <c r="AN1166">
        <v>15</v>
      </c>
      <c r="AO1166">
        <v>7</v>
      </c>
      <c r="AP1166">
        <v>0</v>
      </c>
      <c r="AQ1166">
        <v>0</v>
      </c>
      <c r="AR1166">
        <v>23</v>
      </c>
      <c r="AS1166">
        <v>17</v>
      </c>
      <c r="AT1166">
        <v>21</v>
      </c>
      <c r="AU1166">
        <v>15</v>
      </c>
      <c r="AV1166">
        <v>33</v>
      </c>
      <c r="AW1166">
        <v>40</v>
      </c>
      <c r="AX1166">
        <v>25</v>
      </c>
      <c r="AY1166">
        <v>31</v>
      </c>
      <c r="AZ1166">
        <v>0</v>
      </c>
      <c r="BA1166">
        <v>0</v>
      </c>
      <c r="BB1166">
        <v>17</v>
      </c>
      <c r="BC1166">
        <v>14</v>
      </c>
      <c r="BD1166">
        <v>0</v>
      </c>
      <c r="BE1166">
        <v>26</v>
      </c>
      <c r="BF1166">
        <v>4</v>
      </c>
      <c r="BG1166">
        <v>21</v>
      </c>
      <c r="BH1166">
        <v>6</v>
      </c>
    </row>
    <row r="1167" spans="3:60" x14ac:dyDescent="0.2">
      <c r="C1167" s="138">
        <v>21</v>
      </c>
      <c r="D1167" s="138">
        <v>9</v>
      </c>
      <c r="E1167" s="138">
        <v>20</v>
      </c>
      <c r="F1167" s="138">
        <v>6</v>
      </c>
      <c r="G1167" s="138">
        <v>10</v>
      </c>
      <c r="H1167" s="138">
        <v>30</v>
      </c>
      <c r="R1167">
        <v>21</v>
      </c>
      <c r="S1167">
        <v>26</v>
      </c>
      <c r="T1167">
        <v>15</v>
      </c>
      <c r="U1167">
        <v>17</v>
      </c>
      <c r="V1167">
        <v>0</v>
      </c>
      <c r="W1167">
        <v>0</v>
      </c>
      <c r="X1167">
        <v>11</v>
      </c>
      <c r="Y1167">
        <v>8</v>
      </c>
      <c r="Z1167">
        <v>10</v>
      </c>
      <c r="AA1167">
        <v>14</v>
      </c>
      <c r="AB1167">
        <v>9</v>
      </c>
      <c r="AC1167">
        <v>15</v>
      </c>
      <c r="AD1167">
        <v>8</v>
      </c>
      <c r="AE1167">
        <v>6</v>
      </c>
      <c r="AF1167">
        <v>0</v>
      </c>
      <c r="AG1167">
        <v>0</v>
      </c>
      <c r="AH1167">
        <v>9</v>
      </c>
      <c r="AI1167">
        <v>8</v>
      </c>
      <c r="AJ1167">
        <v>5</v>
      </c>
      <c r="AK1167">
        <v>11</v>
      </c>
      <c r="AL1167">
        <v>12</v>
      </c>
      <c r="AM1167">
        <v>5</v>
      </c>
      <c r="AN1167">
        <v>10</v>
      </c>
      <c r="AO1167">
        <v>7</v>
      </c>
      <c r="AP1167">
        <v>0</v>
      </c>
      <c r="AQ1167">
        <v>0</v>
      </c>
      <c r="AR1167">
        <v>32</v>
      </c>
      <c r="AS1167">
        <v>23</v>
      </c>
      <c r="AT1167">
        <v>25</v>
      </c>
      <c r="AU1167">
        <v>34</v>
      </c>
      <c r="AV1167">
        <v>25</v>
      </c>
      <c r="AW1167">
        <v>27</v>
      </c>
      <c r="AX1167">
        <v>21</v>
      </c>
      <c r="AY1167">
        <v>27</v>
      </c>
      <c r="AZ1167">
        <v>0</v>
      </c>
      <c r="BA1167">
        <v>0</v>
      </c>
      <c r="BB1167">
        <v>17</v>
      </c>
      <c r="BC1167">
        <v>13</v>
      </c>
      <c r="BD1167">
        <v>0</v>
      </c>
      <c r="BE1167">
        <v>21</v>
      </c>
      <c r="BF1167">
        <v>9</v>
      </c>
      <c r="BG1167">
        <v>20</v>
      </c>
      <c r="BH1167">
        <v>6</v>
      </c>
    </row>
    <row r="1168" spans="3:60" x14ac:dyDescent="0.2">
      <c r="C1168" s="138">
        <v>20</v>
      </c>
      <c r="D1168" s="138">
        <v>7</v>
      </c>
      <c r="E1168" s="138">
        <v>23</v>
      </c>
      <c r="F1168" s="138">
        <v>7</v>
      </c>
      <c r="G1168" s="138">
        <v>13</v>
      </c>
      <c r="H1168" s="138">
        <v>37</v>
      </c>
      <c r="R1168">
        <v>24</v>
      </c>
      <c r="S1168">
        <v>23</v>
      </c>
      <c r="T1168">
        <v>23</v>
      </c>
      <c r="U1168">
        <v>26</v>
      </c>
      <c r="V1168">
        <v>0</v>
      </c>
      <c r="W1168">
        <v>0</v>
      </c>
      <c r="X1168">
        <v>7</v>
      </c>
      <c r="Y1168">
        <v>14</v>
      </c>
      <c r="Z1168">
        <v>15</v>
      </c>
      <c r="AA1168">
        <v>9</v>
      </c>
      <c r="AB1168">
        <v>5</v>
      </c>
      <c r="AC1168">
        <v>8</v>
      </c>
      <c r="AD1168">
        <v>11</v>
      </c>
      <c r="AE1168">
        <v>7</v>
      </c>
      <c r="AF1168">
        <v>0</v>
      </c>
      <c r="AG1168">
        <v>0</v>
      </c>
      <c r="AH1168">
        <v>8</v>
      </c>
      <c r="AI1168">
        <v>10</v>
      </c>
      <c r="AJ1168">
        <v>13</v>
      </c>
      <c r="AK1168">
        <v>10</v>
      </c>
      <c r="AL1168">
        <v>11</v>
      </c>
      <c r="AM1168">
        <v>3</v>
      </c>
      <c r="AN1168">
        <v>8</v>
      </c>
      <c r="AO1168">
        <v>6</v>
      </c>
      <c r="AP1168">
        <v>0</v>
      </c>
      <c r="AQ1168">
        <v>0</v>
      </c>
      <c r="AR1168">
        <v>44</v>
      </c>
      <c r="AS1168">
        <v>13</v>
      </c>
      <c r="AT1168">
        <v>27</v>
      </c>
      <c r="AU1168">
        <v>26</v>
      </c>
      <c r="AV1168">
        <v>22</v>
      </c>
      <c r="AW1168">
        <v>22</v>
      </c>
      <c r="AX1168">
        <v>17</v>
      </c>
      <c r="AY1168">
        <v>17</v>
      </c>
      <c r="AZ1168">
        <v>0</v>
      </c>
      <c r="BA1168">
        <v>0</v>
      </c>
      <c r="BB1168">
        <v>15</v>
      </c>
      <c r="BC1168">
        <v>8</v>
      </c>
      <c r="BD1168">
        <v>0</v>
      </c>
      <c r="BE1168">
        <v>20</v>
      </c>
      <c r="BF1168">
        <v>7</v>
      </c>
      <c r="BG1168">
        <v>23</v>
      </c>
      <c r="BH1168">
        <v>7</v>
      </c>
    </row>
    <row r="1169" spans="3:60" x14ac:dyDescent="0.2">
      <c r="C1169" s="138">
        <v>25</v>
      </c>
      <c r="D1169" s="138">
        <v>5</v>
      </c>
      <c r="E1169" s="138">
        <v>19</v>
      </c>
      <c r="F1169" s="138">
        <v>8</v>
      </c>
      <c r="G1169" s="138">
        <v>16</v>
      </c>
      <c r="H1169" s="138">
        <v>32</v>
      </c>
      <c r="R1169">
        <v>23</v>
      </c>
      <c r="S1169">
        <v>27</v>
      </c>
      <c r="T1169">
        <v>18</v>
      </c>
      <c r="U1169">
        <v>30</v>
      </c>
      <c r="V1169">
        <v>0</v>
      </c>
      <c r="W1169">
        <v>0</v>
      </c>
      <c r="X1169">
        <v>14</v>
      </c>
      <c r="Y1169">
        <v>7</v>
      </c>
      <c r="Z1169">
        <v>14</v>
      </c>
      <c r="AA1169">
        <v>5</v>
      </c>
      <c r="AB1169">
        <v>13</v>
      </c>
      <c r="AC1169">
        <v>9</v>
      </c>
      <c r="AD1169">
        <v>18</v>
      </c>
      <c r="AE1169">
        <v>10</v>
      </c>
      <c r="AF1169">
        <v>0</v>
      </c>
      <c r="AG1169">
        <v>0</v>
      </c>
      <c r="AH1169">
        <v>8</v>
      </c>
      <c r="AI1169">
        <v>2</v>
      </c>
      <c r="AJ1169">
        <v>9</v>
      </c>
      <c r="AK1169">
        <v>9</v>
      </c>
      <c r="AL1169">
        <v>6</v>
      </c>
      <c r="AM1169">
        <v>9</v>
      </c>
      <c r="AN1169">
        <v>12</v>
      </c>
      <c r="AO1169">
        <v>7</v>
      </c>
      <c r="AP1169">
        <v>0</v>
      </c>
      <c r="AQ1169">
        <v>0</v>
      </c>
      <c r="AR1169">
        <v>34</v>
      </c>
      <c r="AS1169">
        <v>27</v>
      </c>
      <c r="AT1169">
        <v>17</v>
      </c>
      <c r="AU1169">
        <v>24</v>
      </c>
      <c r="AV1169">
        <v>21</v>
      </c>
      <c r="AW1169">
        <v>24</v>
      </c>
      <c r="AX1169">
        <v>21</v>
      </c>
      <c r="AY1169">
        <v>18</v>
      </c>
      <c r="AZ1169">
        <v>0</v>
      </c>
      <c r="BA1169">
        <v>0</v>
      </c>
      <c r="BB1169">
        <v>21</v>
      </c>
      <c r="BC1169">
        <v>6</v>
      </c>
      <c r="BD1169">
        <v>0</v>
      </c>
      <c r="BE1169">
        <v>25</v>
      </c>
      <c r="BF1169">
        <v>5</v>
      </c>
      <c r="BG1169">
        <v>19</v>
      </c>
      <c r="BH1169">
        <v>8</v>
      </c>
    </row>
    <row r="1170" spans="3:60" x14ac:dyDescent="0.2">
      <c r="C1170" s="138">
        <v>16</v>
      </c>
      <c r="D1170" s="138">
        <v>9</v>
      </c>
      <c r="E1170" s="138">
        <v>25</v>
      </c>
      <c r="F1170" s="138">
        <v>7</v>
      </c>
      <c r="G1170" s="138">
        <v>16</v>
      </c>
      <c r="H1170" s="138">
        <v>29</v>
      </c>
      <c r="R1170">
        <v>26</v>
      </c>
      <c r="S1170">
        <v>22</v>
      </c>
      <c r="T1170">
        <v>26</v>
      </c>
      <c r="U1170">
        <v>26</v>
      </c>
      <c r="V1170">
        <v>0</v>
      </c>
      <c r="W1170">
        <v>0</v>
      </c>
      <c r="X1170">
        <v>11</v>
      </c>
      <c r="Y1170">
        <v>15</v>
      </c>
      <c r="Z1170">
        <v>17</v>
      </c>
      <c r="AA1170">
        <v>16</v>
      </c>
      <c r="AB1170">
        <v>12</v>
      </c>
      <c r="AC1170">
        <v>12</v>
      </c>
      <c r="AD1170">
        <v>13</v>
      </c>
      <c r="AE1170">
        <v>15</v>
      </c>
      <c r="AF1170">
        <v>0</v>
      </c>
      <c r="AG1170">
        <v>0</v>
      </c>
      <c r="AH1170">
        <v>4</v>
      </c>
      <c r="AI1170">
        <v>6</v>
      </c>
      <c r="AJ1170">
        <v>9</v>
      </c>
      <c r="AK1170">
        <v>5</v>
      </c>
      <c r="AL1170">
        <v>4</v>
      </c>
      <c r="AM1170">
        <v>8</v>
      </c>
      <c r="AN1170">
        <v>7</v>
      </c>
      <c r="AO1170">
        <v>7</v>
      </c>
      <c r="AP1170">
        <v>0</v>
      </c>
      <c r="AQ1170">
        <v>0</v>
      </c>
      <c r="AR1170">
        <v>29</v>
      </c>
      <c r="AS1170">
        <v>34</v>
      </c>
      <c r="AT1170">
        <v>30</v>
      </c>
      <c r="AU1170">
        <v>26</v>
      </c>
      <c r="AV1170">
        <v>26</v>
      </c>
      <c r="AW1170">
        <v>26</v>
      </c>
      <c r="AX1170">
        <v>20</v>
      </c>
      <c r="AY1170">
        <v>17</v>
      </c>
      <c r="AZ1170">
        <v>0</v>
      </c>
      <c r="BA1170">
        <v>0</v>
      </c>
      <c r="BB1170">
        <v>18</v>
      </c>
      <c r="BC1170">
        <v>13</v>
      </c>
      <c r="BD1170">
        <v>0</v>
      </c>
      <c r="BE1170">
        <v>16</v>
      </c>
      <c r="BF1170">
        <v>9</v>
      </c>
      <c r="BG1170">
        <v>25</v>
      </c>
      <c r="BH1170">
        <v>7</v>
      </c>
    </row>
    <row r="1171" spans="3:60" x14ac:dyDescent="0.2">
      <c r="C1171" s="138">
        <v>21</v>
      </c>
      <c r="D1171" s="138">
        <v>16</v>
      </c>
      <c r="E1171" s="138">
        <v>21</v>
      </c>
      <c r="F1171" s="138">
        <v>8</v>
      </c>
      <c r="G1171" s="138">
        <v>20</v>
      </c>
      <c r="H1171" s="138">
        <v>29</v>
      </c>
      <c r="R1171">
        <v>21</v>
      </c>
      <c r="S1171">
        <v>18</v>
      </c>
      <c r="T1171">
        <v>16</v>
      </c>
      <c r="U1171">
        <v>27</v>
      </c>
      <c r="V1171">
        <v>0</v>
      </c>
      <c r="W1171">
        <v>0</v>
      </c>
      <c r="X1171">
        <v>19</v>
      </c>
      <c r="Y1171">
        <v>12</v>
      </c>
      <c r="Z1171">
        <v>14</v>
      </c>
      <c r="AA1171">
        <v>15</v>
      </c>
      <c r="AB1171">
        <v>14</v>
      </c>
      <c r="AC1171">
        <v>12</v>
      </c>
      <c r="AD1171">
        <v>11</v>
      </c>
      <c r="AE1171">
        <v>11</v>
      </c>
      <c r="AF1171">
        <v>0</v>
      </c>
      <c r="AG1171">
        <v>0</v>
      </c>
      <c r="AH1171">
        <v>5</v>
      </c>
      <c r="AI1171">
        <v>7</v>
      </c>
      <c r="AJ1171">
        <v>13</v>
      </c>
      <c r="AK1171">
        <v>8</v>
      </c>
      <c r="AL1171">
        <v>6</v>
      </c>
      <c r="AM1171">
        <v>9</v>
      </c>
      <c r="AN1171">
        <v>11</v>
      </c>
      <c r="AO1171">
        <v>10</v>
      </c>
      <c r="AP1171">
        <v>0</v>
      </c>
      <c r="AQ1171">
        <v>0</v>
      </c>
      <c r="AR1171">
        <v>20</v>
      </c>
      <c r="AS1171">
        <v>33</v>
      </c>
      <c r="AT1171">
        <v>24</v>
      </c>
      <c r="AU1171">
        <v>32</v>
      </c>
      <c r="AV1171">
        <v>25</v>
      </c>
      <c r="AW1171">
        <v>29</v>
      </c>
      <c r="AX1171">
        <v>10</v>
      </c>
      <c r="AY1171">
        <v>18</v>
      </c>
      <c r="AZ1171">
        <v>0</v>
      </c>
      <c r="BA1171">
        <v>0</v>
      </c>
      <c r="BB1171">
        <v>22</v>
      </c>
      <c r="BC1171">
        <v>6</v>
      </c>
      <c r="BD1171">
        <v>0</v>
      </c>
      <c r="BE1171">
        <v>21</v>
      </c>
      <c r="BF1171">
        <v>16</v>
      </c>
      <c r="BG1171">
        <v>21</v>
      </c>
      <c r="BH1171">
        <v>8</v>
      </c>
    </row>
    <row r="1172" spans="3:60" x14ac:dyDescent="0.2">
      <c r="C1172" s="138">
        <v>22</v>
      </c>
      <c r="D1172" s="138">
        <v>11</v>
      </c>
      <c r="E1172" s="138">
        <v>19</v>
      </c>
      <c r="F1172" s="138">
        <v>13</v>
      </c>
      <c r="G1172" s="138">
        <v>13</v>
      </c>
      <c r="H1172" s="138">
        <v>28</v>
      </c>
      <c r="R1172">
        <v>19</v>
      </c>
      <c r="S1172">
        <v>26</v>
      </c>
      <c r="T1172">
        <v>19</v>
      </c>
      <c r="U1172">
        <v>20</v>
      </c>
      <c r="V1172">
        <v>0</v>
      </c>
      <c r="W1172">
        <v>0</v>
      </c>
      <c r="X1172">
        <v>11</v>
      </c>
      <c r="Y1172">
        <v>11</v>
      </c>
      <c r="Z1172">
        <v>16</v>
      </c>
      <c r="AA1172">
        <v>16</v>
      </c>
      <c r="AB1172">
        <v>9</v>
      </c>
      <c r="AC1172">
        <v>15</v>
      </c>
      <c r="AD1172">
        <v>8</v>
      </c>
      <c r="AE1172">
        <v>8</v>
      </c>
      <c r="AF1172">
        <v>0</v>
      </c>
      <c r="AG1172">
        <v>0</v>
      </c>
      <c r="AH1172">
        <v>5</v>
      </c>
      <c r="AI1172">
        <v>3</v>
      </c>
      <c r="AJ1172">
        <v>4</v>
      </c>
      <c r="AK1172">
        <v>7</v>
      </c>
      <c r="AL1172">
        <v>5</v>
      </c>
      <c r="AM1172">
        <v>3</v>
      </c>
      <c r="AN1172">
        <v>5</v>
      </c>
      <c r="AO1172">
        <v>9</v>
      </c>
      <c r="AP1172">
        <v>0</v>
      </c>
      <c r="AQ1172">
        <v>0</v>
      </c>
      <c r="AR1172">
        <v>23</v>
      </c>
      <c r="AS1172">
        <v>20</v>
      </c>
      <c r="AT1172">
        <v>28</v>
      </c>
      <c r="AU1172">
        <v>26</v>
      </c>
      <c r="AV1172">
        <v>17</v>
      </c>
      <c r="AW1172">
        <v>22</v>
      </c>
      <c r="AX1172">
        <v>17</v>
      </c>
      <c r="AY1172">
        <v>20</v>
      </c>
      <c r="AZ1172">
        <v>0</v>
      </c>
      <c r="BA1172">
        <v>0</v>
      </c>
      <c r="BB1172">
        <v>23</v>
      </c>
      <c r="BC1172">
        <v>13</v>
      </c>
      <c r="BD1172">
        <v>0</v>
      </c>
      <c r="BE1172">
        <v>22</v>
      </c>
      <c r="BF1172">
        <v>11</v>
      </c>
      <c r="BG1172">
        <v>19</v>
      </c>
      <c r="BH1172">
        <v>13</v>
      </c>
    </row>
    <row r="1173" spans="3:60" x14ac:dyDescent="0.2">
      <c r="C1173" s="138">
        <v>24</v>
      </c>
      <c r="D1173" s="138">
        <v>15</v>
      </c>
      <c r="E1173" s="138">
        <v>36</v>
      </c>
      <c r="F1173" s="138">
        <v>15</v>
      </c>
      <c r="G1173" s="138">
        <v>24</v>
      </c>
      <c r="H1173" s="138">
        <v>21</v>
      </c>
      <c r="R1173">
        <v>21</v>
      </c>
      <c r="S1173">
        <v>24</v>
      </c>
      <c r="T1173">
        <v>15</v>
      </c>
      <c r="U1173">
        <v>29</v>
      </c>
      <c r="V1173">
        <v>0</v>
      </c>
      <c r="W1173">
        <v>0</v>
      </c>
      <c r="X1173">
        <v>15</v>
      </c>
      <c r="Y1173">
        <v>8</v>
      </c>
      <c r="Z1173">
        <v>15</v>
      </c>
      <c r="AA1173">
        <v>20</v>
      </c>
      <c r="AB1173">
        <v>10</v>
      </c>
      <c r="AC1173">
        <v>10</v>
      </c>
      <c r="AD1173">
        <v>13</v>
      </c>
      <c r="AE1173">
        <v>18</v>
      </c>
      <c r="AF1173">
        <v>0</v>
      </c>
      <c r="AG1173">
        <v>0</v>
      </c>
      <c r="AH1173">
        <v>5</v>
      </c>
      <c r="AI1173">
        <v>4</v>
      </c>
      <c r="AJ1173">
        <v>9</v>
      </c>
      <c r="AK1173">
        <v>1</v>
      </c>
      <c r="AL1173">
        <v>6</v>
      </c>
      <c r="AM1173">
        <v>7</v>
      </c>
      <c r="AN1173">
        <v>4</v>
      </c>
      <c r="AO1173">
        <v>1</v>
      </c>
      <c r="AP1173">
        <v>0</v>
      </c>
      <c r="AQ1173">
        <v>0</v>
      </c>
      <c r="AR1173">
        <v>27</v>
      </c>
      <c r="AS1173">
        <v>22</v>
      </c>
      <c r="AT1173">
        <v>19</v>
      </c>
      <c r="AU1173">
        <v>19</v>
      </c>
      <c r="AV1173">
        <v>26</v>
      </c>
      <c r="AW1173">
        <v>16</v>
      </c>
      <c r="AX1173">
        <v>15</v>
      </c>
      <c r="AY1173">
        <v>15</v>
      </c>
      <c r="AZ1173">
        <v>0</v>
      </c>
      <c r="BA1173">
        <v>0</v>
      </c>
      <c r="BB1173">
        <v>28</v>
      </c>
      <c r="BC1173">
        <v>12</v>
      </c>
      <c r="BD1173">
        <v>0</v>
      </c>
      <c r="BE1173">
        <v>24</v>
      </c>
      <c r="BF1173">
        <v>15</v>
      </c>
      <c r="BG1173">
        <v>36</v>
      </c>
      <c r="BH1173">
        <v>15</v>
      </c>
    </row>
    <row r="1174" spans="3:60" x14ac:dyDescent="0.2">
      <c r="C1174" s="138">
        <v>23</v>
      </c>
      <c r="D1174" s="138">
        <v>15</v>
      </c>
      <c r="E1174" s="138">
        <v>21</v>
      </c>
      <c r="F1174" s="138">
        <v>15</v>
      </c>
      <c r="G1174" s="138">
        <v>21</v>
      </c>
      <c r="H1174" s="138">
        <v>27</v>
      </c>
      <c r="R1174">
        <v>24</v>
      </c>
      <c r="S1174">
        <v>20</v>
      </c>
      <c r="T1174">
        <v>21</v>
      </c>
      <c r="U1174">
        <v>24</v>
      </c>
      <c r="V1174">
        <v>0</v>
      </c>
      <c r="W1174">
        <v>0</v>
      </c>
      <c r="X1174">
        <v>7</v>
      </c>
      <c r="Y1174">
        <v>15</v>
      </c>
      <c r="Z1174">
        <v>13</v>
      </c>
      <c r="AA1174">
        <v>12</v>
      </c>
      <c r="AB1174">
        <v>12</v>
      </c>
      <c r="AC1174">
        <v>13</v>
      </c>
      <c r="AD1174">
        <v>17</v>
      </c>
      <c r="AE1174">
        <v>16</v>
      </c>
      <c r="AF1174">
        <v>0</v>
      </c>
      <c r="AG1174">
        <v>0</v>
      </c>
      <c r="AH1174">
        <v>4</v>
      </c>
      <c r="AI1174">
        <v>3</v>
      </c>
      <c r="AJ1174">
        <v>7</v>
      </c>
      <c r="AK1174">
        <v>4</v>
      </c>
      <c r="AL1174">
        <v>9</v>
      </c>
      <c r="AM1174">
        <v>5</v>
      </c>
      <c r="AN1174">
        <v>9</v>
      </c>
      <c r="AO1174">
        <v>4</v>
      </c>
      <c r="AP1174">
        <v>0</v>
      </c>
      <c r="AQ1174">
        <v>0</v>
      </c>
      <c r="AR1174">
        <v>24</v>
      </c>
      <c r="AS1174">
        <v>26</v>
      </c>
      <c r="AT1174">
        <v>20</v>
      </c>
      <c r="AU1174">
        <v>21</v>
      </c>
      <c r="AV1174">
        <v>33</v>
      </c>
      <c r="AW1174">
        <v>21</v>
      </c>
      <c r="AX1174">
        <v>16</v>
      </c>
      <c r="AY1174">
        <v>12</v>
      </c>
      <c r="AZ1174">
        <v>0</v>
      </c>
      <c r="BA1174">
        <v>0</v>
      </c>
      <c r="BB1174">
        <v>18</v>
      </c>
      <c r="BC1174">
        <v>9</v>
      </c>
      <c r="BD1174">
        <v>0</v>
      </c>
      <c r="BE1174">
        <v>23</v>
      </c>
      <c r="BF1174">
        <v>15</v>
      </c>
      <c r="BG1174">
        <v>21</v>
      </c>
      <c r="BH1174">
        <v>15</v>
      </c>
    </row>
    <row r="1175" spans="3:60" x14ac:dyDescent="0.2">
      <c r="C1175" s="138">
        <v>23</v>
      </c>
      <c r="D1175" s="138">
        <v>18</v>
      </c>
      <c r="E1175" s="138">
        <v>19</v>
      </c>
      <c r="F1175" s="138">
        <v>16</v>
      </c>
      <c r="G1175" s="138">
        <v>30</v>
      </c>
      <c r="H1175" s="138">
        <v>17</v>
      </c>
      <c r="R1175">
        <v>26</v>
      </c>
      <c r="S1175">
        <v>21</v>
      </c>
      <c r="T1175">
        <v>29</v>
      </c>
      <c r="U1175">
        <v>21</v>
      </c>
      <c r="V1175">
        <v>0</v>
      </c>
      <c r="W1175">
        <v>0</v>
      </c>
      <c r="X1175">
        <v>10</v>
      </c>
      <c r="Y1175">
        <v>11</v>
      </c>
      <c r="Z1175">
        <v>11</v>
      </c>
      <c r="AA1175">
        <v>18</v>
      </c>
      <c r="AB1175">
        <v>9</v>
      </c>
      <c r="AC1175">
        <v>20</v>
      </c>
      <c r="AD1175">
        <v>11</v>
      </c>
      <c r="AE1175">
        <v>12</v>
      </c>
      <c r="AF1175">
        <v>0</v>
      </c>
      <c r="AG1175">
        <v>0</v>
      </c>
      <c r="AH1175">
        <v>3</v>
      </c>
      <c r="AI1175">
        <v>5</v>
      </c>
      <c r="AJ1175">
        <v>3</v>
      </c>
      <c r="AK1175">
        <v>10</v>
      </c>
      <c r="AL1175">
        <v>3</v>
      </c>
      <c r="AM1175">
        <v>3</v>
      </c>
      <c r="AN1175">
        <v>6</v>
      </c>
      <c r="AO1175">
        <v>8</v>
      </c>
      <c r="AP1175">
        <v>0</v>
      </c>
      <c r="AQ1175">
        <v>0</v>
      </c>
      <c r="AR1175">
        <v>24</v>
      </c>
      <c r="AS1175">
        <v>22</v>
      </c>
      <c r="AT1175">
        <v>20</v>
      </c>
      <c r="AU1175">
        <v>23</v>
      </c>
      <c r="AV1175">
        <v>21</v>
      </c>
      <c r="AW1175">
        <v>26</v>
      </c>
      <c r="AX1175">
        <v>17</v>
      </c>
      <c r="AY1175">
        <v>11</v>
      </c>
      <c r="AZ1175">
        <v>0</v>
      </c>
      <c r="BA1175">
        <v>0</v>
      </c>
      <c r="BB1175">
        <v>15</v>
      </c>
      <c r="BC1175">
        <v>7</v>
      </c>
      <c r="BD1175">
        <v>0</v>
      </c>
      <c r="BE1175">
        <v>23</v>
      </c>
      <c r="BF1175">
        <v>18</v>
      </c>
      <c r="BG1175">
        <v>19</v>
      </c>
      <c r="BH1175">
        <v>16</v>
      </c>
    </row>
    <row r="1176" spans="3:60" x14ac:dyDescent="0.2">
      <c r="C1176" s="138">
        <v>9</v>
      </c>
      <c r="D1176" s="138">
        <v>16</v>
      </c>
      <c r="E1176" s="138">
        <v>14</v>
      </c>
      <c r="F1176" s="138">
        <v>13</v>
      </c>
      <c r="G1176" s="138">
        <v>33</v>
      </c>
      <c r="H1176" s="138">
        <v>28</v>
      </c>
      <c r="R1176">
        <v>14</v>
      </c>
      <c r="S1176">
        <v>23</v>
      </c>
      <c r="T1176">
        <v>29</v>
      </c>
      <c r="U1176">
        <v>25</v>
      </c>
      <c r="V1176">
        <v>0</v>
      </c>
      <c r="W1176">
        <v>0</v>
      </c>
      <c r="X1176">
        <v>15</v>
      </c>
      <c r="Y1176">
        <v>24</v>
      </c>
      <c r="Z1176">
        <v>13</v>
      </c>
      <c r="AA1176">
        <v>16</v>
      </c>
      <c r="AB1176">
        <v>19</v>
      </c>
      <c r="AC1176">
        <v>18</v>
      </c>
      <c r="AD1176">
        <v>14</v>
      </c>
      <c r="AE1176">
        <v>12</v>
      </c>
      <c r="AF1176">
        <v>0</v>
      </c>
      <c r="AG1176">
        <v>0</v>
      </c>
      <c r="AH1176">
        <v>3</v>
      </c>
      <c r="AI1176">
        <v>6</v>
      </c>
      <c r="AJ1176">
        <v>4</v>
      </c>
      <c r="AK1176">
        <v>5</v>
      </c>
      <c r="AL1176">
        <v>4</v>
      </c>
      <c r="AM1176">
        <v>3</v>
      </c>
      <c r="AN1176">
        <v>5</v>
      </c>
      <c r="AO1176">
        <v>7</v>
      </c>
      <c r="AP1176">
        <v>0</v>
      </c>
      <c r="AQ1176">
        <v>0</v>
      </c>
      <c r="AR1176">
        <v>20</v>
      </c>
      <c r="AS1176">
        <v>27</v>
      </c>
      <c r="AT1176">
        <v>25</v>
      </c>
      <c r="AU1176">
        <v>24</v>
      </c>
      <c r="AV1176">
        <v>20</v>
      </c>
      <c r="AW1176">
        <v>34</v>
      </c>
      <c r="AX1176">
        <v>14</v>
      </c>
      <c r="AY1176">
        <v>6</v>
      </c>
      <c r="AZ1176">
        <v>0</v>
      </c>
      <c r="BA1176">
        <v>0</v>
      </c>
      <c r="BB1176">
        <v>22</v>
      </c>
      <c r="BC1176">
        <v>7</v>
      </c>
      <c r="BD1176">
        <v>0</v>
      </c>
      <c r="BE1176">
        <v>9</v>
      </c>
      <c r="BF1176">
        <v>16</v>
      </c>
      <c r="BG1176">
        <v>14</v>
      </c>
      <c r="BH1176">
        <v>13</v>
      </c>
    </row>
    <row r="1177" spans="3:60" x14ac:dyDescent="0.2">
      <c r="C1177" s="138">
        <v>19</v>
      </c>
      <c r="D1177" s="138">
        <v>20</v>
      </c>
      <c r="E1177" s="138">
        <v>13</v>
      </c>
      <c r="F1177" s="138">
        <v>20</v>
      </c>
      <c r="G1177" s="138">
        <v>22</v>
      </c>
      <c r="H1177" s="138">
        <v>22</v>
      </c>
      <c r="R1177">
        <v>26</v>
      </c>
      <c r="S1177">
        <v>31</v>
      </c>
      <c r="T1177">
        <v>39</v>
      </c>
      <c r="U1177">
        <v>25</v>
      </c>
      <c r="V1177">
        <v>0</v>
      </c>
      <c r="W1177">
        <v>0</v>
      </c>
      <c r="X1177">
        <v>30</v>
      </c>
      <c r="Y1177">
        <v>24</v>
      </c>
      <c r="Z1177">
        <v>18</v>
      </c>
      <c r="AA1177">
        <v>15</v>
      </c>
      <c r="AB1177">
        <v>16</v>
      </c>
      <c r="AC1177">
        <v>21</v>
      </c>
      <c r="AD1177">
        <v>19</v>
      </c>
      <c r="AE1177">
        <v>19</v>
      </c>
      <c r="AF1177">
        <v>0</v>
      </c>
      <c r="AG1177">
        <v>0</v>
      </c>
      <c r="AH1177">
        <v>5</v>
      </c>
      <c r="AI1177">
        <v>2</v>
      </c>
      <c r="AJ1177">
        <v>7</v>
      </c>
      <c r="AK1177">
        <v>4</v>
      </c>
      <c r="AL1177">
        <v>2</v>
      </c>
      <c r="AM1177">
        <v>5</v>
      </c>
      <c r="AN1177">
        <v>8</v>
      </c>
      <c r="AO1177">
        <v>1</v>
      </c>
      <c r="AP1177">
        <v>0</v>
      </c>
      <c r="AQ1177">
        <v>0</v>
      </c>
      <c r="AR1177">
        <v>20</v>
      </c>
      <c r="AS1177">
        <v>25</v>
      </c>
      <c r="AT1177">
        <v>17</v>
      </c>
      <c r="AU1177">
        <v>26</v>
      </c>
      <c r="AV1177">
        <v>24</v>
      </c>
      <c r="AW1177">
        <v>33</v>
      </c>
      <c r="AX1177">
        <v>6</v>
      </c>
      <c r="AY1177">
        <v>7</v>
      </c>
      <c r="AZ1177">
        <v>0</v>
      </c>
      <c r="BA1177">
        <v>0</v>
      </c>
      <c r="BB1177">
        <v>18</v>
      </c>
      <c r="BC1177">
        <v>4</v>
      </c>
      <c r="BD1177">
        <v>0</v>
      </c>
      <c r="BE1177">
        <v>19</v>
      </c>
      <c r="BF1177">
        <v>20</v>
      </c>
      <c r="BG1177">
        <v>13</v>
      </c>
      <c r="BH1177">
        <v>20</v>
      </c>
    </row>
    <row r="1178" spans="3:60" x14ac:dyDescent="0.2">
      <c r="C1178" s="138">
        <v>15</v>
      </c>
      <c r="D1178" s="138">
        <v>17</v>
      </c>
      <c r="E1178" s="138">
        <v>12</v>
      </c>
      <c r="F1178" s="138">
        <v>18</v>
      </c>
      <c r="G1178" s="138">
        <v>23</v>
      </c>
      <c r="H1178" s="138">
        <v>23</v>
      </c>
      <c r="R1178">
        <v>21</v>
      </c>
      <c r="S1178">
        <v>36</v>
      </c>
      <c r="T1178">
        <v>20</v>
      </c>
      <c r="U1178">
        <v>24</v>
      </c>
      <c r="V1178">
        <v>0</v>
      </c>
      <c r="W1178">
        <v>0</v>
      </c>
      <c r="X1178">
        <v>17</v>
      </c>
      <c r="Y1178">
        <v>17</v>
      </c>
      <c r="Z1178">
        <v>14</v>
      </c>
      <c r="AA1178">
        <v>18</v>
      </c>
      <c r="AB1178">
        <v>14</v>
      </c>
      <c r="AC1178">
        <v>17</v>
      </c>
      <c r="AD1178">
        <v>18</v>
      </c>
      <c r="AE1178">
        <v>20</v>
      </c>
      <c r="AF1178">
        <v>0</v>
      </c>
      <c r="AG1178">
        <v>0</v>
      </c>
      <c r="AH1178">
        <v>5</v>
      </c>
      <c r="AI1178">
        <v>1</v>
      </c>
      <c r="AJ1178">
        <v>8</v>
      </c>
      <c r="AK1178">
        <v>5</v>
      </c>
      <c r="AL1178">
        <v>5</v>
      </c>
      <c r="AM1178">
        <v>3</v>
      </c>
      <c r="AN1178">
        <v>5</v>
      </c>
      <c r="AO1178">
        <v>2</v>
      </c>
      <c r="AP1178">
        <v>0</v>
      </c>
      <c r="AQ1178">
        <v>0</v>
      </c>
      <c r="AR1178">
        <v>25</v>
      </c>
      <c r="AS1178">
        <v>24</v>
      </c>
      <c r="AT1178">
        <v>20</v>
      </c>
      <c r="AU1178">
        <v>25</v>
      </c>
      <c r="AV1178">
        <v>20</v>
      </c>
      <c r="AW1178">
        <v>26</v>
      </c>
      <c r="AX1178">
        <v>11</v>
      </c>
      <c r="AY1178">
        <v>8</v>
      </c>
      <c r="AZ1178">
        <v>0</v>
      </c>
      <c r="BA1178">
        <v>0</v>
      </c>
      <c r="BB1178">
        <v>26</v>
      </c>
      <c r="BC1178">
        <v>1</v>
      </c>
      <c r="BD1178">
        <v>0</v>
      </c>
      <c r="BE1178">
        <v>15</v>
      </c>
      <c r="BF1178">
        <v>17</v>
      </c>
      <c r="BG1178">
        <v>12</v>
      </c>
      <c r="BH1178">
        <v>18</v>
      </c>
    </row>
    <row r="1179" spans="3:60" x14ac:dyDescent="0.2">
      <c r="C1179" s="138">
        <v>16</v>
      </c>
      <c r="D1179" s="138">
        <v>18</v>
      </c>
      <c r="E1179" s="138">
        <v>14</v>
      </c>
      <c r="F1179" s="138">
        <v>22</v>
      </c>
      <c r="G1179" s="138">
        <v>24</v>
      </c>
      <c r="H1179" s="138">
        <v>20</v>
      </c>
      <c r="R1179">
        <v>13</v>
      </c>
      <c r="S1179">
        <v>22</v>
      </c>
      <c r="T1179">
        <v>23</v>
      </c>
      <c r="U1179">
        <v>20</v>
      </c>
      <c r="V1179">
        <v>0</v>
      </c>
      <c r="W1179">
        <v>0</v>
      </c>
      <c r="X1179">
        <v>13</v>
      </c>
      <c r="Y1179">
        <v>10</v>
      </c>
      <c r="Z1179">
        <v>15</v>
      </c>
      <c r="AA1179">
        <v>13</v>
      </c>
      <c r="AB1179">
        <v>17</v>
      </c>
      <c r="AC1179">
        <v>16</v>
      </c>
      <c r="AD1179">
        <v>20</v>
      </c>
      <c r="AE1179">
        <v>21</v>
      </c>
      <c r="AF1179">
        <v>0</v>
      </c>
      <c r="AG1179">
        <v>0</v>
      </c>
      <c r="AH1179">
        <v>2</v>
      </c>
      <c r="AI1179">
        <v>1</v>
      </c>
      <c r="AJ1179">
        <v>3</v>
      </c>
      <c r="AK1179">
        <v>4</v>
      </c>
      <c r="AL1179">
        <v>6</v>
      </c>
      <c r="AM1179">
        <v>3</v>
      </c>
      <c r="AN1179">
        <v>6</v>
      </c>
      <c r="AO1179">
        <v>4</v>
      </c>
      <c r="AP1179">
        <v>0</v>
      </c>
      <c r="AQ1179">
        <v>0</v>
      </c>
      <c r="AR1179">
        <v>23</v>
      </c>
      <c r="AS1179">
        <v>20</v>
      </c>
      <c r="AT1179">
        <v>18</v>
      </c>
      <c r="AU1179">
        <v>20</v>
      </c>
      <c r="AV1179">
        <v>18</v>
      </c>
      <c r="AW1179">
        <v>25</v>
      </c>
      <c r="AX1179">
        <v>8</v>
      </c>
      <c r="AY1179">
        <v>8</v>
      </c>
      <c r="AZ1179">
        <v>0</v>
      </c>
      <c r="BA1179">
        <v>0</v>
      </c>
      <c r="BB1179">
        <v>19</v>
      </c>
      <c r="BC1179">
        <v>7</v>
      </c>
      <c r="BD1179">
        <v>0</v>
      </c>
      <c r="BE1179">
        <v>16</v>
      </c>
      <c r="BF1179">
        <v>18</v>
      </c>
      <c r="BG1179">
        <v>14</v>
      </c>
      <c r="BH1179">
        <v>22</v>
      </c>
    </row>
    <row r="1180" spans="3:60" x14ac:dyDescent="0.2">
      <c r="C1180" s="138">
        <v>13</v>
      </c>
      <c r="D1180" s="138">
        <v>16</v>
      </c>
      <c r="E1180" s="138">
        <v>16</v>
      </c>
      <c r="F1180" s="138">
        <v>17</v>
      </c>
      <c r="G1180" s="138">
        <v>22</v>
      </c>
      <c r="H1180" s="138">
        <v>15</v>
      </c>
      <c r="R1180">
        <v>16</v>
      </c>
      <c r="S1180">
        <v>27</v>
      </c>
      <c r="T1180">
        <v>21</v>
      </c>
      <c r="U1180">
        <v>18</v>
      </c>
      <c r="V1180">
        <v>0</v>
      </c>
      <c r="W1180">
        <v>0</v>
      </c>
      <c r="X1180">
        <v>17</v>
      </c>
      <c r="Y1180">
        <v>16</v>
      </c>
      <c r="Z1180">
        <v>24</v>
      </c>
      <c r="AA1180">
        <v>18</v>
      </c>
      <c r="AB1180">
        <v>21</v>
      </c>
      <c r="AC1180">
        <v>19</v>
      </c>
      <c r="AD1180">
        <v>20</v>
      </c>
      <c r="AE1180">
        <v>12</v>
      </c>
      <c r="AF1180">
        <v>0</v>
      </c>
      <c r="AG1180">
        <v>0</v>
      </c>
      <c r="AH1180">
        <v>2</v>
      </c>
      <c r="AI1180">
        <v>2</v>
      </c>
      <c r="AJ1180">
        <v>7</v>
      </c>
      <c r="AK1180">
        <v>6</v>
      </c>
      <c r="AL1180">
        <v>3</v>
      </c>
      <c r="AM1180">
        <v>6</v>
      </c>
      <c r="AN1180">
        <v>8</v>
      </c>
      <c r="AO1180">
        <v>2</v>
      </c>
      <c r="AP1180">
        <v>0</v>
      </c>
      <c r="AQ1180">
        <v>0</v>
      </c>
      <c r="AR1180">
        <v>22</v>
      </c>
      <c r="AS1180">
        <v>19</v>
      </c>
      <c r="AT1180">
        <v>15</v>
      </c>
      <c r="AU1180">
        <v>15</v>
      </c>
      <c r="AV1180">
        <v>20</v>
      </c>
      <c r="AW1180">
        <v>19</v>
      </c>
      <c r="AX1180">
        <v>11</v>
      </c>
      <c r="AY1180">
        <v>6</v>
      </c>
      <c r="AZ1180">
        <v>0</v>
      </c>
      <c r="BA1180">
        <v>0</v>
      </c>
      <c r="BB1180">
        <v>12</v>
      </c>
      <c r="BC1180">
        <v>2</v>
      </c>
      <c r="BD1180">
        <v>0</v>
      </c>
      <c r="BE1180">
        <v>13</v>
      </c>
      <c r="BF1180">
        <v>16</v>
      </c>
      <c r="BG1180">
        <v>16</v>
      </c>
      <c r="BH1180">
        <v>17</v>
      </c>
    </row>
    <row r="1181" spans="3:60" x14ac:dyDescent="0.2">
      <c r="C1181" s="138">
        <v>11</v>
      </c>
      <c r="D1181" s="138">
        <v>22</v>
      </c>
      <c r="E1181" s="138">
        <v>10</v>
      </c>
      <c r="F1181" s="138">
        <v>23</v>
      </c>
      <c r="G1181" s="138">
        <v>38</v>
      </c>
      <c r="H1181" s="138">
        <v>16</v>
      </c>
      <c r="R1181">
        <v>20</v>
      </c>
      <c r="S1181">
        <v>28</v>
      </c>
      <c r="T1181">
        <v>26</v>
      </c>
      <c r="U1181">
        <v>17</v>
      </c>
      <c r="V1181">
        <v>0</v>
      </c>
      <c r="W1181">
        <v>0</v>
      </c>
      <c r="X1181">
        <v>18</v>
      </c>
      <c r="Y1181">
        <v>20</v>
      </c>
      <c r="Z1181">
        <v>17</v>
      </c>
      <c r="AA1181">
        <v>22</v>
      </c>
      <c r="AB1181">
        <v>20</v>
      </c>
      <c r="AC1181">
        <v>13</v>
      </c>
      <c r="AD1181">
        <v>15</v>
      </c>
      <c r="AE1181">
        <v>15</v>
      </c>
      <c r="AF1181">
        <v>0</v>
      </c>
      <c r="AG1181">
        <v>0</v>
      </c>
      <c r="AH1181">
        <v>3</v>
      </c>
      <c r="AI1181">
        <v>2</v>
      </c>
      <c r="AJ1181">
        <v>3</v>
      </c>
      <c r="AK1181">
        <v>5</v>
      </c>
      <c r="AL1181">
        <v>0</v>
      </c>
      <c r="AM1181">
        <v>4</v>
      </c>
      <c r="AN1181">
        <v>3</v>
      </c>
      <c r="AO1181">
        <v>6</v>
      </c>
      <c r="AP1181">
        <v>0</v>
      </c>
      <c r="AQ1181">
        <v>0</v>
      </c>
      <c r="AR1181">
        <v>13</v>
      </c>
      <c r="AS1181">
        <v>18</v>
      </c>
      <c r="AT1181">
        <v>18</v>
      </c>
      <c r="AU1181">
        <v>13</v>
      </c>
      <c r="AV1181">
        <v>21</v>
      </c>
      <c r="AW1181">
        <v>25</v>
      </c>
      <c r="AX1181">
        <v>3</v>
      </c>
      <c r="AY1181">
        <v>6</v>
      </c>
      <c r="AZ1181">
        <v>0</v>
      </c>
      <c r="BA1181">
        <v>0</v>
      </c>
      <c r="BB1181">
        <v>18</v>
      </c>
      <c r="BC1181">
        <v>2</v>
      </c>
      <c r="BD1181">
        <v>0</v>
      </c>
      <c r="BE1181">
        <v>11</v>
      </c>
      <c r="BF1181">
        <v>22</v>
      </c>
      <c r="BG1181">
        <v>10</v>
      </c>
      <c r="BH1181">
        <v>23</v>
      </c>
    </row>
    <row r="1182" spans="3:60" x14ac:dyDescent="0.2">
      <c r="C1182" s="138">
        <v>12</v>
      </c>
      <c r="D1182" s="138">
        <v>19</v>
      </c>
      <c r="E1182" s="138">
        <v>10</v>
      </c>
      <c r="F1182" s="138">
        <v>12</v>
      </c>
      <c r="G1182" s="138">
        <v>27</v>
      </c>
      <c r="H1182" s="138">
        <v>14</v>
      </c>
      <c r="R1182">
        <v>14</v>
      </c>
      <c r="S1182">
        <v>18</v>
      </c>
      <c r="T1182">
        <v>27</v>
      </c>
      <c r="U1182">
        <v>16</v>
      </c>
      <c r="V1182">
        <v>0</v>
      </c>
      <c r="W1182">
        <v>0</v>
      </c>
      <c r="X1182">
        <v>22</v>
      </c>
      <c r="Y1182">
        <v>19</v>
      </c>
      <c r="Z1182">
        <v>18</v>
      </c>
      <c r="AA1182">
        <v>25</v>
      </c>
      <c r="AB1182">
        <v>26</v>
      </c>
      <c r="AC1182">
        <v>16</v>
      </c>
      <c r="AD1182">
        <v>20</v>
      </c>
      <c r="AE1182">
        <v>13</v>
      </c>
      <c r="AF1182">
        <v>0</v>
      </c>
      <c r="AG1182">
        <v>0</v>
      </c>
      <c r="AH1182">
        <v>2</v>
      </c>
      <c r="AI1182">
        <v>3</v>
      </c>
      <c r="AJ1182">
        <v>3</v>
      </c>
      <c r="AK1182">
        <v>6</v>
      </c>
      <c r="AL1182">
        <v>6</v>
      </c>
      <c r="AM1182">
        <v>4</v>
      </c>
      <c r="AN1182">
        <v>2</v>
      </c>
      <c r="AO1182">
        <v>4</v>
      </c>
      <c r="AP1182">
        <v>0</v>
      </c>
      <c r="AQ1182">
        <v>0</v>
      </c>
      <c r="AR1182">
        <v>19</v>
      </c>
      <c r="AS1182">
        <v>22</v>
      </c>
      <c r="AT1182">
        <v>13</v>
      </c>
      <c r="AU1182">
        <v>24</v>
      </c>
      <c r="AV1182">
        <v>22</v>
      </c>
      <c r="AW1182">
        <v>18</v>
      </c>
      <c r="AX1182">
        <v>10</v>
      </c>
      <c r="AY1182">
        <v>2</v>
      </c>
      <c r="AZ1182">
        <v>0</v>
      </c>
      <c r="BA1182">
        <v>0</v>
      </c>
      <c r="BB1182">
        <v>19</v>
      </c>
      <c r="BC1182">
        <v>4</v>
      </c>
      <c r="BD1182">
        <v>0</v>
      </c>
      <c r="BE1182">
        <v>12</v>
      </c>
      <c r="BF1182">
        <v>19</v>
      </c>
      <c r="BG1182">
        <v>10</v>
      </c>
      <c r="BH1182">
        <v>12</v>
      </c>
    </row>
    <row r="1183" spans="3:60" x14ac:dyDescent="0.2">
      <c r="C1183" s="138">
        <v>8</v>
      </c>
      <c r="D1183" s="138">
        <v>18</v>
      </c>
      <c r="E1183" s="138">
        <v>6</v>
      </c>
      <c r="F1183" s="138">
        <v>22</v>
      </c>
      <c r="G1183" s="138">
        <v>25</v>
      </c>
      <c r="H1183" s="138">
        <v>15</v>
      </c>
      <c r="R1183">
        <v>21</v>
      </c>
      <c r="S1183">
        <v>16</v>
      </c>
      <c r="T1183">
        <v>25</v>
      </c>
      <c r="U1183">
        <v>20</v>
      </c>
      <c r="V1183">
        <v>0</v>
      </c>
      <c r="W1183">
        <v>0</v>
      </c>
      <c r="X1183">
        <v>19</v>
      </c>
      <c r="Y1183">
        <v>18</v>
      </c>
      <c r="Z1183">
        <v>22</v>
      </c>
      <c r="AA1183">
        <v>18</v>
      </c>
      <c r="AB1183">
        <v>20</v>
      </c>
      <c r="AC1183">
        <v>16</v>
      </c>
      <c r="AD1183">
        <v>19</v>
      </c>
      <c r="AE1183">
        <v>20</v>
      </c>
      <c r="AF1183">
        <v>0</v>
      </c>
      <c r="AG1183">
        <v>0</v>
      </c>
      <c r="AH1183">
        <v>0</v>
      </c>
      <c r="AI1183">
        <v>4</v>
      </c>
      <c r="AJ1183">
        <v>4</v>
      </c>
      <c r="AK1183">
        <v>3</v>
      </c>
      <c r="AL1183">
        <v>3</v>
      </c>
      <c r="AM1183">
        <v>6</v>
      </c>
      <c r="AN1183">
        <v>7</v>
      </c>
      <c r="AO1183">
        <v>3</v>
      </c>
      <c r="AP1183">
        <v>0</v>
      </c>
      <c r="AQ1183">
        <v>0</v>
      </c>
      <c r="AR1183">
        <v>16</v>
      </c>
      <c r="AS1183">
        <v>18</v>
      </c>
      <c r="AT1183">
        <v>17</v>
      </c>
      <c r="AU1183">
        <v>16</v>
      </c>
      <c r="AV1183">
        <v>10</v>
      </c>
      <c r="AW1183">
        <v>18</v>
      </c>
      <c r="AX1183">
        <v>7</v>
      </c>
      <c r="AY1183">
        <v>6</v>
      </c>
      <c r="AZ1183">
        <v>0</v>
      </c>
      <c r="BA1183">
        <v>0</v>
      </c>
      <c r="BB1183">
        <v>13</v>
      </c>
      <c r="BC1183">
        <v>3</v>
      </c>
      <c r="BD1183">
        <v>0</v>
      </c>
      <c r="BE1183">
        <v>8</v>
      </c>
      <c r="BF1183">
        <v>18</v>
      </c>
      <c r="BG1183">
        <v>6</v>
      </c>
      <c r="BH1183">
        <v>22</v>
      </c>
    </row>
    <row r="1184" spans="3:60" x14ac:dyDescent="0.2">
      <c r="C1184" s="138">
        <v>7</v>
      </c>
      <c r="D1184" s="138">
        <v>17</v>
      </c>
      <c r="E1184" s="138">
        <v>9</v>
      </c>
      <c r="F1184" s="138">
        <v>21</v>
      </c>
      <c r="G1184" s="138">
        <v>31</v>
      </c>
      <c r="H1184" s="138">
        <v>11</v>
      </c>
      <c r="R1184">
        <v>13</v>
      </c>
      <c r="S1184">
        <v>16</v>
      </c>
      <c r="T1184">
        <v>26</v>
      </c>
      <c r="U1184">
        <v>19</v>
      </c>
      <c r="V1184">
        <v>0</v>
      </c>
      <c r="W1184">
        <v>0</v>
      </c>
      <c r="X1184">
        <v>25</v>
      </c>
      <c r="Y1184">
        <v>19</v>
      </c>
      <c r="Z1184">
        <v>14</v>
      </c>
      <c r="AA1184">
        <v>15</v>
      </c>
      <c r="AB1184">
        <v>21</v>
      </c>
      <c r="AC1184">
        <v>20</v>
      </c>
      <c r="AD1184">
        <v>14</v>
      </c>
      <c r="AE1184">
        <v>24</v>
      </c>
      <c r="AF1184">
        <v>0</v>
      </c>
      <c r="AG1184">
        <v>0</v>
      </c>
      <c r="AH1184">
        <v>2</v>
      </c>
      <c r="AI1184">
        <v>1</v>
      </c>
      <c r="AJ1184">
        <v>3</v>
      </c>
      <c r="AK1184">
        <v>4</v>
      </c>
      <c r="AL1184">
        <v>4</v>
      </c>
      <c r="AM1184">
        <v>2</v>
      </c>
      <c r="AN1184">
        <v>3</v>
      </c>
      <c r="AO1184">
        <v>3</v>
      </c>
      <c r="AP1184">
        <v>0</v>
      </c>
      <c r="AQ1184">
        <v>0</v>
      </c>
      <c r="AR1184">
        <v>11</v>
      </c>
      <c r="AS1184">
        <v>21</v>
      </c>
      <c r="AT1184">
        <v>20</v>
      </c>
      <c r="AU1184">
        <v>17</v>
      </c>
      <c r="AV1184">
        <v>20</v>
      </c>
      <c r="AW1184">
        <v>13</v>
      </c>
      <c r="AX1184">
        <v>4</v>
      </c>
      <c r="AY1184">
        <v>3</v>
      </c>
      <c r="AZ1184">
        <v>0</v>
      </c>
      <c r="BA1184">
        <v>0</v>
      </c>
      <c r="BB1184">
        <v>17</v>
      </c>
      <c r="BC1184">
        <v>4</v>
      </c>
      <c r="BD1184">
        <v>0</v>
      </c>
      <c r="BE1184">
        <v>7</v>
      </c>
      <c r="BF1184">
        <v>17</v>
      </c>
      <c r="BG1184">
        <v>9</v>
      </c>
      <c r="BH1184">
        <v>21</v>
      </c>
    </row>
    <row r="1185" spans="3:60" x14ac:dyDescent="0.2">
      <c r="C1185" s="138">
        <v>5</v>
      </c>
      <c r="D1185" s="138">
        <v>31</v>
      </c>
      <c r="E1185" s="138">
        <v>8</v>
      </c>
      <c r="F1185" s="138">
        <v>20</v>
      </c>
      <c r="G1185" s="138">
        <v>29</v>
      </c>
      <c r="H1185" s="138">
        <v>5</v>
      </c>
      <c r="R1185">
        <v>9</v>
      </c>
      <c r="S1185">
        <v>21</v>
      </c>
      <c r="T1185">
        <v>20</v>
      </c>
      <c r="U1185">
        <v>13</v>
      </c>
      <c r="V1185">
        <v>0</v>
      </c>
      <c r="W1185">
        <v>0</v>
      </c>
      <c r="X1185">
        <v>13</v>
      </c>
      <c r="Y1185">
        <v>23</v>
      </c>
      <c r="Z1185">
        <v>24</v>
      </c>
      <c r="AA1185">
        <v>13</v>
      </c>
      <c r="AB1185">
        <v>20</v>
      </c>
      <c r="AC1185">
        <v>21</v>
      </c>
      <c r="AD1185">
        <v>20</v>
      </c>
      <c r="AE1185">
        <v>22</v>
      </c>
      <c r="AF1185">
        <v>0</v>
      </c>
      <c r="AG1185">
        <v>0</v>
      </c>
      <c r="AH1185">
        <v>2</v>
      </c>
      <c r="AI1185">
        <v>2</v>
      </c>
      <c r="AJ1185">
        <v>4</v>
      </c>
      <c r="AK1185">
        <v>0</v>
      </c>
      <c r="AL1185">
        <v>3</v>
      </c>
      <c r="AM1185">
        <v>2</v>
      </c>
      <c r="AN1185">
        <v>2</v>
      </c>
      <c r="AO1185">
        <v>3</v>
      </c>
      <c r="AP1185">
        <v>0</v>
      </c>
      <c r="AQ1185">
        <v>0</v>
      </c>
      <c r="AR1185">
        <v>12</v>
      </c>
      <c r="AS1185">
        <v>11</v>
      </c>
      <c r="AT1185">
        <v>20</v>
      </c>
      <c r="AU1185">
        <v>14</v>
      </c>
      <c r="AV1185">
        <v>14</v>
      </c>
      <c r="AW1185">
        <v>12</v>
      </c>
      <c r="AX1185">
        <v>5</v>
      </c>
      <c r="AY1185">
        <v>3</v>
      </c>
      <c r="AZ1185">
        <v>0</v>
      </c>
      <c r="BA1185">
        <v>0</v>
      </c>
      <c r="BB1185">
        <v>13</v>
      </c>
      <c r="BC1185">
        <v>1</v>
      </c>
      <c r="BD1185">
        <v>0</v>
      </c>
      <c r="BE1185">
        <v>5</v>
      </c>
      <c r="BF1185">
        <v>31</v>
      </c>
      <c r="BG1185">
        <v>8</v>
      </c>
      <c r="BH1185">
        <v>20</v>
      </c>
    </row>
    <row r="1186" spans="3:60" x14ac:dyDescent="0.2">
      <c r="C1186" s="138">
        <v>9</v>
      </c>
      <c r="D1186" s="138">
        <v>24</v>
      </c>
      <c r="E1186" s="138">
        <v>11</v>
      </c>
      <c r="F1186" s="138">
        <v>32</v>
      </c>
      <c r="G1186" s="138">
        <v>27</v>
      </c>
      <c r="H1186" s="138">
        <v>10</v>
      </c>
      <c r="R1186">
        <v>15</v>
      </c>
      <c r="S1186">
        <v>12</v>
      </c>
      <c r="T1186">
        <v>27</v>
      </c>
      <c r="U1186">
        <v>12</v>
      </c>
      <c r="V1186">
        <v>0</v>
      </c>
      <c r="W1186">
        <v>0</v>
      </c>
      <c r="X1186">
        <v>17</v>
      </c>
      <c r="Y1186">
        <v>20</v>
      </c>
      <c r="Z1186">
        <v>20</v>
      </c>
      <c r="AA1186">
        <v>16</v>
      </c>
      <c r="AB1186">
        <v>16</v>
      </c>
      <c r="AC1186">
        <v>16</v>
      </c>
      <c r="AD1186">
        <v>17</v>
      </c>
      <c r="AE1186">
        <v>19</v>
      </c>
      <c r="AF1186">
        <v>0</v>
      </c>
      <c r="AG1186">
        <v>0</v>
      </c>
      <c r="AH1186">
        <v>2</v>
      </c>
      <c r="AI1186">
        <v>0</v>
      </c>
      <c r="AJ1186">
        <v>3</v>
      </c>
      <c r="AK1186">
        <v>3</v>
      </c>
      <c r="AL1186">
        <v>2</v>
      </c>
      <c r="AM1186">
        <v>3</v>
      </c>
      <c r="AN1186">
        <v>5</v>
      </c>
      <c r="AO1186">
        <v>2</v>
      </c>
      <c r="AP1186">
        <v>0</v>
      </c>
      <c r="AQ1186">
        <v>0</v>
      </c>
      <c r="AR1186">
        <v>16</v>
      </c>
      <c r="AS1186">
        <v>17</v>
      </c>
      <c r="AT1186">
        <v>11</v>
      </c>
      <c r="AU1186">
        <v>15</v>
      </c>
      <c r="AV1186">
        <v>16</v>
      </c>
      <c r="AW1186">
        <v>10</v>
      </c>
      <c r="AX1186">
        <v>5</v>
      </c>
      <c r="AY1186">
        <v>2</v>
      </c>
      <c r="AZ1186">
        <v>0</v>
      </c>
      <c r="BA1186">
        <v>0</v>
      </c>
      <c r="BB1186">
        <v>15</v>
      </c>
      <c r="BC1186">
        <v>2</v>
      </c>
      <c r="BD1186">
        <v>0</v>
      </c>
      <c r="BE1186">
        <v>9</v>
      </c>
      <c r="BF1186">
        <v>24</v>
      </c>
      <c r="BG1186">
        <v>11</v>
      </c>
      <c r="BH1186">
        <v>32</v>
      </c>
    </row>
    <row r="1187" spans="3:60" x14ac:dyDescent="0.2">
      <c r="C1187" s="138">
        <v>9</v>
      </c>
      <c r="D1187" s="138">
        <v>21</v>
      </c>
      <c r="E1187" s="138">
        <v>6</v>
      </c>
      <c r="F1187" s="138">
        <v>19</v>
      </c>
      <c r="G1187" s="138">
        <v>24</v>
      </c>
      <c r="H1187" s="138">
        <v>4</v>
      </c>
      <c r="R1187">
        <v>16</v>
      </c>
      <c r="S1187">
        <v>15</v>
      </c>
      <c r="T1187">
        <v>17</v>
      </c>
      <c r="U1187">
        <v>13</v>
      </c>
      <c r="V1187">
        <v>0</v>
      </c>
      <c r="W1187">
        <v>0</v>
      </c>
      <c r="X1187">
        <v>22</v>
      </c>
      <c r="Y1187">
        <v>20</v>
      </c>
      <c r="Z1187">
        <v>22</v>
      </c>
      <c r="AA1187">
        <v>17</v>
      </c>
      <c r="AB1187">
        <v>24</v>
      </c>
      <c r="AC1187">
        <v>20</v>
      </c>
      <c r="AD1187">
        <v>22</v>
      </c>
      <c r="AE1187">
        <v>26</v>
      </c>
      <c r="AF1187">
        <v>0</v>
      </c>
      <c r="AG1187">
        <v>0</v>
      </c>
      <c r="AH1187">
        <v>1</v>
      </c>
      <c r="AI1187">
        <v>0</v>
      </c>
      <c r="AJ1187">
        <v>3</v>
      </c>
      <c r="AK1187">
        <v>2</v>
      </c>
      <c r="AL1187">
        <v>0</v>
      </c>
      <c r="AM1187">
        <v>0</v>
      </c>
      <c r="AN1187">
        <v>2</v>
      </c>
      <c r="AO1187">
        <v>3</v>
      </c>
      <c r="AP1187">
        <v>0</v>
      </c>
      <c r="AQ1187">
        <v>0</v>
      </c>
      <c r="AR1187">
        <v>13</v>
      </c>
      <c r="AS1187">
        <v>8</v>
      </c>
      <c r="AT1187">
        <v>12</v>
      </c>
      <c r="AU1187">
        <v>18</v>
      </c>
      <c r="AV1187">
        <v>10</v>
      </c>
      <c r="AW1187">
        <v>7</v>
      </c>
      <c r="AX1187">
        <v>5</v>
      </c>
      <c r="AY1187">
        <v>4</v>
      </c>
      <c r="AZ1187">
        <v>0</v>
      </c>
      <c r="BA1187">
        <v>0</v>
      </c>
      <c r="BB1187">
        <v>8</v>
      </c>
      <c r="BC1187">
        <v>1</v>
      </c>
      <c r="BD1187">
        <v>0</v>
      </c>
      <c r="BE1187">
        <v>9</v>
      </c>
      <c r="BF1187">
        <v>21</v>
      </c>
      <c r="BG1187">
        <v>6</v>
      </c>
      <c r="BH1187">
        <v>19</v>
      </c>
    </row>
    <row r="1188" spans="3:60" x14ac:dyDescent="0.2">
      <c r="C1188" s="138">
        <v>7</v>
      </c>
      <c r="D1188" s="138">
        <v>17</v>
      </c>
      <c r="E1188" s="138">
        <v>5</v>
      </c>
      <c r="F1188" s="138">
        <v>24</v>
      </c>
      <c r="G1188" s="138">
        <v>28</v>
      </c>
      <c r="H1188" s="138">
        <v>7</v>
      </c>
      <c r="R1188">
        <v>12</v>
      </c>
      <c r="S1188">
        <v>17</v>
      </c>
      <c r="T1188">
        <v>18</v>
      </c>
      <c r="U1188">
        <v>10</v>
      </c>
      <c r="V1188">
        <v>0</v>
      </c>
      <c r="W1188">
        <v>0</v>
      </c>
      <c r="X1188">
        <v>20</v>
      </c>
      <c r="Y1188">
        <v>23</v>
      </c>
      <c r="Z1188">
        <v>26</v>
      </c>
      <c r="AA1188">
        <v>22</v>
      </c>
      <c r="AB1188">
        <v>23</v>
      </c>
      <c r="AC1188">
        <v>23</v>
      </c>
      <c r="AD1188">
        <v>18</v>
      </c>
      <c r="AE1188">
        <v>28</v>
      </c>
      <c r="AF1188">
        <v>0</v>
      </c>
      <c r="AG1188">
        <v>0</v>
      </c>
      <c r="AH1188">
        <v>1</v>
      </c>
      <c r="AI1188">
        <v>1</v>
      </c>
      <c r="AJ1188">
        <v>3</v>
      </c>
      <c r="AK1188">
        <v>4</v>
      </c>
      <c r="AL1188">
        <v>2</v>
      </c>
      <c r="AM1188">
        <v>2</v>
      </c>
      <c r="AN1188">
        <v>3</v>
      </c>
      <c r="AO1188">
        <v>1</v>
      </c>
      <c r="AP1188">
        <v>0</v>
      </c>
      <c r="AQ1188">
        <v>0</v>
      </c>
      <c r="AR1188">
        <v>16</v>
      </c>
      <c r="AS1188">
        <v>12</v>
      </c>
      <c r="AT1188">
        <v>9</v>
      </c>
      <c r="AU1188">
        <v>10</v>
      </c>
      <c r="AV1188">
        <v>7</v>
      </c>
      <c r="AW1188">
        <v>14</v>
      </c>
      <c r="AX1188">
        <v>13</v>
      </c>
      <c r="AY1188">
        <v>4</v>
      </c>
      <c r="AZ1188">
        <v>0</v>
      </c>
      <c r="BA1188">
        <v>0</v>
      </c>
      <c r="BB1188">
        <v>11</v>
      </c>
      <c r="BC1188">
        <v>3</v>
      </c>
      <c r="BD1188">
        <v>0</v>
      </c>
      <c r="BE1188">
        <v>7</v>
      </c>
      <c r="BF1188">
        <v>17</v>
      </c>
      <c r="BG1188">
        <v>5</v>
      </c>
      <c r="BH1188">
        <v>24</v>
      </c>
    </row>
    <row r="1189" spans="3:60" x14ac:dyDescent="0.2">
      <c r="C1189" s="138">
        <v>5</v>
      </c>
      <c r="D1189" s="138">
        <v>20</v>
      </c>
      <c r="E1189" s="138">
        <v>1</v>
      </c>
      <c r="F1189" s="138">
        <v>14</v>
      </c>
      <c r="G1189" s="138">
        <v>33</v>
      </c>
      <c r="H1189" s="138">
        <v>4</v>
      </c>
      <c r="R1189">
        <v>9</v>
      </c>
      <c r="S1189">
        <v>12</v>
      </c>
      <c r="T1189">
        <v>12</v>
      </c>
      <c r="U1189">
        <v>10</v>
      </c>
      <c r="V1189">
        <v>0</v>
      </c>
      <c r="W1189">
        <v>0</v>
      </c>
      <c r="X1189">
        <v>20</v>
      </c>
      <c r="Y1189">
        <v>16</v>
      </c>
      <c r="Z1189">
        <v>18</v>
      </c>
      <c r="AA1189">
        <v>22</v>
      </c>
      <c r="AB1189">
        <v>21</v>
      </c>
      <c r="AC1189">
        <v>17</v>
      </c>
      <c r="AD1189">
        <v>18</v>
      </c>
      <c r="AE1189">
        <v>17</v>
      </c>
      <c r="AF1189">
        <v>0</v>
      </c>
      <c r="AG1189">
        <v>0</v>
      </c>
      <c r="AH1189">
        <v>2</v>
      </c>
      <c r="AI1189">
        <v>3</v>
      </c>
      <c r="AJ1189">
        <v>0</v>
      </c>
      <c r="AK1189">
        <v>2</v>
      </c>
      <c r="AL1189">
        <v>1</v>
      </c>
      <c r="AM1189">
        <v>0</v>
      </c>
      <c r="AN1189">
        <v>3</v>
      </c>
      <c r="AO1189">
        <v>1</v>
      </c>
      <c r="AP1189">
        <v>0</v>
      </c>
      <c r="AQ1189">
        <v>0</v>
      </c>
      <c r="AR1189">
        <v>7</v>
      </c>
      <c r="AS1189">
        <v>7</v>
      </c>
      <c r="AT1189">
        <v>8</v>
      </c>
      <c r="AU1189">
        <v>10</v>
      </c>
      <c r="AV1189">
        <v>13</v>
      </c>
      <c r="AW1189">
        <v>12</v>
      </c>
      <c r="AX1189">
        <v>5</v>
      </c>
      <c r="AY1189">
        <v>2</v>
      </c>
      <c r="AZ1189">
        <v>0</v>
      </c>
      <c r="BA1189">
        <v>0</v>
      </c>
      <c r="BB1189">
        <v>8</v>
      </c>
      <c r="BC1189">
        <v>2</v>
      </c>
      <c r="BD1189">
        <v>0</v>
      </c>
      <c r="BE1189">
        <v>5</v>
      </c>
      <c r="BF1189">
        <v>20</v>
      </c>
      <c r="BG1189">
        <v>1</v>
      </c>
      <c r="BH1189">
        <v>14</v>
      </c>
    </row>
    <row r="1190" spans="3:60" x14ac:dyDescent="0.2">
      <c r="C1190" s="138">
        <v>2</v>
      </c>
      <c r="D1190" s="138">
        <v>19</v>
      </c>
      <c r="E1190" s="138">
        <v>6</v>
      </c>
      <c r="F1190" s="138">
        <v>20</v>
      </c>
      <c r="G1190" s="138">
        <v>35</v>
      </c>
      <c r="H1190" s="138">
        <v>5</v>
      </c>
      <c r="R1190">
        <v>9</v>
      </c>
      <c r="S1190">
        <v>11</v>
      </c>
      <c r="T1190">
        <v>22</v>
      </c>
      <c r="U1190">
        <v>12</v>
      </c>
      <c r="V1190">
        <v>0</v>
      </c>
      <c r="W1190">
        <v>0</v>
      </c>
      <c r="X1190">
        <v>29</v>
      </c>
      <c r="Y1190">
        <v>27</v>
      </c>
      <c r="Z1190">
        <v>26</v>
      </c>
      <c r="AA1190">
        <v>22</v>
      </c>
      <c r="AB1190">
        <v>20</v>
      </c>
      <c r="AC1190">
        <v>21</v>
      </c>
      <c r="AD1190">
        <v>18</v>
      </c>
      <c r="AE1190">
        <v>16</v>
      </c>
      <c r="AF1190">
        <v>0</v>
      </c>
      <c r="AG1190">
        <v>0</v>
      </c>
      <c r="AH1190">
        <v>2</v>
      </c>
      <c r="AI1190">
        <v>1</v>
      </c>
      <c r="AJ1190">
        <v>6</v>
      </c>
      <c r="AK1190">
        <v>3</v>
      </c>
      <c r="AL1190">
        <v>3</v>
      </c>
      <c r="AM1190">
        <v>3</v>
      </c>
      <c r="AN1190">
        <v>2</v>
      </c>
      <c r="AO1190">
        <v>2</v>
      </c>
      <c r="AP1190">
        <v>0</v>
      </c>
      <c r="AQ1190">
        <v>0</v>
      </c>
      <c r="AR1190">
        <v>21</v>
      </c>
      <c r="AS1190">
        <v>12</v>
      </c>
      <c r="AT1190">
        <v>3</v>
      </c>
      <c r="AU1190">
        <v>9</v>
      </c>
      <c r="AV1190">
        <v>12</v>
      </c>
      <c r="AW1190">
        <v>7</v>
      </c>
      <c r="AX1190">
        <v>6</v>
      </c>
      <c r="AY1190">
        <v>0</v>
      </c>
      <c r="AZ1190">
        <v>0</v>
      </c>
      <c r="BA1190">
        <v>0</v>
      </c>
      <c r="BB1190">
        <v>3</v>
      </c>
      <c r="BC1190">
        <v>1</v>
      </c>
      <c r="BD1190">
        <v>0</v>
      </c>
      <c r="BE1190">
        <v>2</v>
      </c>
      <c r="BF1190">
        <v>19</v>
      </c>
      <c r="BG1190">
        <v>6</v>
      </c>
      <c r="BH1190">
        <v>20</v>
      </c>
    </row>
    <row r="1191" spans="3:60" x14ac:dyDescent="0.2">
      <c r="C1191" s="138">
        <v>3</v>
      </c>
      <c r="D1191" s="138">
        <v>21</v>
      </c>
      <c r="E1191" s="138">
        <v>4</v>
      </c>
      <c r="F1191" s="138">
        <v>21</v>
      </c>
      <c r="G1191" s="138">
        <v>24</v>
      </c>
      <c r="H1191" s="138">
        <v>4</v>
      </c>
      <c r="R1191">
        <v>12</v>
      </c>
      <c r="S1191">
        <v>10</v>
      </c>
      <c r="T1191">
        <v>21</v>
      </c>
      <c r="U1191">
        <v>5</v>
      </c>
      <c r="V1191">
        <v>0</v>
      </c>
      <c r="W1191">
        <v>0</v>
      </c>
      <c r="X1191">
        <v>22</v>
      </c>
      <c r="Y1191">
        <v>17</v>
      </c>
      <c r="Z1191">
        <v>27</v>
      </c>
      <c r="AA1191">
        <v>21</v>
      </c>
      <c r="AB1191">
        <v>28</v>
      </c>
      <c r="AC1191">
        <v>11</v>
      </c>
      <c r="AD1191">
        <v>17</v>
      </c>
      <c r="AE1191">
        <v>19</v>
      </c>
      <c r="AF1191">
        <v>0</v>
      </c>
      <c r="AG1191">
        <v>0</v>
      </c>
      <c r="AH1191">
        <v>1</v>
      </c>
      <c r="AI1191">
        <v>1</v>
      </c>
      <c r="AJ1191">
        <v>2</v>
      </c>
      <c r="AK1191">
        <v>2</v>
      </c>
      <c r="AL1191">
        <v>2</v>
      </c>
      <c r="AM1191">
        <v>3</v>
      </c>
      <c r="AN1191">
        <v>0</v>
      </c>
      <c r="AO1191">
        <v>1</v>
      </c>
      <c r="AP1191">
        <v>0</v>
      </c>
      <c r="AQ1191">
        <v>0</v>
      </c>
      <c r="AR1191">
        <v>16</v>
      </c>
      <c r="AS1191">
        <v>9</v>
      </c>
      <c r="AT1191">
        <v>6</v>
      </c>
      <c r="AU1191">
        <v>9</v>
      </c>
      <c r="AV1191">
        <v>10</v>
      </c>
      <c r="AW1191">
        <v>8</v>
      </c>
      <c r="AX1191">
        <v>3</v>
      </c>
      <c r="AY1191">
        <v>3</v>
      </c>
      <c r="AZ1191">
        <v>0</v>
      </c>
      <c r="BA1191">
        <v>0</v>
      </c>
      <c r="BB1191">
        <v>10</v>
      </c>
      <c r="BC1191">
        <v>2</v>
      </c>
      <c r="BD1191">
        <v>0</v>
      </c>
      <c r="BE1191">
        <v>3</v>
      </c>
      <c r="BF1191">
        <v>21</v>
      </c>
      <c r="BG1191">
        <v>4</v>
      </c>
      <c r="BH1191">
        <v>21</v>
      </c>
    </row>
    <row r="1192" spans="3:60" x14ac:dyDescent="0.2">
      <c r="C1192" s="138">
        <v>6</v>
      </c>
      <c r="D1192" s="138">
        <v>39</v>
      </c>
      <c r="E1192" s="138">
        <v>2</v>
      </c>
      <c r="F1192" s="138">
        <v>24</v>
      </c>
      <c r="G1192" s="138">
        <v>25</v>
      </c>
      <c r="H1192" s="138">
        <v>7</v>
      </c>
      <c r="R1192">
        <v>8</v>
      </c>
      <c r="S1192">
        <v>14</v>
      </c>
      <c r="T1192">
        <v>18</v>
      </c>
      <c r="U1192">
        <v>7</v>
      </c>
      <c r="V1192">
        <v>0</v>
      </c>
      <c r="W1192">
        <v>0</v>
      </c>
      <c r="X1192">
        <v>30</v>
      </c>
      <c r="Y1192">
        <v>20</v>
      </c>
      <c r="Z1192">
        <v>17</v>
      </c>
      <c r="AA1192">
        <v>12</v>
      </c>
      <c r="AB1192">
        <v>24</v>
      </c>
      <c r="AC1192">
        <v>23</v>
      </c>
      <c r="AD1192">
        <v>25</v>
      </c>
      <c r="AE1192">
        <v>25</v>
      </c>
      <c r="AF1192">
        <v>0</v>
      </c>
      <c r="AG1192">
        <v>0</v>
      </c>
      <c r="AH1192">
        <v>1</v>
      </c>
      <c r="AI1192">
        <v>1</v>
      </c>
      <c r="AJ1192">
        <v>2</v>
      </c>
      <c r="AK1192">
        <v>4</v>
      </c>
      <c r="AL1192">
        <v>1</v>
      </c>
      <c r="AM1192">
        <v>2</v>
      </c>
      <c r="AN1192">
        <v>0</v>
      </c>
      <c r="AO1192">
        <v>1</v>
      </c>
      <c r="AP1192">
        <v>0</v>
      </c>
      <c r="AQ1192">
        <v>0</v>
      </c>
      <c r="AR1192">
        <v>7</v>
      </c>
      <c r="AS1192">
        <v>6</v>
      </c>
      <c r="AT1192">
        <v>6</v>
      </c>
      <c r="AU1192">
        <v>7</v>
      </c>
      <c r="AV1192">
        <v>10</v>
      </c>
      <c r="AW1192">
        <v>7</v>
      </c>
      <c r="AX1192">
        <v>2</v>
      </c>
      <c r="AY1192">
        <v>2</v>
      </c>
      <c r="AZ1192">
        <v>0</v>
      </c>
      <c r="BA1192">
        <v>0</v>
      </c>
      <c r="BB1192">
        <v>6</v>
      </c>
      <c r="BC1192">
        <v>1</v>
      </c>
      <c r="BD1192">
        <v>0</v>
      </c>
      <c r="BE1192">
        <v>6</v>
      </c>
      <c r="BF1192">
        <v>39</v>
      </c>
      <c r="BG1192">
        <v>2</v>
      </c>
      <c r="BH1192">
        <v>24</v>
      </c>
    </row>
    <row r="1193" spans="3:60" x14ac:dyDescent="0.2">
      <c r="C1193" s="138">
        <v>3</v>
      </c>
      <c r="D1193" s="138">
        <v>24</v>
      </c>
      <c r="E1193" s="138">
        <v>4</v>
      </c>
      <c r="F1193" s="138">
        <v>39</v>
      </c>
      <c r="G1193" s="138">
        <v>28</v>
      </c>
      <c r="H1193" s="138">
        <v>1</v>
      </c>
      <c r="R1193">
        <v>13</v>
      </c>
      <c r="S1193">
        <v>12</v>
      </c>
      <c r="T1193">
        <v>24</v>
      </c>
      <c r="U1193">
        <v>15</v>
      </c>
      <c r="V1193">
        <v>0</v>
      </c>
      <c r="W1193">
        <v>0</v>
      </c>
      <c r="X1193">
        <v>20</v>
      </c>
      <c r="Y1193">
        <v>19</v>
      </c>
      <c r="Z1193">
        <v>32</v>
      </c>
      <c r="AA1193">
        <v>26</v>
      </c>
      <c r="AB1193">
        <v>26</v>
      </c>
      <c r="AC1193">
        <v>14</v>
      </c>
      <c r="AD1193">
        <v>16</v>
      </c>
      <c r="AE1193">
        <v>18</v>
      </c>
      <c r="AF1193">
        <v>0</v>
      </c>
      <c r="AG1193">
        <v>0</v>
      </c>
      <c r="AH1193">
        <v>1</v>
      </c>
      <c r="AI1193">
        <v>2</v>
      </c>
      <c r="AJ1193">
        <v>5</v>
      </c>
      <c r="AK1193">
        <v>1</v>
      </c>
      <c r="AL1193">
        <v>4</v>
      </c>
      <c r="AM1193">
        <v>1</v>
      </c>
      <c r="AN1193">
        <v>1</v>
      </c>
      <c r="AO1193">
        <v>2</v>
      </c>
      <c r="AP1193">
        <v>0</v>
      </c>
      <c r="AQ1193">
        <v>0</v>
      </c>
      <c r="AR1193">
        <v>10</v>
      </c>
      <c r="AS1193">
        <v>7</v>
      </c>
      <c r="AT1193">
        <v>8</v>
      </c>
      <c r="AU1193">
        <v>8</v>
      </c>
      <c r="AV1193">
        <v>9</v>
      </c>
      <c r="AW1193">
        <v>11</v>
      </c>
      <c r="AX1193">
        <v>2</v>
      </c>
      <c r="AY1193">
        <v>1</v>
      </c>
      <c r="AZ1193">
        <v>0</v>
      </c>
      <c r="BA1193">
        <v>0</v>
      </c>
      <c r="BB1193">
        <v>5</v>
      </c>
      <c r="BC1193">
        <v>1</v>
      </c>
      <c r="BD1193">
        <v>0</v>
      </c>
      <c r="BE1193">
        <v>3</v>
      </c>
      <c r="BF1193">
        <v>24</v>
      </c>
      <c r="BG1193">
        <v>4</v>
      </c>
      <c r="BH1193">
        <v>39</v>
      </c>
    </row>
    <row r="1194" spans="3:60" x14ac:dyDescent="0.2">
      <c r="C1194" s="138">
        <v>3</v>
      </c>
      <c r="D1194" s="138">
        <v>30</v>
      </c>
      <c r="E1194" s="138">
        <v>2</v>
      </c>
      <c r="F1194" s="138">
        <v>31</v>
      </c>
      <c r="G1194" s="138">
        <v>18</v>
      </c>
      <c r="H1194" s="138">
        <v>6</v>
      </c>
      <c r="R1194">
        <v>7</v>
      </c>
      <c r="S1194">
        <v>5</v>
      </c>
      <c r="T1194">
        <v>7</v>
      </c>
      <c r="U1194">
        <v>6</v>
      </c>
      <c r="V1194">
        <v>0</v>
      </c>
      <c r="W1194">
        <v>0</v>
      </c>
      <c r="X1194">
        <v>22</v>
      </c>
      <c r="Y1194">
        <v>19</v>
      </c>
      <c r="Z1194">
        <v>19</v>
      </c>
      <c r="AA1194">
        <v>21</v>
      </c>
      <c r="AB1194">
        <v>29</v>
      </c>
      <c r="AC1194">
        <v>25</v>
      </c>
      <c r="AD1194">
        <v>25</v>
      </c>
      <c r="AE1194">
        <v>31</v>
      </c>
      <c r="AF1194">
        <v>0</v>
      </c>
      <c r="AG1194">
        <v>0</v>
      </c>
      <c r="AH1194">
        <v>1</v>
      </c>
      <c r="AI1194">
        <v>1</v>
      </c>
      <c r="AJ1194">
        <v>0</v>
      </c>
      <c r="AK1194">
        <v>0</v>
      </c>
      <c r="AL1194">
        <v>2</v>
      </c>
      <c r="AM1194">
        <v>3</v>
      </c>
      <c r="AN1194">
        <v>1</v>
      </c>
      <c r="AO1194">
        <v>0</v>
      </c>
      <c r="AP1194">
        <v>0</v>
      </c>
      <c r="AQ1194">
        <v>0</v>
      </c>
      <c r="AR1194">
        <v>8</v>
      </c>
      <c r="AS1194">
        <v>5</v>
      </c>
      <c r="AT1194">
        <v>4</v>
      </c>
      <c r="AU1194">
        <v>5</v>
      </c>
      <c r="AV1194">
        <v>8</v>
      </c>
      <c r="AW1194">
        <v>9</v>
      </c>
      <c r="AX1194">
        <v>5</v>
      </c>
      <c r="AY1194">
        <v>1</v>
      </c>
      <c r="AZ1194">
        <v>0</v>
      </c>
      <c r="BA1194">
        <v>0</v>
      </c>
      <c r="BB1194">
        <v>8</v>
      </c>
      <c r="BC1194">
        <v>1</v>
      </c>
      <c r="BD1194">
        <v>0</v>
      </c>
      <c r="BE1194">
        <v>3</v>
      </c>
      <c r="BF1194">
        <v>30</v>
      </c>
      <c r="BG1194">
        <v>2</v>
      </c>
      <c r="BH1194">
        <v>31</v>
      </c>
    </row>
    <row r="1195" spans="3:60" x14ac:dyDescent="0.2">
      <c r="C1195" s="138">
        <v>2</v>
      </c>
      <c r="D1195" s="138">
        <v>23</v>
      </c>
      <c r="E1195" s="138">
        <v>2</v>
      </c>
      <c r="F1195" s="138">
        <v>20</v>
      </c>
      <c r="G1195" s="138">
        <v>20</v>
      </c>
      <c r="H1195" s="138">
        <v>3</v>
      </c>
      <c r="R1195">
        <v>5</v>
      </c>
      <c r="S1195">
        <v>5</v>
      </c>
      <c r="T1195">
        <v>7</v>
      </c>
      <c r="U1195">
        <v>9</v>
      </c>
      <c r="V1195">
        <v>0</v>
      </c>
      <c r="W1195">
        <v>0</v>
      </c>
      <c r="X1195">
        <v>17</v>
      </c>
      <c r="Y1195">
        <v>16</v>
      </c>
      <c r="Z1195">
        <v>24</v>
      </c>
      <c r="AA1195">
        <v>14</v>
      </c>
      <c r="AB1195">
        <v>27</v>
      </c>
      <c r="AC1195">
        <v>18</v>
      </c>
      <c r="AD1195">
        <v>21</v>
      </c>
      <c r="AE1195">
        <v>22</v>
      </c>
      <c r="AF1195">
        <v>0</v>
      </c>
      <c r="AG1195">
        <v>0</v>
      </c>
      <c r="AH1195">
        <v>1</v>
      </c>
      <c r="AI1195">
        <v>0</v>
      </c>
      <c r="AJ1195">
        <v>2</v>
      </c>
      <c r="AK1195">
        <v>1</v>
      </c>
      <c r="AL1195">
        <v>0</v>
      </c>
      <c r="AM1195">
        <v>0</v>
      </c>
      <c r="AN1195">
        <v>1</v>
      </c>
      <c r="AO1195">
        <v>2</v>
      </c>
      <c r="AP1195">
        <v>0</v>
      </c>
      <c r="AQ1195">
        <v>0</v>
      </c>
      <c r="AR1195">
        <v>6</v>
      </c>
      <c r="AS1195">
        <v>6</v>
      </c>
      <c r="AT1195">
        <v>7</v>
      </c>
      <c r="AU1195">
        <v>6</v>
      </c>
      <c r="AV1195">
        <v>8</v>
      </c>
      <c r="AW1195">
        <v>9</v>
      </c>
      <c r="AX1195">
        <v>5</v>
      </c>
      <c r="AY1195">
        <v>0</v>
      </c>
      <c r="AZ1195">
        <v>0</v>
      </c>
      <c r="BA1195">
        <v>0</v>
      </c>
      <c r="BB1195">
        <v>6</v>
      </c>
      <c r="BC1195">
        <v>3</v>
      </c>
      <c r="BD1195">
        <v>0</v>
      </c>
      <c r="BE1195">
        <v>2</v>
      </c>
      <c r="BF1195">
        <v>23</v>
      </c>
      <c r="BG1195">
        <v>2</v>
      </c>
      <c r="BH1195">
        <v>20</v>
      </c>
    </row>
    <row r="1196" spans="3:60" x14ac:dyDescent="0.2">
      <c r="C1196" s="138">
        <v>5</v>
      </c>
      <c r="D1196" s="138">
        <v>30</v>
      </c>
      <c r="E1196" s="138">
        <v>3</v>
      </c>
      <c r="F1196" s="138">
        <v>26</v>
      </c>
      <c r="G1196" s="138">
        <v>12</v>
      </c>
      <c r="H1196" s="138">
        <v>7</v>
      </c>
      <c r="R1196">
        <v>4</v>
      </c>
      <c r="S1196">
        <v>10</v>
      </c>
      <c r="T1196">
        <v>11</v>
      </c>
      <c r="U1196">
        <v>2</v>
      </c>
      <c r="V1196">
        <v>0</v>
      </c>
      <c r="W1196">
        <v>0</v>
      </c>
      <c r="X1196">
        <v>27</v>
      </c>
      <c r="Y1196">
        <v>27</v>
      </c>
      <c r="Z1196">
        <v>23</v>
      </c>
      <c r="AA1196">
        <v>22</v>
      </c>
      <c r="AB1196">
        <v>17</v>
      </c>
      <c r="AC1196">
        <v>20</v>
      </c>
      <c r="AD1196">
        <v>22</v>
      </c>
      <c r="AE1196">
        <v>28</v>
      </c>
      <c r="AF1196">
        <v>0</v>
      </c>
      <c r="AG1196">
        <v>0</v>
      </c>
      <c r="AH1196">
        <v>1</v>
      </c>
      <c r="AI1196">
        <v>0</v>
      </c>
      <c r="AJ1196">
        <v>2</v>
      </c>
      <c r="AK1196">
        <v>2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8</v>
      </c>
      <c r="AS1196">
        <v>5</v>
      </c>
      <c r="AT1196">
        <v>2</v>
      </c>
      <c r="AU1196">
        <v>8</v>
      </c>
      <c r="AV1196">
        <v>6</v>
      </c>
      <c r="AW1196">
        <v>3</v>
      </c>
      <c r="AX1196">
        <v>3</v>
      </c>
      <c r="AY1196">
        <v>1</v>
      </c>
      <c r="AZ1196">
        <v>0</v>
      </c>
      <c r="BA1196">
        <v>0</v>
      </c>
      <c r="BB1196">
        <v>4</v>
      </c>
      <c r="BC1196">
        <v>1</v>
      </c>
      <c r="BD1196">
        <v>0</v>
      </c>
      <c r="BE1196">
        <v>5</v>
      </c>
      <c r="BF1196">
        <v>30</v>
      </c>
      <c r="BG1196">
        <v>3</v>
      </c>
      <c r="BH1196">
        <v>26</v>
      </c>
    </row>
    <row r="1197" spans="3:60" x14ac:dyDescent="0.2">
      <c r="C1197" s="138">
        <v>3</v>
      </c>
      <c r="D1197" s="138">
        <v>27</v>
      </c>
      <c r="E1197" s="138">
        <v>3</v>
      </c>
      <c r="F1197" s="138">
        <v>29</v>
      </c>
      <c r="G1197" s="138">
        <v>17</v>
      </c>
      <c r="H1197" s="138">
        <v>5</v>
      </c>
      <c r="R1197">
        <v>4</v>
      </c>
      <c r="S1197">
        <v>6</v>
      </c>
      <c r="T1197">
        <v>12</v>
      </c>
      <c r="U1197">
        <v>3</v>
      </c>
      <c r="V1197">
        <v>0</v>
      </c>
      <c r="W1197">
        <v>0</v>
      </c>
      <c r="X1197">
        <v>23</v>
      </c>
      <c r="Y1197">
        <v>25</v>
      </c>
      <c r="Z1197">
        <v>31</v>
      </c>
      <c r="AA1197">
        <v>19</v>
      </c>
      <c r="AB1197">
        <v>23</v>
      </c>
      <c r="AC1197">
        <v>14</v>
      </c>
      <c r="AD1197">
        <v>17</v>
      </c>
      <c r="AE1197">
        <v>31</v>
      </c>
      <c r="AF1197">
        <v>0</v>
      </c>
      <c r="AG1197">
        <v>0</v>
      </c>
      <c r="AH1197">
        <v>0</v>
      </c>
      <c r="AI1197">
        <v>1</v>
      </c>
      <c r="AJ1197">
        <v>2</v>
      </c>
      <c r="AK1197">
        <v>1</v>
      </c>
      <c r="AL1197">
        <v>4</v>
      </c>
      <c r="AM1197">
        <v>3</v>
      </c>
      <c r="AN1197">
        <v>0</v>
      </c>
      <c r="AO1197">
        <v>0</v>
      </c>
      <c r="AP1197">
        <v>0</v>
      </c>
      <c r="AQ1197">
        <v>0</v>
      </c>
      <c r="AR1197">
        <v>1</v>
      </c>
      <c r="AS1197">
        <v>5</v>
      </c>
      <c r="AT1197">
        <v>2</v>
      </c>
      <c r="AU1197">
        <v>8</v>
      </c>
      <c r="AV1197">
        <v>4</v>
      </c>
      <c r="AW1197">
        <v>2</v>
      </c>
      <c r="AX1197">
        <v>0</v>
      </c>
      <c r="AY1197">
        <v>0</v>
      </c>
      <c r="AZ1197">
        <v>0</v>
      </c>
      <c r="BA1197">
        <v>0</v>
      </c>
      <c r="BB1197">
        <v>1</v>
      </c>
      <c r="BC1197">
        <v>1</v>
      </c>
      <c r="BD1197">
        <v>0</v>
      </c>
      <c r="BE1197">
        <v>3</v>
      </c>
      <c r="BF1197">
        <v>27</v>
      </c>
      <c r="BG1197">
        <v>3</v>
      </c>
      <c r="BH1197">
        <v>29</v>
      </c>
    </row>
    <row r="1198" spans="3:60" x14ac:dyDescent="0.2">
      <c r="C1198" s="138">
        <v>2</v>
      </c>
      <c r="D1198" s="138">
        <v>31</v>
      </c>
      <c r="E1198" s="138">
        <v>1</v>
      </c>
      <c r="F1198" s="138">
        <v>33</v>
      </c>
      <c r="G1198" s="138">
        <v>16</v>
      </c>
      <c r="H1198" s="138">
        <v>3</v>
      </c>
      <c r="R1198">
        <v>5</v>
      </c>
      <c r="S1198">
        <v>7</v>
      </c>
      <c r="T1198">
        <v>8</v>
      </c>
      <c r="U1198">
        <v>6</v>
      </c>
      <c r="V1198">
        <v>0</v>
      </c>
      <c r="W1198">
        <v>0</v>
      </c>
      <c r="X1198">
        <v>14</v>
      </c>
      <c r="Y1198">
        <v>15</v>
      </c>
      <c r="Z1198">
        <v>25</v>
      </c>
      <c r="AA1198">
        <v>19</v>
      </c>
      <c r="AB1198">
        <v>14</v>
      </c>
      <c r="AC1198">
        <v>35</v>
      </c>
      <c r="AD1198">
        <v>21</v>
      </c>
      <c r="AE1198">
        <v>24</v>
      </c>
      <c r="AF1198">
        <v>0</v>
      </c>
      <c r="AG1198">
        <v>0</v>
      </c>
      <c r="AH1198">
        <v>0</v>
      </c>
      <c r="AI1198">
        <v>0</v>
      </c>
      <c r="AJ1198">
        <v>1</v>
      </c>
      <c r="AK1198">
        <v>1</v>
      </c>
      <c r="AL1198">
        <v>1</v>
      </c>
      <c r="AM1198">
        <v>0</v>
      </c>
      <c r="AN1198">
        <v>2</v>
      </c>
      <c r="AO1198">
        <v>2</v>
      </c>
      <c r="AP1198">
        <v>0</v>
      </c>
      <c r="AQ1198">
        <v>0</v>
      </c>
      <c r="AR1198">
        <v>8</v>
      </c>
      <c r="AS1198">
        <v>1</v>
      </c>
      <c r="AT1198">
        <v>1</v>
      </c>
      <c r="AU1198">
        <v>7</v>
      </c>
      <c r="AV1198">
        <v>4</v>
      </c>
      <c r="AW1198">
        <v>4</v>
      </c>
      <c r="AX1198">
        <v>2</v>
      </c>
      <c r="AY1198">
        <v>0</v>
      </c>
      <c r="AZ1198">
        <v>0</v>
      </c>
      <c r="BA1198">
        <v>0</v>
      </c>
      <c r="BB1198">
        <v>5</v>
      </c>
      <c r="BC1198">
        <v>1</v>
      </c>
      <c r="BD1198">
        <v>0</v>
      </c>
      <c r="BE1198">
        <v>2</v>
      </c>
      <c r="BF1198">
        <v>31</v>
      </c>
      <c r="BG1198">
        <v>1</v>
      </c>
      <c r="BH1198">
        <v>33</v>
      </c>
    </row>
    <row r="1199" spans="3:60" x14ac:dyDescent="0.2">
      <c r="C1199" s="138">
        <v>2</v>
      </c>
      <c r="D1199" s="138">
        <v>27</v>
      </c>
      <c r="E1199" s="138">
        <v>3</v>
      </c>
      <c r="F1199" s="138">
        <v>27</v>
      </c>
      <c r="G1199" s="138">
        <v>13</v>
      </c>
      <c r="H1199" s="138">
        <v>1</v>
      </c>
      <c r="R1199">
        <v>5</v>
      </c>
      <c r="S1199">
        <v>4</v>
      </c>
      <c r="T1199">
        <v>9</v>
      </c>
      <c r="U1199">
        <v>4</v>
      </c>
      <c r="V1199">
        <v>0</v>
      </c>
      <c r="W1199">
        <v>0</v>
      </c>
      <c r="X1199">
        <v>29</v>
      </c>
      <c r="Y1199">
        <v>30</v>
      </c>
      <c r="Z1199">
        <v>19</v>
      </c>
      <c r="AA1199">
        <v>23</v>
      </c>
      <c r="AB1199">
        <v>18</v>
      </c>
      <c r="AC1199">
        <v>19</v>
      </c>
      <c r="AD1199">
        <v>19</v>
      </c>
      <c r="AE1199">
        <v>24</v>
      </c>
      <c r="AF1199">
        <v>0</v>
      </c>
      <c r="AG1199">
        <v>0</v>
      </c>
      <c r="AH1199">
        <v>0</v>
      </c>
      <c r="AI1199">
        <v>1</v>
      </c>
      <c r="AJ1199">
        <v>3</v>
      </c>
      <c r="AK1199">
        <v>3</v>
      </c>
      <c r="AL1199">
        <v>1</v>
      </c>
      <c r="AM1199">
        <v>0</v>
      </c>
      <c r="AN1199">
        <v>1</v>
      </c>
      <c r="AO1199">
        <v>1</v>
      </c>
      <c r="AP1199">
        <v>0</v>
      </c>
      <c r="AQ1199">
        <v>0</v>
      </c>
      <c r="AR1199">
        <v>6</v>
      </c>
      <c r="AS1199">
        <v>2</v>
      </c>
      <c r="AT1199">
        <v>0</v>
      </c>
      <c r="AU1199">
        <v>4</v>
      </c>
      <c r="AV1199">
        <v>7</v>
      </c>
      <c r="AW1199">
        <v>2</v>
      </c>
      <c r="AX1199">
        <v>2</v>
      </c>
      <c r="AY1199">
        <v>0</v>
      </c>
      <c r="AZ1199">
        <v>0</v>
      </c>
      <c r="BA1199">
        <v>0</v>
      </c>
      <c r="BB1199">
        <v>3</v>
      </c>
      <c r="BC1199">
        <v>2</v>
      </c>
      <c r="BD1199">
        <v>0</v>
      </c>
      <c r="BE1199">
        <v>2</v>
      </c>
      <c r="BF1199">
        <v>27</v>
      </c>
      <c r="BG1199">
        <v>3</v>
      </c>
      <c r="BH1199">
        <v>27</v>
      </c>
    </row>
    <row r="1200" spans="3:60" x14ac:dyDescent="0.2">
      <c r="C1200" s="138">
        <v>0</v>
      </c>
      <c r="D1200" s="138">
        <v>18</v>
      </c>
      <c r="E1200" s="138">
        <v>0</v>
      </c>
      <c r="F1200" s="138">
        <v>28</v>
      </c>
      <c r="G1200" s="138">
        <v>19</v>
      </c>
      <c r="H1200" s="138">
        <v>1</v>
      </c>
      <c r="R1200">
        <v>5</v>
      </c>
      <c r="S1200">
        <v>1</v>
      </c>
      <c r="T1200">
        <v>9</v>
      </c>
      <c r="U1200">
        <v>3</v>
      </c>
      <c r="V1200">
        <v>0</v>
      </c>
      <c r="W1200">
        <v>0</v>
      </c>
      <c r="X1200">
        <v>23</v>
      </c>
      <c r="Y1200">
        <v>18</v>
      </c>
      <c r="Z1200">
        <v>28</v>
      </c>
      <c r="AA1200">
        <v>14</v>
      </c>
      <c r="AB1200">
        <v>20</v>
      </c>
      <c r="AC1200">
        <v>22</v>
      </c>
      <c r="AD1200">
        <v>21</v>
      </c>
      <c r="AE1200">
        <v>24</v>
      </c>
      <c r="AF1200">
        <v>0</v>
      </c>
      <c r="AG1200">
        <v>0</v>
      </c>
      <c r="AH1200">
        <v>0</v>
      </c>
      <c r="AI1200">
        <v>0</v>
      </c>
      <c r="AJ1200">
        <v>3</v>
      </c>
      <c r="AK1200">
        <v>2</v>
      </c>
      <c r="AL1200">
        <v>0</v>
      </c>
      <c r="AM1200">
        <v>1</v>
      </c>
      <c r="AN1200">
        <v>1</v>
      </c>
      <c r="AO1200">
        <v>0</v>
      </c>
      <c r="AP1200">
        <v>0</v>
      </c>
      <c r="AQ1200">
        <v>0</v>
      </c>
      <c r="AR1200">
        <v>6</v>
      </c>
      <c r="AS1200">
        <v>2</v>
      </c>
      <c r="AT1200">
        <v>3</v>
      </c>
      <c r="AU1200">
        <v>3</v>
      </c>
      <c r="AV1200">
        <v>1</v>
      </c>
      <c r="AW1200">
        <v>5</v>
      </c>
      <c r="AX1200">
        <v>0</v>
      </c>
      <c r="AY1200">
        <v>0</v>
      </c>
      <c r="AZ1200">
        <v>0</v>
      </c>
      <c r="BA1200">
        <v>0</v>
      </c>
      <c r="BB1200">
        <v>2</v>
      </c>
      <c r="BC1200">
        <v>0</v>
      </c>
      <c r="BD1200">
        <v>0</v>
      </c>
      <c r="BE1200">
        <v>0</v>
      </c>
      <c r="BF1200">
        <v>18</v>
      </c>
      <c r="BG1200">
        <v>0</v>
      </c>
      <c r="BH1200">
        <v>28</v>
      </c>
    </row>
    <row r="1201" spans="3:60" x14ac:dyDescent="0.2">
      <c r="C1201" s="138">
        <v>2</v>
      </c>
      <c r="D1201" s="138">
        <v>29</v>
      </c>
      <c r="E1201" s="138">
        <v>0</v>
      </c>
      <c r="F1201" s="138">
        <v>25</v>
      </c>
      <c r="G1201" s="138">
        <v>11</v>
      </c>
      <c r="H1201" s="138">
        <v>2</v>
      </c>
      <c r="R1201">
        <v>2</v>
      </c>
      <c r="S1201">
        <v>4</v>
      </c>
      <c r="T1201">
        <v>8</v>
      </c>
      <c r="U1201">
        <v>2</v>
      </c>
      <c r="V1201">
        <v>0</v>
      </c>
      <c r="W1201">
        <v>0</v>
      </c>
      <c r="X1201">
        <v>25</v>
      </c>
      <c r="Y1201">
        <v>26</v>
      </c>
      <c r="Z1201">
        <v>16</v>
      </c>
      <c r="AA1201">
        <v>15</v>
      </c>
      <c r="AB1201">
        <v>18</v>
      </c>
      <c r="AC1201">
        <v>25</v>
      </c>
      <c r="AD1201">
        <v>16</v>
      </c>
      <c r="AE1201">
        <v>20</v>
      </c>
      <c r="AF1201">
        <v>0</v>
      </c>
      <c r="AG1201">
        <v>0</v>
      </c>
      <c r="AH1201">
        <v>1</v>
      </c>
      <c r="AI1201">
        <v>2</v>
      </c>
      <c r="AJ1201">
        <v>0</v>
      </c>
      <c r="AK1201">
        <v>3</v>
      </c>
      <c r="AL1201">
        <v>0</v>
      </c>
      <c r="AM1201">
        <v>0</v>
      </c>
      <c r="AN1201">
        <v>2</v>
      </c>
      <c r="AO1201">
        <v>1</v>
      </c>
      <c r="AP1201">
        <v>0</v>
      </c>
      <c r="AQ1201">
        <v>0</v>
      </c>
      <c r="AR1201">
        <v>2</v>
      </c>
      <c r="AS1201">
        <v>1</v>
      </c>
      <c r="AT1201">
        <v>4</v>
      </c>
      <c r="AU1201">
        <v>1</v>
      </c>
      <c r="AV1201">
        <v>2</v>
      </c>
      <c r="AW1201">
        <v>3</v>
      </c>
      <c r="AX1201">
        <v>0</v>
      </c>
      <c r="AY1201">
        <v>0</v>
      </c>
      <c r="AZ1201">
        <v>0</v>
      </c>
      <c r="BA1201">
        <v>0</v>
      </c>
      <c r="BB1201">
        <v>5</v>
      </c>
      <c r="BC1201">
        <v>0</v>
      </c>
      <c r="BD1201">
        <v>0</v>
      </c>
      <c r="BE1201">
        <v>2</v>
      </c>
      <c r="BF1201">
        <v>29</v>
      </c>
      <c r="BG1201">
        <v>0</v>
      </c>
      <c r="BH1201">
        <v>25</v>
      </c>
    </row>
    <row r="1202" spans="3:60" x14ac:dyDescent="0.2">
      <c r="C1202" s="138">
        <v>0</v>
      </c>
      <c r="D1202" s="138">
        <v>22</v>
      </c>
      <c r="E1202" s="138">
        <v>0</v>
      </c>
      <c r="F1202" s="138">
        <v>17</v>
      </c>
      <c r="G1202" s="138">
        <v>8</v>
      </c>
      <c r="H1202" s="138">
        <v>0</v>
      </c>
      <c r="R1202">
        <v>4</v>
      </c>
      <c r="S1202">
        <v>3</v>
      </c>
      <c r="T1202">
        <v>3</v>
      </c>
      <c r="U1202">
        <v>5</v>
      </c>
      <c r="V1202">
        <v>0</v>
      </c>
      <c r="W1202">
        <v>0</v>
      </c>
      <c r="X1202">
        <v>25</v>
      </c>
      <c r="Y1202">
        <v>15</v>
      </c>
      <c r="Z1202">
        <v>16</v>
      </c>
      <c r="AA1202">
        <v>20</v>
      </c>
      <c r="AB1202">
        <v>33</v>
      </c>
      <c r="AC1202">
        <v>16</v>
      </c>
      <c r="AD1202">
        <v>19</v>
      </c>
      <c r="AE1202">
        <v>24</v>
      </c>
      <c r="AF1202">
        <v>0</v>
      </c>
      <c r="AG1202">
        <v>0</v>
      </c>
      <c r="AH1202">
        <v>0</v>
      </c>
      <c r="AI1202">
        <v>0</v>
      </c>
      <c r="AJ1202">
        <v>1</v>
      </c>
      <c r="AK1202">
        <v>0</v>
      </c>
      <c r="AL1202">
        <v>3</v>
      </c>
      <c r="AM1202">
        <v>0</v>
      </c>
      <c r="AN1202">
        <v>2</v>
      </c>
      <c r="AO1202">
        <v>1</v>
      </c>
      <c r="AP1202">
        <v>0</v>
      </c>
      <c r="AQ1202">
        <v>0</v>
      </c>
      <c r="AR1202">
        <v>1</v>
      </c>
      <c r="AS1202">
        <v>3</v>
      </c>
      <c r="AT1202">
        <v>0</v>
      </c>
      <c r="AU1202">
        <v>5</v>
      </c>
      <c r="AV1202">
        <v>0</v>
      </c>
      <c r="AW1202">
        <v>2</v>
      </c>
      <c r="AX1202">
        <v>1</v>
      </c>
      <c r="AY1202">
        <v>0</v>
      </c>
      <c r="AZ1202">
        <v>0</v>
      </c>
      <c r="BA1202">
        <v>0</v>
      </c>
      <c r="BB1202">
        <v>3</v>
      </c>
      <c r="BC1202">
        <v>0</v>
      </c>
      <c r="BD1202">
        <v>0</v>
      </c>
      <c r="BE1202">
        <v>0</v>
      </c>
      <c r="BF1202">
        <v>22</v>
      </c>
      <c r="BG1202">
        <v>0</v>
      </c>
      <c r="BH1202">
        <v>17</v>
      </c>
    </row>
    <row r="1203" spans="3:60" x14ac:dyDescent="0.2">
      <c r="C1203" s="138">
        <v>1</v>
      </c>
      <c r="D1203" s="138">
        <v>25</v>
      </c>
      <c r="E1203" s="138">
        <v>1</v>
      </c>
      <c r="F1203" s="138">
        <v>27</v>
      </c>
      <c r="G1203" s="138">
        <v>7</v>
      </c>
      <c r="H1203" s="138">
        <v>0</v>
      </c>
      <c r="R1203">
        <v>5</v>
      </c>
      <c r="S1203">
        <v>4</v>
      </c>
      <c r="T1203">
        <v>8</v>
      </c>
      <c r="U1203">
        <v>4</v>
      </c>
      <c r="V1203">
        <v>0</v>
      </c>
      <c r="W1203">
        <v>0</v>
      </c>
      <c r="X1203">
        <v>20</v>
      </c>
      <c r="Y1203">
        <v>21</v>
      </c>
      <c r="Z1203">
        <v>24</v>
      </c>
      <c r="AA1203">
        <v>17</v>
      </c>
      <c r="AB1203">
        <v>18</v>
      </c>
      <c r="AC1203">
        <v>19</v>
      </c>
      <c r="AD1203">
        <v>13</v>
      </c>
      <c r="AE1203">
        <v>12</v>
      </c>
      <c r="AF1203">
        <v>0</v>
      </c>
      <c r="AG1203">
        <v>0</v>
      </c>
      <c r="AH1203">
        <v>0</v>
      </c>
      <c r="AI1203">
        <v>1</v>
      </c>
      <c r="AJ1203">
        <v>2</v>
      </c>
      <c r="AK1203">
        <v>1</v>
      </c>
      <c r="AL1203">
        <v>0</v>
      </c>
      <c r="AM1203">
        <v>0</v>
      </c>
      <c r="AN1203">
        <v>2</v>
      </c>
      <c r="AO1203">
        <v>0</v>
      </c>
      <c r="AP1203">
        <v>0</v>
      </c>
      <c r="AQ1203">
        <v>0</v>
      </c>
      <c r="AR1203">
        <v>3</v>
      </c>
      <c r="AS1203">
        <v>0</v>
      </c>
      <c r="AT1203">
        <v>0</v>
      </c>
      <c r="AU1203">
        <v>1</v>
      </c>
      <c r="AV1203">
        <v>2</v>
      </c>
      <c r="AW1203">
        <v>5</v>
      </c>
      <c r="AX1203">
        <v>2</v>
      </c>
      <c r="AY1203">
        <v>0</v>
      </c>
      <c r="AZ1203">
        <v>0</v>
      </c>
      <c r="BA1203">
        <v>0</v>
      </c>
      <c r="BB1203">
        <v>2</v>
      </c>
      <c r="BC1203">
        <v>0</v>
      </c>
      <c r="BD1203">
        <v>0</v>
      </c>
      <c r="BE1203">
        <v>1</v>
      </c>
      <c r="BF1203">
        <v>25</v>
      </c>
      <c r="BG1203">
        <v>1</v>
      </c>
      <c r="BH1203">
        <v>27</v>
      </c>
    </row>
    <row r="1204" spans="3:60" x14ac:dyDescent="0.2">
      <c r="C1204" s="138">
        <v>1</v>
      </c>
      <c r="D1204" s="138">
        <v>21</v>
      </c>
      <c r="E1204" s="138">
        <v>2</v>
      </c>
      <c r="F1204" s="138">
        <v>21</v>
      </c>
      <c r="G1204" s="138">
        <v>11</v>
      </c>
      <c r="H1204" s="138">
        <v>4</v>
      </c>
      <c r="R1204">
        <v>4</v>
      </c>
      <c r="S1204">
        <v>6</v>
      </c>
      <c r="T1204">
        <v>11</v>
      </c>
      <c r="U1204">
        <v>0</v>
      </c>
      <c r="V1204">
        <v>0</v>
      </c>
      <c r="W1204">
        <v>0</v>
      </c>
      <c r="X1204">
        <v>17</v>
      </c>
      <c r="Y1204">
        <v>13</v>
      </c>
      <c r="Z1204">
        <v>16</v>
      </c>
      <c r="AA1204">
        <v>18</v>
      </c>
      <c r="AB1204">
        <v>17</v>
      </c>
      <c r="AC1204">
        <v>9</v>
      </c>
      <c r="AD1204">
        <v>20</v>
      </c>
      <c r="AE1204">
        <v>23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1</v>
      </c>
      <c r="AL1204">
        <v>0</v>
      </c>
      <c r="AM1204">
        <v>1</v>
      </c>
      <c r="AN1204">
        <v>0</v>
      </c>
      <c r="AO1204">
        <v>0</v>
      </c>
      <c r="AP1204">
        <v>0</v>
      </c>
      <c r="AQ1204">
        <v>0</v>
      </c>
      <c r="AR1204">
        <v>1</v>
      </c>
      <c r="AS1204">
        <v>2</v>
      </c>
      <c r="AT1204">
        <v>2</v>
      </c>
      <c r="AU1204">
        <v>2</v>
      </c>
      <c r="AV1204">
        <v>2</v>
      </c>
      <c r="AW1204">
        <v>4</v>
      </c>
      <c r="AX1204">
        <v>0</v>
      </c>
      <c r="AY1204">
        <v>0</v>
      </c>
      <c r="AZ1204">
        <v>0</v>
      </c>
      <c r="BA1204">
        <v>0</v>
      </c>
      <c r="BB1204">
        <v>3</v>
      </c>
      <c r="BC1204">
        <v>0</v>
      </c>
      <c r="BD1204">
        <v>0</v>
      </c>
      <c r="BE1204">
        <v>1</v>
      </c>
      <c r="BF1204">
        <v>21</v>
      </c>
      <c r="BG1204">
        <v>2</v>
      </c>
      <c r="BH1204">
        <v>21</v>
      </c>
    </row>
    <row r="1205" spans="3:60" x14ac:dyDescent="0.2">
      <c r="C1205" s="138">
        <v>1</v>
      </c>
      <c r="D1205" s="138">
        <v>20</v>
      </c>
      <c r="E1205" s="138">
        <v>0</v>
      </c>
      <c r="F1205" s="138">
        <v>17</v>
      </c>
      <c r="G1205" s="138">
        <v>10</v>
      </c>
      <c r="H1205" s="138">
        <v>0</v>
      </c>
      <c r="R1205">
        <v>2</v>
      </c>
      <c r="S1205">
        <v>5</v>
      </c>
      <c r="T1205">
        <v>7</v>
      </c>
      <c r="U1205">
        <v>2</v>
      </c>
      <c r="V1205">
        <v>0</v>
      </c>
      <c r="W1205">
        <v>0</v>
      </c>
      <c r="X1205">
        <v>18</v>
      </c>
      <c r="Y1205">
        <v>24</v>
      </c>
      <c r="Z1205">
        <v>15</v>
      </c>
      <c r="AA1205">
        <v>15</v>
      </c>
      <c r="AB1205">
        <v>19</v>
      </c>
      <c r="AC1205">
        <v>17</v>
      </c>
      <c r="AD1205">
        <v>25</v>
      </c>
      <c r="AE1205">
        <v>25</v>
      </c>
      <c r="AF1205">
        <v>0</v>
      </c>
      <c r="AG1205">
        <v>0</v>
      </c>
      <c r="AH1205">
        <v>0</v>
      </c>
      <c r="AI1205">
        <v>0</v>
      </c>
      <c r="AJ1205">
        <v>3</v>
      </c>
      <c r="AK1205">
        <v>0</v>
      </c>
      <c r="AL1205">
        <v>1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4</v>
      </c>
      <c r="AU1205">
        <v>2</v>
      </c>
      <c r="AV1205">
        <v>1</v>
      </c>
      <c r="AW1205">
        <v>1</v>
      </c>
      <c r="AX1205">
        <v>2</v>
      </c>
      <c r="AY1205">
        <v>0</v>
      </c>
      <c r="AZ1205">
        <v>0</v>
      </c>
      <c r="BA1205">
        <v>0</v>
      </c>
      <c r="BB1205">
        <v>1</v>
      </c>
      <c r="BC1205">
        <v>0</v>
      </c>
      <c r="BD1205">
        <v>0</v>
      </c>
      <c r="BE1205">
        <v>1</v>
      </c>
      <c r="BF1205">
        <v>20</v>
      </c>
      <c r="BG1205">
        <v>0</v>
      </c>
      <c r="BH1205">
        <v>17</v>
      </c>
    </row>
    <row r="1206" spans="3:60" x14ac:dyDescent="0.2">
      <c r="C1206" s="138">
        <v>0</v>
      </c>
      <c r="D1206" s="138">
        <v>14</v>
      </c>
      <c r="E1206" s="138">
        <v>2</v>
      </c>
      <c r="F1206" s="138">
        <v>20</v>
      </c>
      <c r="G1206" s="138">
        <v>13</v>
      </c>
      <c r="H1206" s="138">
        <v>1</v>
      </c>
      <c r="R1206">
        <v>3</v>
      </c>
      <c r="S1206">
        <v>2</v>
      </c>
      <c r="T1206">
        <v>8</v>
      </c>
      <c r="U1206">
        <v>4</v>
      </c>
      <c r="V1206">
        <v>0</v>
      </c>
      <c r="W1206">
        <v>0</v>
      </c>
      <c r="X1206">
        <v>12</v>
      </c>
      <c r="Y1206">
        <v>18</v>
      </c>
      <c r="Z1206">
        <v>10</v>
      </c>
      <c r="AA1206">
        <v>12</v>
      </c>
      <c r="AB1206">
        <v>12</v>
      </c>
      <c r="AC1206">
        <v>16</v>
      </c>
      <c r="AD1206">
        <v>12</v>
      </c>
      <c r="AE1206">
        <v>22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1</v>
      </c>
      <c r="AL1206">
        <v>2</v>
      </c>
      <c r="AM1206">
        <v>0</v>
      </c>
      <c r="AN1206">
        <v>0</v>
      </c>
      <c r="AO1206">
        <v>2</v>
      </c>
      <c r="AP1206">
        <v>0</v>
      </c>
      <c r="AQ1206">
        <v>0</v>
      </c>
      <c r="AR1206">
        <v>3</v>
      </c>
      <c r="AS1206">
        <v>0</v>
      </c>
      <c r="AT1206">
        <v>0</v>
      </c>
      <c r="AU1206">
        <v>0</v>
      </c>
      <c r="AV1206">
        <v>1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3</v>
      </c>
      <c r="BC1206">
        <v>1</v>
      </c>
      <c r="BD1206">
        <v>0</v>
      </c>
      <c r="BE1206">
        <v>0</v>
      </c>
      <c r="BF1206">
        <v>14</v>
      </c>
      <c r="BG1206">
        <v>2</v>
      </c>
      <c r="BH1206">
        <v>20</v>
      </c>
    </row>
    <row r="1207" spans="3:60" x14ac:dyDescent="0.2">
      <c r="C1207" s="138">
        <v>2</v>
      </c>
      <c r="D1207" s="138">
        <v>13</v>
      </c>
      <c r="E1207" s="138">
        <v>0</v>
      </c>
      <c r="F1207" s="138">
        <v>12</v>
      </c>
      <c r="G1207" s="138">
        <v>6</v>
      </c>
      <c r="H1207" s="138">
        <v>0</v>
      </c>
      <c r="R1207">
        <v>1</v>
      </c>
      <c r="S1207">
        <v>6</v>
      </c>
      <c r="T1207">
        <v>3</v>
      </c>
      <c r="U1207">
        <v>1</v>
      </c>
      <c r="V1207">
        <v>0</v>
      </c>
      <c r="W1207">
        <v>0</v>
      </c>
      <c r="X1207">
        <v>13</v>
      </c>
      <c r="Y1207">
        <v>20</v>
      </c>
      <c r="Z1207">
        <v>11</v>
      </c>
      <c r="AA1207">
        <v>14</v>
      </c>
      <c r="AB1207">
        <v>21</v>
      </c>
      <c r="AC1207">
        <v>17</v>
      </c>
      <c r="AD1207">
        <v>20</v>
      </c>
      <c r="AE1207">
        <v>25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1</v>
      </c>
      <c r="AM1207">
        <v>0</v>
      </c>
      <c r="AN1207">
        <v>1</v>
      </c>
      <c r="AO1207">
        <v>0</v>
      </c>
      <c r="AP1207">
        <v>0</v>
      </c>
      <c r="AQ1207">
        <v>0</v>
      </c>
      <c r="AR1207">
        <v>0</v>
      </c>
      <c r="AS1207">
        <v>1</v>
      </c>
      <c r="AT1207">
        <v>3</v>
      </c>
      <c r="AU1207">
        <v>0</v>
      </c>
      <c r="AV1207">
        <v>0</v>
      </c>
      <c r="AW1207">
        <v>1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2</v>
      </c>
      <c r="BF1207">
        <v>13</v>
      </c>
      <c r="BG1207">
        <v>0</v>
      </c>
      <c r="BH1207">
        <v>12</v>
      </c>
    </row>
    <row r="1208" spans="3:60" x14ac:dyDescent="0.2">
      <c r="C1208" s="138">
        <v>0</v>
      </c>
      <c r="D1208" s="138">
        <v>8</v>
      </c>
      <c r="E1208" s="138">
        <v>0</v>
      </c>
      <c r="F1208" s="138">
        <v>14</v>
      </c>
      <c r="G1208" s="138">
        <v>7</v>
      </c>
      <c r="H1208" s="138">
        <v>0</v>
      </c>
      <c r="R1208">
        <v>0</v>
      </c>
      <c r="S1208">
        <v>2</v>
      </c>
      <c r="T1208">
        <v>3</v>
      </c>
      <c r="U1208">
        <v>1</v>
      </c>
      <c r="V1208">
        <v>0</v>
      </c>
      <c r="W1208">
        <v>0</v>
      </c>
      <c r="X1208">
        <v>13</v>
      </c>
      <c r="Y1208">
        <v>15</v>
      </c>
      <c r="Z1208">
        <v>8</v>
      </c>
      <c r="AA1208">
        <v>12</v>
      </c>
      <c r="AB1208">
        <v>9</v>
      </c>
      <c r="AC1208">
        <v>11</v>
      </c>
      <c r="AD1208">
        <v>14</v>
      </c>
      <c r="AE1208">
        <v>21</v>
      </c>
      <c r="AF1208">
        <v>0</v>
      </c>
      <c r="AG1208">
        <v>0</v>
      </c>
      <c r="AH1208">
        <v>0</v>
      </c>
      <c r="AI1208">
        <v>0</v>
      </c>
      <c r="AJ1208">
        <v>1</v>
      </c>
      <c r="AK1208">
        <v>1</v>
      </c>
      <c r="AL1208">
        <v>0</v>
      </c>
      <c r="AM1208">
        <v>0</v>
      </c>
      <c r="AN1208">
        <v>0</v>
      </c>
      <c r="AO1208">
        <v>1</v>
      </c>
      <c r="AP1208">
        <v>0</v>
      </c>
      <c r="AQ1208">
        <v>0</v>
      </c>
      <c r="AR1208">
        <v>0</v>
      </c>
      <c r="AS1208">
        <v>0</v>
      </c>
      <c r="AT1208">
        <v>1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4</v>
      </c>
      <c r="BC1208">
        <v>0</v>
      </c>
      <c r="BD1208">
        <v>0</v>
      </c>
      <c r="BE1208">
        <v>0</v>
      </c>
      <c r="BF1208">
        <v>8</v>
      </c>
      <c r="BG1208">
        <v>0</v>
      </c>
      <c r="BH1208">
        <v>14</v>
      </c>
    </row>
    <row r="1209" spans="3:60" x14ac:dyDescent="0.2">
      <c r="C1209" s="138">
        <v>0</v>
      </c>
      <c r="D1209" s="138">
        <v>9</v>
      </c>
      <c r="E1209" s="138">
        <v>1</v>
      </c>
      <c r="F1209" s="138">
        <v>8</v>
      </c>
      <c r="G1209" s="138">
        <v>3</v>
      </c>
      <c r="H1209" s="138">
        <v>0</v>
      </c>
      <c r="R1209">
        <v>1</v>
      </c>
      <c r="S1209">
        <v>2</v>
      </c>
      <c r="T1209">
        <v>5</v>
      </c>
      <c r="U1209">
        <v>1</v>
      </c>
      <c r="V1209">
        <v>0</v>
      </c>
      <c r="W1209">
        <v>0</v>
      </c>
      <c r="X1209">
        <v>11</v>
      </c>
      <c r="Y1209">
        <v>12</v>
      </c>
      <c r="Z1209">
        <v>7</v>
      </c>
      <c r="AA1209">
        <v>15</v>
      </c>
      <c r="AB1209">
        <v>11</v>
      </c>
      <c r="AC1209">
        <v>21</v>
      </c>
      <c r="AD1209">
        <v>12</v>
      </c>
      <c r="AE1209">
        <v>16</v>
      </c>
      <c r="AF1209">
        <v>0</v>
      </c>
      <c r="AG1209">
        <v>0</v>
      </c>
      <c r="AH1209">
        <v>0</v>
      </c>
      <c r="AI1209">
        <v>0</v>
      </c>
      <c r="AJ1209">
        <v>1</v>
      </c>
      <c r="AK1209">
        <v>0</v>
      </c>
      <c r="AL1209">
        <v>0</v>
      </c>
      <c r="AM1209">
        <v>1</v>
      </c>
      <c r="AN1209">
        <v>1</v>
      </c>
      <c r="AO1209">
        <v>0</v>
      </c>
      <c r="AP1209">
        <v>0</v>
      </c>
      <c r="AQ1209">
        <v>0</v>
      </c>
      <c r="AR1209">
        <v>1</v>
      </c>
      <c r="AS1209">
        <v>0</v>
      </c>
      <c r="AT1209">
        <v>0</v>
      </c>
      <c r="AU1209">
        <v>1</v>
      </c>
      <c r="AV1209">
        <v>2</v>
      </c>
      <c r="AW1209">
        <v>1</v>
      </c>
      <c r="AX1209">
        <v>1</v>
      </c>
      <c r="AY1209">
        <v>0</v>
      </c>
      <c r="AZ1209">
        <v>0</v>
      </c>
      <c r="BA1209">
        <v>0</v>
      </c>
      <c r="BB1209">
        <v>2</v>
      </c>
      <c r="BC1209">
        <v>0</v>
      </c>
      <c r="BD1209">
        <v>0</v>
      </c>
      <c r="BE1209">
        <v>0</v>
      </c>
      <c r="BF1209">
        <v>9</v>
      </c>
      <c r="BG1209">
        <v>1</v>
      </c>
      <c r="BH1209">
        <v>8</v>
      </c>
    </row>
    <row r="1210" spans="3:60" x14ac:dyDescent="0.2">
      <c r="C1210" s="138">
        <v>0</v>
      </c>
      <c r="D1210" s="138">
        <v>10</v>
      </c>
      <c r="E1210" s="138">
        <v>0</v>
      </c>
      <c r="F1210" s="138">
        <v>11</v>
      </c>
      <c r="G1210" s="138">
        <v>1</v>
      </c>
      <c r="H1210" s="138">
        <v>0</v>
      </c>
      <c r="R1210">
        <v>1</v>
      </c>
      <c r="S1210">
        <v>1</v>
      </c>
      <c r="T1210">
        <v>2</v>
      </c>
      <c r="U1210">
        <v>1</v>
      </c>
      <c r="V1210">
        <v>0</v>
      </c>
      <c r="W1210">
        <v>0</v>
      </c>
      <c r="X1210">
        <v>9</v>
      </c>
      <c r="Y1210">
        <v>12</v>
      </c>
      <c r="Z1210">
        <v>15</v>
      </c>
      <c r="AA1210">
        <v>8</v>
      </c>
      <c r="AB1210">
        <v>14</v>
      </c>
      <c r="AC1210">
        <v>17</v>
      </c>
      <c r="AD1210">
        <v>10</v>
      </c>
      <c r="AE1210">
        <v>15</v>
      </c>
      <c r="AF1210">
        <v>0</v>
      </c>
      <c r="AG1210">
        <v>0</v>
      </c>
      <c r="AH1210">
        <v>0</v>
      </c>
      <c r="AI1210">
        <v>0</v>
      </c>
      <c r="AJ1210">
        <v>3</v>
      </c>
      <c r="AK1210">
        <v>0</v>
      </c>
      <c r="AL1210">
        <v>1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2</v>
      </c>
      <c r="AS1210">
        <v>1</v>
      </c>
      <c r="AT1210">
        <v>0</v>
      </c>
      <c r="AU1210">
        <v>1</v>
      </c>
      <c r="AV1210">
        <v>0</v>
      </c>
      <c r="AW1210">
        <v>1</v>
      </c>
      <c r="AX1210">
        <v>1</v>
      </c>
      <c r="AY1210">
        <v>0</v>
      </c>
      <c r="AZ1210">
        <v>0</v>
      </c>
      <c r="BA1210">
        <v>0</v>
      </c>
      <c r="BB1210">
        <v>3</v>
      </c>
      <c r="BC1210">
        <v>0</v>
      </c>
      <c r="BD1210">
        <v>0</v>
      </c>
      <c r="BE1210">
        <v>0</v>
      </c>
      <c r="BF1210">
        <v>10</v>
      </c>
      <c r="BG1210">
        <v>0</v>
      </c>
      <c r="BH1210">
        <v>11</v>
      </c>
    </row>
    <row r="1211" spans="3:60" x14ac:dyDescent="0.2">
      <c r="C1211" s="138">
        <v>0</v>
      </c>
      <c r="D1211" s="138">
        <v>11</v>
      </c>
      <c r="E1211" s="138">
        <v>1</v>
      </c>
      <c r="F1211" s="138">
        <v>9</v>
      </c>
      <c r="G1211" s="138">
        <v>1</v>
      </c>
      <c r="H1211" s="138">
        <v>0</v>
      </c>
      <c r="R1211">
        <v>1</v>
      </c>
      <c r="S1211">
        <v>1</v>
      </c>
      <c r="T1211">
        <v>4</v>
      </c>
      <c r="U1211">
        <v>1</v>
      </c>
      <c r="V1211">
        <v>0</v>
      </c>
      <c r="W1211">
        <v>0</v>
      </c>
      <c r="X1211">
        <v>12</v>
      </c>
      <c r="Y1211">
        <v>17</v>
      </c>
      <c r="Z1211">
        <v>9</v>
      </c>
      <c r="AA1211">
        <v>18</v>
      </c>
      <c r="AB1211">
        <v>15</v>
      </c>
      <c r="AC1211">
        <v>19</v>
      </c>
      <c r="AD1211">
        <v>20</v>
      </c>
      <c r="AE1211">
        <v>14</v>
      </c>
      <c r="AF1211">
        <v>0</v>
      </c>
      <c r="AG1211">
        <v>0</v>
      </c>
      <c r="AH1211">
        <v>1</v>
      </c>
      <c r="AI1211">
        <v>0</v>
      </c>
      <c r="AJ1211">
        <v>2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2</v>
      </c>
      <c r="AT1211">
        <v>0</v>
      </c>
      <c r="AU1211">
        <v>0</v>
      </c>
      <c r="AV1211">
        <v>0</v>
      </c>
      <c r="AW1211">
        <v>1</v>
      </c>
      <c r="AX1211">
        <v>0</v>
      </c>
      <c r="AY1211">
        <v>1</v>
      </c>
      <c r="AZ1211">
        <v>0</v>
      </c>
      <c r="BA1211">
        <v>0</v>
      </c>
      <c r="BB1211">
        <v>1</v>
      </c>
      <c r="BC1211">
        <v>0</v>
      </c>
      <c r="BD1211">
        <v>0</v>
      </c>
      <c r="BE1211">
        <v>0</v>
      </c>
      <c r="BF1211">
        <v>11</v>
      </c>
      <c r="BG1211">
        <v>1</v>
      </c>
      <c r="BH1211">
        <v>9</v>
      </c>
    </row>
    <row r="1212" spans="3:60" x14ac:dyDescent="0.2">
      <c r="C1212" s="138">
        <v>1</v>
      </c>
      <c r="D1212" s="138">
        <v>4</v>
      </c>
      <c r="E1212" s="138">
        <v>0</v>
      </c>
      <c r="F1212" s="138">
        <v>8</v>
      </c>
      <c r="G1212" s="138">
        <v>0</v>
      </c>
      <c r="H1212" s="138">
        <v>0</v>
      </c>
      <c r="R1212">
        <v>0</v>
      </c>
      <c r="S1212">
        <v>0</v>
      </c>
      <c r="T1212">
        <v>3</v>
      </c>
      <c r="U1212">
        <v>1</v>
      </c>
      <c r="V1212">
        <v>0</v>
      </c>
      <c r="W1212">
        <v>0</v>
      </c>
      <c r="X1212">
        <v>8</v>
      </c>
      <c r="Y1212">
        <v>14</v>
      </c>
      <c r="Z1212">
        <v>5</v>
      </c>
      <c r="AA1212">
        <v>8</v>
      </c>
      <c r="AB1212">
        <v>9</v>
      </c>
      <c r="AC1212">
        <v>14</v>
      </c>
      <c r="AD1212">
        <v>12</v>
      </c>
      <c r="AE1212">
        <v>14</v>
      </c>
      <c r="AF1212">
        <v>0</v>
      </c>
      <c r="AG1212">
        <v>0</v>
      </c>
      <c r="AH1212">
        <v>0</v>
      </c>
      <c r="AI1212">
        <v>1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2</v>
      </c>
      <c r="AS1212">
        <v>1</v>
      </c>
      <c r="AT1212">
        <v>0</v>
      </c>
      <c r="AU1212">
        <v>0</v>
      </c>
      <c r="AV1212">
        <v>1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1</v>
      </c>
      <c r="BC1212">
        <v>0</v>
      </c>
      <c r="BD1212">
        <v>0</v>
      </c>
      <c r="BE1212">
        <v>1</v>
      </c>
      <c r="BF1212">
        <v>4</v>
      </c>
      <c r="BG1212">
        <v>0</v>
      </c>
      <c r="BH1212">
        <v>8</v>
      </c>
    </row>
    <row r="1213" spans="3:60" x14ac:dyDescent="0.2">
      <c r="C1213" s="138">
        <v>1</v>
      </c>
      <c r="D1213" s="138">
        <v>6</v>
      </c>
      <c r="E1213" s="138">
        <v>0</v>
      </c>
      <c r="F1213" s="138">
        <v>4</v>
      </c>
      <c r="G1213" s="138">
        <v>5</v>
      </c>
      <c r="H1213" s="138">
        <v>0</v>
      </c>
      <c r="R1213">
        <v>0</v>
      </c>
      <c r="S1213">
        <v>2</v>
      </c>
      <c r="T1213">
        <v>3</v>
      </c>
      <c r="U1213">
        <v>0</v>
      </c>
      <c r="V1213">
        <v>0</v>
      </c>
      <c r="W1213">
        <v>0</v>
      </c>
      <c r="X1213">
        <v>7</v>
      </c>
      <c r="Y1213">
        <v>8</v>
      </c>
      <c r="Z1213">
        <v>11</v>
      </c>
      <c r="AA1213">
        <v>9</v>
      </c>
      <c r="AB1213">
        <v>13</v>
      </c>
      <c r="AC1213">
        <v>9</v>
      </c>
      <c r="AD1213">
        <v>7</v>
      </c>
      <c r="AE1213">
        <v>7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1</v>
      </c>
      <c r="AM1213">
        <v>1</v>
      </c>
      <c r="AN1213">
        <v>1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2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3</v>
      </c>
      <c r="BC1213">
        <v>0</v>
      </c>
      <c r="BD1213">
        <v>0</v>
      </c>
      <c r="BE1213">
        <v>1</v>
      </c>
      <c r="BF1213">
        <v>6</v>
      </c>
      <c r="BG1213">
        <v>0</v>
      </c>
      <c r="BH1213">
        <v>4</v>
      </c>
    </row>
    <row r="1214" spans="3:60" x14ac:dyDescent="0.2">
      <c r="C1214" s="138">
        <v>0</v>
      </c>
      <c r="D1214" s="138">
        <v>5</v>
      </c>
      <c r="E1214" s="138">
        <v>1</v>
      </c>
      <c r="F1214" s="138">
        <v>2</v>
      </c>
      <c r="G1214" s="138">
        <v>2</v>
      </c>
      <c r="H1214" s="138">
        <v>0</v>
      </c>
      <c r="R1214">
        <v>0</v>
      </c>
      <c r="S1214">
        <v>3</v>
      </c>
      <c r="T1214">
        <v>0</v>
      </c>
      <c r="U1214">
        <v>1</v>
      </c>
      <c r="V1214">
        <v>0</v>
      </c>
      <c r="W1214">
        <v>0</v>
      </c>
      <c r="X1214">
        <v>7</v>
      </c>
      <c r="Y1214">
        <v>10</v>
      </c>
      <c r="Z1214">
        <v>5</v>
      </c>
      <c r="AA1214">
        <v>6</v>
      </c>
      <c r="AB1214">
        <v>9</v>
      </c>
      <c r="AC1214">
        <v>8</v>
      </c>
      <c r="AD1214">
        <v>10</v>
      </c>
      <c r="AE1214">
        <v>10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1</v>
      </c>
      <c r="AU1214">
        <v>2</v>
      </c>
      <c r="AV1214">
        <v>1</v>
      </c>
      <c r="AW1214">
        <v>1</v>
      </c>
      <c r="AX1214">
        <v>0</v>
      </c>
      <c r="AY1214">
        <v>0</v>
      </c>
      <c r="AZ1214">
        <v>0</v>
      </c>
      <c r="BA1214">
        <v>0</v>
      </c>
      <c r="BB1214">
        <v>1</v>
      </c>
      <c r="BC1214">
        <v>0</v>
      </c>
      <c r="BD1214">
        <v>0</v>
      </c>
      <c r="BE1214">
        <v>0</v>
      </c>
      <c r="BF1214">
        <v>5</v>
      </c>
      <c r="BG1214">
        <v>1</v>
      </c>
      <c r="BH1214">
        <v>2</v>
      </c>
    </row>
    <row r="1215" spans="3:60" x14ac:dyDescent="0.2">
      <c r="C1215" s="138">
        <v>0</v>
      </c>
      <c r="D1215" s="138">
        <v>2</v>
      </c>
      <c r="E1215" s="138">
        <v>0</v>
      </c>
      <c r="F1215" s="138">
        <v>5</v>
      </c>
      <c r="G1215" s="138">
        <v>2</v>
      </c>
      <c r="H1215" s="138">
        <v>0</v>
      </c>
      <c r="R1215">
        <v>0</v>
      </c>
      <c r="S1215">
        <v>1</v>
      </c>
      <c r="T1215">
        <v>0</v>
      </c>
      <c r="U1215">
        <v>1</v>
      </c>
      <c r="V1215">
        <v>0</v>
      </c>
      <c r="W1215">
        <v>0</v>
      </c>
      <c r="X1215">
        <v>6</v>
      </c>
      <c r="Y1215">
        <v>7</v>
      </c>
      <c r="Z1215">
        <v>5</v>
      </c>
      <c r="AA1215">
        <v>3</v>
      </c>
      <c r="AB1215">
        <v>6</v>
      </c>
      <c r="AC1215">
        <v>6</v>
      </c>
      <c r="AD1215">
        <v>7</v>
      </c>
      <c r="AE1215">
        <v>3</v>
      </c>
      <c r="AF1215">
        <v>0</v>
      </c>
      <c r="AG1215">
        <v>0</v>
      </c>
      <c r="AH1215">
        <v>0</v>
      </c>
      <c r="AI1215">
        <v>1</v>
      </c>
      <c r="AJ1215">
        <v>1</v>
      </c>
      <c r="AK1215">
        <v>0</v>
      </c>
      <c r="AL1215">
        <v>1</v>
      </c>
      <c r="AM1215">
        <v>1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1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2</v>
      </c>
      <c r="BG1215">
        <v>0</v>
      </c>
      <c r="BH1215">
        <v>5</v>
      </c>
    </row>
    <row r="1216" spans="3:60" x14ac:dyDescent="0.2">
      <c r="C1216" s="138">
        <v>0</v>
      </c>
      <c r="D1216" s="138">
        <v>3</v>
      </c>
      <c r="E1216" s="138">
        <v>0</v>
      </c>
      <c r="F1216" s="138">
        <v>1</v>
      </c>
      <c r="G1216" s="138">
        <v>2</v>
      </c>
      <c r="H1216" s="138">
        <v>0</v>
      </c>
      <c r="R1216">
        <v>0</v>
      </c>
      <c r="S1216">
        <v>1</v>
      </c>
      <c r="T1216">
        <v>0</v>
      </c>
      <c r="U1216">
        <v>0</v>
      </c>
      <c r="V1216">
        <v>0</v>
      </c>
      <c r="W1216">
        <v>0</v>
      </c>
      <c r="X1216">
        <v>2</v>
      </c>
      <c r="Y1216">
        <v>6</v>
      </c>
      <c r="Z1216">
        <v>4</v>
      </c>
      <c r="AA1216">
        <v>6</v>
      </c>
      <c r="AB1216">
        <v>6</v>
      </c>
      <c r="AC1216">
        <v>4</v>
      </c>
      <c r="AD1216">
        <v>9</v>
      </c>
      <c r="AE1216">
        <v>9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1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1</v>
      </c>
      <c r="AS1216">
        <v>0</v>
      </c>
      <c r="AT1216">
        <v>0</v>
      </c>
      <c r="AU1216">
        <v>1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3</v>
      </c>
      <c r="BG1216">
        <v>0</v>
      </c>
      <c r="BH1216">
        <v>1</v>
      </c>
    </row>
    <row r="1217" spans="3:60" x14ac:dyDescent="0.2">
      <c r="C1217" s="138">
        <v>1</v>
      </c>
      <c r="D1217" s="138">
        <v>0</v>
      </c>
      <c r="E1217" s="138">
        <v>0</v>
      </c>
      <c r="F1217" s="138">
        <v>1</v>
      </c>
      <c r="G1217" s="138">
        <v>0</v>
      </c>
      <c r="H1217" s="138">
        <v>0</v>
      </c>
      <c r="R1217">
        <v>0</v>
      </c>
      <c r="S1217">
        <v>0</v>
      </c>
      <c r="T1217">
        <v>1</v>
      </c>
      <c r="U1217">
        <v>0</v>
      </c>
      <c r="V1217">
        <v>0</v>
      </c>
      <c r="W1217">
        <v>0</v>
      </c>
      <c r="X1217">
        <v>2</v>
      </c>
      <c r="Y1217">
        <v>5</v>
      </c>
      <c r="Z1217">
        <v>6</v>
      </c>
      <c r="AA1217">
        <v>3</v>
      </c>
      <c r="AB1217">
        <v>8</v>
      </c>
      <c r="AC1217">
        <v>4</v>
      </c>
      <c r="AD1217">
        <v>4</v>
      </c>
      <c r="AE1217">
        <v>3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1</v>
      </c>
      <c r="AW1217">
        <v>1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1</v>
      </c>
      <c r="BF1217">
        <v>0</v>
      </c>
      <c r="BG1217">
        <v>0</v>
      </c>
      <c r="BH1217">
        <v>1</v>
      </c>
    </row>
    <row r="1218" spans="3:60" x14ac:dyDescent="0.2">
      <c r="C1218" s="138">
        <v>0</v>
      </c>
      <c r="D1218" s="138">
        <v>1</v>
      </c>
      <c r="E1218" s="138">
        <v>0</v>
      </c>
      <c r="F1218" s="138">
        <v>2</v>
      </c>
      <c r="G1218" s="138">
        <v>0</v>
      </c>
      <c r="H1218" s="138">
        <v>0</v>
      </c>
      <c r="R1218">
        <v>0</v>
      </c>
      <c r="S1218">
        <v>0</v>
      </c>
      <c r="T1218">
        <v>2</v>
      </c>
      <c r="U1218">
        <v>1</v>
      </c>
      <c r="V1218">
        <v>0</v>
      </c>
      <c r="W1218">
        <v>0</v>
      </c>
      <c r="X1218">
        <v>1</v>
      </c>
      <c r="Y1218">
        <v>2</v>
      </c>
      <c r="Z1218">
        <v>2</v>
      </c>
      <c r="AA1218">
        <v>3</v>
      </c>
      <c r="AB1218">
        <v>2</v>
      </c>
      <c r="AC1218">
        <v>2</v>
      </c>
      <c r="AD1218">
        <v>6</v>
      </c>
      <c r="AE1218">
        <v>3</v>
      </c>
      <c r="AF1218">
        <v>0</v>
      </c>
      <c r="AG1218">
        <v>0</v>
      </c>
      <c r="AH1218">
        <v>0</v>
      </c>
      <c r="AI1218">
        <v>0</v>
      </c>
      <c r="AJ1218">
        <v>1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1</v>
      </c>
      <c r="AT1218">
        <v>1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1</v>
      </c>
      <c r="BC1218">
        <v>0</v>
      </c>
      <c r="BD1218">
        <v>0</v>
      </c>
      <c r="BE1218">
        <v>0</v>
      </c>
      <c r="BF1218">
        <v>1</v>
      </c>
      <c r="BG1218">
        <v>0</v>
      </c>
      <c r="BH1218">
        <v>2</v>
      </c>
    </row>
    <row r="1219" spans="3:60" x14ac:dyDescent="0.2">
      <c r="C1219" s="138">
        <v>0</v>
      </c>
      <c r="D1219" s="138">
        <v>1</v>
      </c>
      <c r="E1219" s="138">
        <v>0</v>
      </c>
      <c r="F1219" s="138">
        <v>2</v>
      </c>
      <c r="G1219" s="138">
        <v>2</v>
      </c>
      <c r="H1219" s="138">
        <v>0</v>
      </c>
      <c r="R1219">
        <v>0</v>
      </c>
      <c r="S1219">
        <v>1</v>
      </c>
      <c r="T1219">
        <v>2</v>
      </c>
      <c r="U1219">
        <v>0</v>
      </c>
      <c r="V1219">
        <v>0</v>
      </c>
      <c r="W1219">
        <v>0</v>
      </c>
      <c r="X1219">
        <v>3</v>
      </c>
      <c r="Y1219">
        <v>0</v>
      </c>
      <c r="Z1219">
        <v>0</v>
      </c>
      <c r="AA1219">
        <v>2</v>
      </c>
      <c r="AB1219">
        <v>2</v>
      </c>
      <c r="AC1219">
        <v>2</v>
      </c>
      <c r="AD1219">
        <v>3</v>
      </c>
      <c r="AE1219">
        <v>0</v>
      </c>
      <c r="AF1219">
        <v>0</v>
      </c>
      <c r="AG1219">
        <v>0</v>
      </c>
      <c r="AH1219">
        <v>1</v>
      </c>
      <c r="AI1219">
        <v>0</v>
      </c>
      <c r="AJ1219">
        <v>2</v>
      </c>
      <c r="AK1219">
        <v>1</v>
      </c>
      <c r="AL1219">
        <v>0</v>
      </c>
      <c r="AM1219">
        <v>0</v>
      </c>
      <c r="AN1219">
        <v>0</v>
      </c>
      <c r="AO1219">
        <v>2</v>
      </c>
      <c r="AP1219">
        <v>0</v>
      </c>
      <c r="AQ1219">
        <v>0</v>
      </c>
      <c r="AR1219">
        <v>1</v>
      </c>
      <c r="AS1219">
        <v>0</v>
      </c>
      <c r="AT1219">
        <v>2</v>
      </c>
      <c r="AU1219">
        <v>1</v>
      </c>
      <c r="AV1219">
        <v>1</v>
      </c>
      <c r="AW1219">
        <v>1</v>
      </c>
      <c r="AX1219">
        <v>0</v>
      </c>
      <c r="AY1219">
        <v>1</v>
      </c>
      <c r="AZ1219">
        <v>0</v>
      </c>
      <c r="BA1219">
        <v>0</v>
      </c>
      <c r="BB1219">
        <v>1</v>
      </c>
      <c r="BC1219">
        <v>0</v>
      </c>
      <c r="BD1219">
        <v>0</v>
      </c>
      <c r="BE1219">
        <v>1</v>
      </c>
      <c r="BF1219">
        <v>1</v>
      </c>
      <c r="BG1219">
        <v>0</v>
      </c>
      <c r="BH1219">
        <v>2</v>
      </c>
    </row>
    <row r="1220" spans="3:60" x14ac:dyDescent="0.2">
      <c r="C1220" s="138"/>
      <c r="E1220" s="138"/>
      <c r="F1220" s="138"/>
      <c r="G1220" s="138"/>
      <c r="H1220" s="138"/>
    </row>
    <row r="1221" spans="3:60" x14ac:dyDescent="0.2">
      <c r="C1221" s="138"/>
      <c r="E1221" s="138"/>
      <c r="F1221" s="138"/>
      <c r="G1221" s="138"/>
      <c r="H1221" s="138"/>
    </row>
    <row r="1222" spans="3:60" x14ac:dyDescent="0.2">
      <c r="C1222" s="138"/>
      <c r="E1222" s="138"/>
      <c r="F1222" s="138"/>
      <c r="G1222" s="138"/>
      <c r="H1222" s="138"/>
    </row>
    <row r="1223" spans="3:60" x14ac:dyDescent="0.2">
      <c r="C1223" s="138"/>
      <c r="E1223" s="138"/>
      <c r="F1223" s="138"/>
      <c r="G1223" s="138"/>
      <c r="H1223" s="138"/>
    </row>
    <row r="1224" spans="3:60" x14ac:dyDescent="0.2">
      <c r="C1224" s="138"/>
      <c r="E1224" s="138"/>
      <c r="F1224" s="138"/>
      <c r="G1224" s="138"/>
      <c r="H1224" s="138"/>
    </row>
    <row r="1225" spans="3:60" x14ac:dyDescent="0.2">
      <c r="C1225" s="138"/>
      <c r="E1225" s="138"/>
      <c r="F1225" s="138"/>
      <c r="G1225" s="138"/>
      <c r="H1225" s="138"/>
    </row>
    <row r="1226" spans="3:60" x14ac:dyDescent="0.2">
      <c r="C1226" s="138"/>
      <c r="E1226" s="138"/>
      <c r="F1226" s="138"/>
      <c r="G1226" s="138"/>
      <c r="H1226" s="138"/>
    </row>
    <row r="1227" spans="3:60" x14ac:dyDescent="0.2">
      <c r="C1227" s="138"/>
      <c r="E1227" s="138"/>
      <c r="F1227" s="138"/>
      <c r="G1227" s="138"/>
      <c r="H1227" s="138"/>
    </row>
    <row r="1228" spans="3:60" x14ac:dyDescent="0.2">
      <c r="C1228" s="138"/>
      <c r="E1228" s="138"/>
      <c r="F1228" s="138"/>
      <c r="G1228" s="138"/>
      <c r="H1228" s="138"/>
    </row>
    <row r="1229" spans="3:60" x14ac:dyDescent="0.2">
      <c r="C1229" s="138"/>
      <c r="E1229" s="138"/>
      <c r="F1229" s="138"/>
      <c r="G1229" s="138"/>
      <c r="H1229" s="138"/>
    </row>
    <row r="1230" spans="3:60" x14ac:dyDescent="0.2">
      <c r="C1230" s="138"/>
      <c r="E1230" s="138"/>
      <c r="F1230" s="138"/>
      <c r="G1230" s="138"/>
      <c r="H1230" s="138"/>
    </row>
    <row r="1231" spans="3:60" x14ac:dyDescent="0.2">
      <c r="C1231" s="138"/>
      <c r="E1231" s="138"/>
      <c r="F1231" s="138"/>
      <c r="G1231" s="138"/>
      <c r="H1231" s="138"/>
    </row>
    <row r="1232" spans="3:60" x14ac:dyDescent="0.2">
      <c r="C1232" s="138"/>
      <c r="E1232" s="138"/>
      <c r="F1232" s="138"/>
      <c r="G1232" s="138"/>
      <c r="H1232" s="138"/>
    </row>
    <row r="1233" spans="3:8" x14ac:dyDescent="0.2">
      <c r="C1233" s="138"/>
      <c r="E1233" s="138"/>
      <c r="F1233" s="138"/>
      <c r="G1233" s="138"/>
      <c r="H1233" s="138"/>
    </row>
    <row r="1234" spans="3:8" x14ac:dyDescent="0.2">
      <c r="C1234" s="138"/>
      <c r="E1234" s="138"/>
      <c r="F1234" s="138"/>
      <c r="G1234" s="138"/>
      <c r="H1234" s="138"/>
    </row>
    <row r="1235" spans="3:8" x14ac:dyDescent="0.2">
      <c r="C1235" s="138"/>
      <c r="E1235" s="138"/>
      <c r="F1235" s="138"/>
      <c r="G1235" s="138"/>
      <c r="H1235" s="138"/>
    </row>
    <row r="1236" spans="3:8" x14ac:dyDescent="0.2">
      <c r="C1236" s="138"/>
      <c r="E1236" s="138"/>
      <c r="F1236" s="138"/>
      <c r="G1236" s="138"/>
      <c r="H1236" s="138"/>
    </row>
    <row r="1237" spans="3:8" x14ac:dyDescent="0.2">
      <c r="C1237" s="138"/>
      <c r="E1237" s="138"/>
      <c r="F1237" s="138"/>
      <c r="G1237" s="138"/>
      <c r="H1237" s="138"/>
    </row>
    <row r="1238" spans="3:8" x14ac:dyDescent="0.2">
      <c r="C1238" s="138"/>
      <c r="E1238" s="138"/>
      <c r="F1238" s="138"/>
      <c r="G1238" s="138"/>
      <c r="H1238" s="138"/>
    </row>
    <row r="1239" spans="3:8" x14ac:dyDescent="0.2">
      <c r="C1239" s="138"/>
      <c r="E1239" s="138"/>
      <c r="F1239" s="138"/>
      <c r="G1239" s="138"/>
      <c r="H1239" s="138"/>
    </row>
    <row r="1240" spans="3:8" x14ac:dyDescent="0.2">
      <c r="C1240" s="138"/>
      <c r="E1240" s="138"/>
      <c r="F1240" s="138"/>
      <c r="G1240" s="138"/>
      <c r="H1240" s="138"/>
    </row>
    <row r="1241" spans="3:8" x14ac:dyDescent="0.2">
      <c r="C1241" s="138"/>
      <c r="E1241" s="138"/>
      <c r="F1241" s="138"/>
      <c r="G1241" s="138"/>
      <c r="H1241" s="138"/>
    </row>
    <row r="1242" spans="3:8" x14ac:dyDescent="0.2">
      <c r="C1242" s="138"/>
      <c r="E1242" s="138"/>
      <c r="F1242" s="138"/>
      <c r="G1242" s="138"/>
      <c r="H1242" s="138"/>
    </row>
    <row r="1243" spans="3:8" x14ac:dyDescent="0.2">
      <c r="C1243" s="138"/>
      <c r="E1243" s="138"/>
      <c r="F1243" s="138"/>
      <c r="G1243" s="138"/>
      <c r="H1243" s="138"/>
    </row>
    <row r="1244" spans="3:8" x14ac:dyDescent="0.2">
      <c r="C1244" s="138"/>
      <c r="E1244" s="138"/>
      <c r="F1244" s="138"/>
      <c r="G1244" s="138"/>
      <c r="H1244" s="138"/>
    </row>
    <row r="1245" spans="3:8" x14ac:dyDescent="0.2">
      <c r="C1245" s="138"/>
      <c r="E1245" s="138"/>
      <c r="F1245" s="138"/>
      <c r="G1245" s="138"/>
      <c r="H1245" s="138"/>
    </row>
    <row r="1246" spans="3:8" x14ac:dyDescent="0.2">
      <c r="C1246" s="138"/>
      <c r="E1246" s="138"/>
      <c r="F1246" s="138"/>
      <c r="G1246" s="138"/>
      <c r="H1246" s="138"/>
    </row>
    <row r="1247" spans="3:8" x14ac:dyDescent="0.2">
      <c r="C1247" s="138"/>
      <c r="E1247" s="138"/>
      <c r="F1247" s="138"/>
      <c r="G1247" s="138"/>
      <c r="H1247" s="138"/>
    </row>
    <row r="1248" spans="3:8" x14ac:dyDescent="0.2">
      <c r="C1248" s="138"/>
      <c r="E1248" s="138"/>
      <c r="F1248" s="138"/>
      <c r="G1248" s="138"/>
      <c r="H1248" s="138"/>
    </row>
    <row r="1249" spans="3:8" x14ac:dyDescent="0.2">
      <c r="C1249" s="138"/>
      <c r="E1249" s="138"/>
      <c r="F1249" s="138"/>
      <c r="G1249" s="138"/>
      <c r="H1249" s="138"/>
    </row>
    <row r="1250" spans="3:8" x14ac:dyDescent="0.2">
      <c r="C1250" s="138"/>
      <c r="E1250" s="138"/>
      <c r="F1250" s="138"/>
      <c r="G1250" s="138"/>
      <c r="H1250" s="138"/>
    </row>
    <row r="1251" spans="3:8" x14ac:dyDescent="0.2">
      <c r="C1251" s="138"/>
      <c r="E1251" s="138"/>
      <c r="F1251" s="138"/>
      <c r="G1251" s="138"/>
      <c r="H1251" s="138"/>
    </row>
    <row r="1252" spans="3:8" x14ac:dyDescent="0.2">
      <c r="C1252" s="138"/>
      <c r="E1252" s="138"/>
      <c r="F1252" s="138"/>
      <c r="G1252" s="138"/>
      <c r="H1252" s="138"/>
    </row>
    <row r="1253" spans="3:8" x14ac:dyDescent="0.2">
      <c r="C1253" s="138"/>
      <c r="E1253" s="138"/>
      <c r="F1253" s="138"/>
      <c r="G1253" s="138"/>
      <c r="H1253" s="138"/>
    </row>
    <row r="1254" spans="3:8" x14ac:dyDescent="0.2">
      <c r="C1254" s="138"/>
      <c r="E1254" s="138"/>
      <c r="F1254" s="138"/>
      <c r="G1254" s="138"/>
      <c r="H1254" s="138"/>
    </row>
    <row r="1255" spans="3:8" x14ac:dyDescent="0.2">
      <c r="C1255" s="138"/>
      <c r="E1255" s="138"/>
      <c r="F1255" s="138"/>
      <c r="G1255" s="138"/>
      <c r="H1255" s="138"/>
    </row>
    <row r="1256" spans="3:8" x14ac:dyDescent="0.2">
      <c r="C1256" s="138"/>
      <c r="E1256" s="138"/>
      <c r="F1256" s="138"/>
      <c r="G1256" s="138"/>
      <c r="H1256" s="138"/>
    </row>
    <row r="1257" spans="3:8" x14ac:dyDescent="0.2">
      <c r="C1257" s="138"/>
      <c r="E1257" s="138"/>
      <c r="F1257" s="138"/>
      <c r="G1257" s="138"/>
      <c r="H1257" s="138"/>
    </row>
    <row r="1258" spans="3:8" x14ac:dyDescent="0.2">
      <c r="C1258" s="138"/>
      <c r="E1258" s="138"/>
      <c r="F1258" s="138"/>
      <c r="G1258" s="138"/>
      <c r="H1258" s="138"/>
    </row>
    <row r="1259" spans="3:8" x14ac:dyDescent="0.2">
      <c r="C1259" s="138"/>
      <c r="E1259" s="138"/>
      <c r="F1259" s="138"/>
      <c r="G1259" s="138"/>
      <c r="H1259" s="138"/>
    </row>
    <row r="1260" spans="3:8" x14ac:dyDescent="0.2">
      <c r="C1260" s="138"/>
      <c r="E1260" s="138"/>
      <c r="F1260" s="138"/>
      <c r="G1260" s="138"/>
      <c r="H1260" s="138"/>
    </row>
    <row r="1261" spans="3:8" x14ac:dyDescent="0.2">
      <c r="C1261" s="138"/>
      <c r="E1261" s="138"/>
      <c r="F1261" s="138"/>
      <c r="G1261" s="138"/>
      <c r="H1261" s="138"/>
    </row>
    <row r="1262" spans="3:8" x14ac:dyDescent="0.2">
      <c r="C1262" s="138"/>
      <c r="E1262" s="138"/>
      <c r="F1262" s="138"/>
      <c r="G1262" s="138"/>
      <c r="H1262" s="138"/>
    </row>
    <row r="1263" spans="3:8" x14ac:dyDescent="0.2">
      <c r="C1263" s="138"/>
      <c r="E1263" s="138"/>
      <c r="F1263" s="138"/>
      <c r="G1263" s="138"/>
      <c r="H1263" s="138"/>
    </row>
    <row r="1264" spans="3:8" x14ac:dyDescent="0.2">
      <c r="C1264" s="138"/>
      <c r="E1264" s="138"/>
      <c r="F1264" s="138"/>
      <c r="G1264" s="138"/>
      <c r="H1264" s="138"/>
    </row>
    <row r="1265" spans="3:8" x14ac:dyDescent="0.2">
      <c r="C1265" s="138"/>
      <c r="E1265" s="138"/>
      <c r="F1265" s="138"/>
      <c r="G1265" s="138"/>
      <c r="H1265" s="138"/>
    </row>
    <row r="1266" spans="3:8" x14ac:dyDescent="0.2">
      <c r="C1266" s="138"/>
      <c r="E1266" s="138"/>
      <c r="F1266" s="138"/>
      <c r="G1266" s="138"/>
      <c r="H1266" s="138"/>
    </row>
    <row r="1267" spans="3:8" x14ac:dyDescent="0.2">
      <c r="C1267" s="138"/>
      <c r="E1267" s="138"/>
      <c r="F1267" s="138"/>
      <c r="G1267" s="138"/>
      <c r="H1267" s="138"/>
    </row>
    <row r="1268" spans="3:8" x14ac:dyDescent="0.2">
      <c r="C1268" s="138"/>
      <c r="E1268" s="138"/>
      <c r="F1268" s="138"/>
      <c r="G1268" s="138"/>
      <c r="H1268" s="138"/>
    </row>
    <row r="1269" spans="3:8" x14ac:dyDescent="0.2">
      <c r="C1269" s="138"/>
      <c r="E1269" s="138"/>
      <c r="F1269" s="138"/>
      <c r="G1269" s="138"/>
      <c r="H1269" s="138"/>
    </row>
    <row r="1270" spans="3:8" x14ac:dyDescent="0.2">
      <c r="C1270" s="138"/>
      <c r="E1270" s="138"/>
      <c r="F1270" s="138"/>
      <c r="G1270" s="138"/>
      <c r="H1270" s="138"/>
    </row>
    <row r="1271" spans="3:8" x14ac:dyDescent="0.2">
      <c r="C1271" s="138"/>
      <c r="E1271" s="138"/>
      <c r="F1271" s="138"/>
      <c r="G1271" s="138"/>
      <c r="H1271" s="138"/>
    </row>
    <row r="1272" spans="3:8" x14ac:dyDescent="0.2">
      <c r="C1272" s="138"/>
      <c r="E1272" s="138"/>
      <c r="F1272" s="138"/>
      <c r="G1272" s="138"/>
      <c r="H1272" s="138"/>
    </row>
    <row r="1273" spans="3:8" x14ac:dyDescent="0.2">
      <c r="C1273" s="138"/>
      <c r="E1273" s="138"/>
      <c r="F1273" s="138"/>
      <c r="G1273" s="138"/>
      <c r="H1273" s="138"/>
    </row>
    <row r="1274" spans="3:8" x14ac:dyDescent="0.2">
      <c r="C1274" s="138"/>
      <c r="E1274" s="138"/>
      <c r="F1274" s="138"/>
      <c r="G1274" s="138"/>
      <c r="H1274" s="138"/>
    </row>
    <row r="1275" spans="3:8" x14ac:dyDescent="0.2">
      <c r="C1275" s="138"/>
      <c r="E1275" s="138"/>
      <c r="F1275" s="138"/>
      <c r="G1275" s="138"/>
      <c r="H1275" s="138"/>
    </row>
    <row r="1276" spans="3:8" x14ac:dyDescent="0.2">
      <c r="C1276" s="138"/>
      <c r="E1276" s="138"/>
      <c r="F1276" s="138"/>
      <c r="G1276" s="138"/>
      <c r="H1276" s="138"/>
    </row>
    <row r="1277" spans="3:8" x14ac:dyDescent="0.2">
      <c r="C1277" s="138"/>
      <c r="E1277" s="138"/>
      <c r="F1277" s="138"/>
      <c r="G1277" s="138"/>
      <c r="H1277" s="138"/>
    </row>
    <row r="1278" spans="3:8" x14ac:dyDescent="0.2">
      <c r="C1278" s="138"/>
      <c r="E1278" s="138"/>
      <c r="F1278" s="138"/>
      <c r="G1278" s="138"/>
      <c r="H1278" s="138"/>
    </row>
    <row r="1279" spans="3:8" x14ac:dyDescent="0.2">
      <c r="C1279" s="138"/>
      <c r="E1279" s="138"/>
      <c r="F1279" s="138"/>
      <c r="G1279" s="138"/>
      <c r="H1279" s="138"/>
    </row>
    <row r="1280" spans="3:8" x14ac:dyDescent="0.2">
      <c r="C1280" s="138"/>
      <c r="E1280" s="138"/>
      <c r="F1280" s="138"/>
      <c r="G1280" s="138"/>
      <c r="H1280" s="138"/>
    </row>
    <row r="1281" spans="3:8" x14ac:dyDescent="0.2">
      <c r="C1281" s="138"/>
      <c r="E1281" s="138"/>
      <c r="F1281" s="138"/>
      <c r="G1281" s="138"/>
      <c r="H1281" s="138"/>
    </row>
    <row r="1282" spans="3:8" x14ac:dyDescent="0.2">
      <c r="C1282" s="138"/>
      <c r="E1282" s="138"/>
      <c r="F1282" s="138"/>
      <c r="G1282" s="138"/>
      <c r="H1282" s="138"/>
    </row>
    <row r="1283" spans="3:8" x14ac:dyDescent="0.2">
      <c r="C1283" s="138"/>
      <c r="E1283" s="138"/>
      <c r="F1283" s="138"/>
      <c r="G1283" s="138"/>
      <c r="H1283" s="138"/>
    </row>
    <row r="1284" spans="3:8" x14ac:dyDescent="0.2">
      <c r="C1284" s="138"/>
      <c r="E1284" s="138"/>
      <c r="F1284" s="138"/>
      <c r="G1284" s="138"/>
      <c r="H1284" s="138"/>
    </row>
    <row r="1285" spans="3:8" x14ac:dyDescent="0.2">
      <c r="C1285" s="138"/>
      <c r="E1285" s="138"/>
      <c r="F1285" s="138"/>
      <c r="G1285" s="138"/>
      <c r="H1285" s="138"/>
    </row>
    <row r="1286" spans="3:8" x14ac:dyDescent="0.2">
      <c r="C1286" s="138"/>
      <c r="E1286" s="138"/>
      <c r="F1286" s="138"/>
      <c r="G1286" s="138"/>
      <c r="H1286" s="138"/>
    </row>
    <row r="1287" spans="3:8" x14ac:dyDescent="0.2">
      <c r="C1287" s="138"/>
      <c r="E1287" s="138"/>
      <c r="F1287" s="138"/>
      <c r="G1287" s="138"/>
      <c r="H1287" s="138"/>
    </row>
    <row r="1288" spans="3:8" x14ac:dyDescent="0.2">
      <c r="C1288" s="138"/>
      <c r="E1288" s="138"/>
      <c r="F1288" s="138"/>
      <c r="G1288" s="138"/>
      <c r="H1288" s="138"/>
    </row>
    <row r="1289" spans="3:8" x14ac:dyDescent="0.2">
      <c r="C1289" s="138"/>
      <c r="E1289" s="138"/>
      <c r="F1289" s="138"/>
      <c r="G1289" s="138"/>
      <c r="H1289" s="138"/>
    </row>
    <row r="1290" spans="3:8" x14ac:dyDescent="0.2">
      <c r="C1290" s="138"/>
      <c r="E1290" s="138"/>
      <c r="F1290" s="138"/>
      <c r="G1290" s="138"/>
      <c r="H1290" s="138"/>
    </row>
    <row r="1291" spans="3:8" x14ac:dyDescent="0.2">
      <c r="C1291" s="138"/>
      <c r="E1291" s="138"/>
      <c r="F1291" s="138"/>
      <c r="G1291" s="138"/>
      <c r="H1291" s="138"/>
    </row>
    <row r="1292" spans="3:8" x14ac:dyDescent="0.2">
      <c r="C1292" s="138"/>
      <c r="E1292" s="138"/>
      <c r="F1292" s="138"/>
      <c r="G1292" s="138"/>
      <c r="H1292" s="138"/>
    </row>
    <row r="1293" spans="3:8" x14ac:dyDescent="0.2">
      <c r="C1293" s="138"/>
      <c r="E1293" s="138"/>
      <c r="F1293" s="138"/>
      <c r="G1293" s="138"/>
      <c r="H1293" s="138"/>
    </row>
    <row r="1294" spans="3:8" x14ac:dyDescent="0.2">
      <c r="C1294" s="138"/>
      <c r="E1294" s="138"/>
      <c r="F1294" s="138"/>
      <c r="G1294" s="138"/>
      <c r="H1294" s="138"/>
    </row>
    <row r="1295" spans="3:8" x14ac:dyDescent="0.2">
      <c r="C1295" s="138"/>
      <c r="E1295" s="138"/>
      <c r="F1295" s="138"/>
      <c r="G1295" s="138"/>
      <c r="H1295" s="138"/>
    </row>
    <row r="1296" spans="3:8" x14ac:dyDescent="0.2">
      <c r="C1296" s="138"/>
      <c r="E1296" s="138"/>
      <c r="F1296" s="138"/>
      <c r="G1296" s="138"/>
      <c r="H1296" s="138"/>
    </row>
    <row r="1297" spans="3:8" x14ac:dyDescent="0.2">
      <c r="C1297" s="138"/>
      <c r="E1297" s="138"/>
      <c r="F1297" s="138"/>
      <c r="G1297" s="138"/>
      <c r="H1297" s="138"/>
    </row>
    <row r="1298" spans="3:8" x14ac:dyDescent="0.2">
      <c r="C1298" s="138"/>
      <c r="E1298" s="138"/>
      <c r="F1298" s="138"/>
      <c r="G1298" s="138"/>
      <c r="H1298" s="138"/>
    </row>
    <row r="1299" spans="3:8" x14ac:dyDescent="0.2">
      <c r="C1299" s="138"/>
      <c r="E1299" s="138"/>
      <c r="F1299" s="138"/>
      <c r="G1299" s="138"/>
      <c r="H1299" s="138"/>
    </row>
    <row r="1300" spans="3:8" x14ac:dyDescent="0.2">
      <c r="C1300" s="138"/>
      <c r="E1300" s="138"/>
      <c r="F1300" s="138"/>
      <c r="G1300" s="138"/>
      <c r="H1300" s="138"/>
    </row>
    <row r="1301" spans="3:8" x14ac:dyDescent="0.2">
      <c r="C1301" s="138"/>
      <c r="E1301" s="138"/>
      <c r="F1301" s="138"/>
      <c r="G1301" s="138"/>
      <c r="H1301" s="138"/>
    </row>
    <row r="1302" spans="3:8" x14ac:dyDescent="0.2">
      <c r="C1302" s="138"/>
      <c r="E1302" s="138"/>
      <c r="F1302" s="138"/>
      <c r="G1302" s="138"/>
      <c r="H1302" s="138"/>
    </row>
    <row r="1303" spans="3:8" x14ac:dyDescent="0.2">
      <c r="C1303" s="138"/>
      <c r="E1303" s="138"/>
      <c r="F1303" s="138"/>
      <c r="G1303" s="138"/>
      <c r="H1303" s="138"/>
    </row>
    <row r="1304" spans="3:8" x14ac:dyDescent="0.2">
      <c r="C1304" s="138"/>
      <c r="E1304" s="138"/>
      <c r="F1304" s="138"/>
      <c r="G1304" s="138"/>
      <c r="H1304" s="138"/>
    </row>
    <row r="1305" spans="3:8" x14ac:dyDescent="0.2">
      <c r="C1305" s="138"/>
      <c r="E1305" s="138"/>
      <c r="F1305" s="138"/>
      <c r="G1305" s="138"/>
      <c r="H1305" s="138"/>
    </row>
    <row r="1306" spans="3:8" x14ac:dyDescent="0.2">
      <c r="C1306" s="138"/>
      <c r="E1306" s="138"/>
      <c r="F1306" s="138"/>
      <c r="G1306" s="138"/>
      <c r="H1306" s="138"/>
    </row>
    <row r="1307" spans="3:8" x14ac:dyDescent="0.2">
      <c r="C1307" s="138"/>
      <c r="E1307" s="138"/>
      <c r="F1307" s="138"/>
      <c r="G1307" s="138"/>
      <c r="H1307" s="138"/>
    </row>
    <row r="1308" spans="3:8" x14ac:dyDescent="0.2">
      <c r="C1308" s="138"/>
      <c r="E1308" s="138"/>
      <c r="F1308" s="138"/>
      <c r="G1308" s="138"/>
      <c r="H1308" s="138"/>
    </row>
    <row r="1309" spans="3:8" x14ac:dyDescent="0.2">
      <c r="C1309" s="138"/>
      <c r="E1309" s="138"/>
      <c r="F1309" s="138"/>
      <c r="G1309" s="138"/>
      <c r="H1309" s="138"/>
    </row>
    <row r="1310" spans="3:8" x14ac:dyDescent="0.2">
      <c r="C1310" s="138"/>
      <c r="E1310" s="138"/>
      <c r="F1310" s="138"/>
      <c r="G1310" s="138"/>
      <c r="H1310" s="138"/>
    </row>
    <row r="1311" spans="3:8" x14ac:dyDescent="0.2">
      <c r="C1311" s="138"/>
      <c r="E1311" s="138"/>
      <c r="F1311" s="138"/>
      <c r="G1311" s="138"/>
      <c r="H1311" s="138"/>
    </row>
    <row r="1312" spans="3:8" x14ac:dyDescent="0.2">
      <c r="C1312" s="138"/>
      <c r="E1312" s="138"/>
      <c r="F1312" s="138"/>
      <c r="G1312" s="138"/>
      <c r="H1312" s="138"/>
    </row>
    <row r="1313" spans="3:8" x14ac:dyDescent="0.2">
      <c r="C1313" s="138"/>
      <c r="E1313" s="138"/>
      <c r="F1313" s="138"/>
      <c r="G1313" s="138"/>
      <c r="H1313" s="138"/>
    </row>
    <row r="1314" spans="3:8" x14ac:dyDescent="0.2">
      <c r="C1314" s="138"/>
      <c r="E1314" s="138"/>
      <c r="F1314" s="138"/>
      <c r="G1314" s="138"/>
      <c r="H1314" s="138"/>
    </row>
    <row r="1315" spans="3:8" x14ac:dyDescent="0.2">
      <c r="C1315" s="138"/>
      <c r="E1315" s="138"/>
      <c r="F1315" s="138"/>
      <c r="G1315" s="138"/>
      <c r="H1315" s="138"/>
    </row>
    <row r="1316" spans="3:8" x14ac:dyDescent="0.2">
      <c r="C1316" s="138"/>
      <c r="E1316" s="138"/>
      <c r="F1316" s="138"/>
      <c r="G1316" s="138"/>
      <c r="H1316" s="138"/>
    </row>
    <row r="1317" spans="3:8" x14ac:dyDescent="0.2">
      <c r="C1317" s="138"/>
      <c r="E1317" s="138"/>
      <c r="F1317" s="138"/>
      <c r="G1317" s="138"/>
      <c r="H1317" s="138"/>
    </row>
    <row r="1318" spans="3:8" x14ac:dyDescent="0.2">
      <c r="C1318" s="138"/>
      <c r="E1318" s="138"/>
      <c r="F1318" s="138"/>
      <c r="G1318" s="138"/>
      <c r="H1318" s="138"/>
    </row>
    <row r="1319" spans="3:8" x14ac:dyDescent="0.2">
      <c r="C1319" s="138"/>
      <c r="E1319" s="138"/>
      <c r="F1319" s="138"/>
      <c r="G1319" s="138"/>
      <c r="H1319" s="138"/>
    </row>
    <row r="1320" spans="3:8" x14ac:dyDescent="0.2">
      <c r="C1320" s="138"/>
      <c r="E1320" s="138"/>
      <c r="F1320" s="138"/>
      <c r="G1320" s="138"/>
      <c r="H1320" s="138"/>
    </row>
    <row r="1321" spans="3:8" x14ac:dyDescent="0.2">
      <c r="C1321" s="138"/>
      <c r="E1321" s="138"/>
      <c r="F1321" s="138"/>
      <c r="G1321" s="138"/>
      <c r="H1321" s="138"/>
    </row>
    <row r="1322" spans="3:8" x14ac:dyDescent="0.2">
      <c r="C1322" s="138"/>
      <c r="E1322" s="138"/>
      <c r="F1322" s="138"/>
      <c r="G1322" s="138"/>
      <c r="H1322" s="138"/>
    </row>
    <row r="1323" spans="3:8" x14ac:dyDescent="0.2">
      <c r="C1323" s="138"/>
      <c r="E1323" s="138"/>
      <c r="F1323" s="138"/>
      <c r="G1323" s="138"/>
      <c r="H1323" s="138"/>
    </row>
    <row r="1324" spans="3:8" x14ac:dyDescent="0.2">
      <c r="C1324" s="138"/>
      <c r="E1324" s="138"/>
      <c r="F1324" s="138"/>
      <c r="G1324" s="138"/>
      <c r="H1324" s="138"/>
    </row>
    <row r="1325" spans="3:8" x14ac:dyDescent="0.2">
      <c r="C1325" s="138"/>
      <c r="E1325" s="138"/>
      <c r="F1325" s="138"/>
      <c r="G1325" s="138"/>
      <c r="H1325" s="138"/>
    </row>
    <row r="1326" spans="3:8" x14ac:dyDescent="0.2">
      <c r="C1326" s="138"/>
      <c r="E1326" s="138"/>
      <c r="F1326" s="138"/>
      <c r="G1326" s="138"/>
      <c r="H1326" s="138"/>
    </row>
    <row r="1327" spans="3:8" x14ac:dyDescent="0.2">
      <c r="C1327" s="138"/>
      <c r="E1327" s="138"/>
      <c r="F1327" s="138"/>
      <c r="G1327" s="138"/>
      <c r="H1327" s="138"/>
    </row>
    <row r="1328" spans="3:8" x14ac:dyDescent="0.2">
      <c r="C1328" s="138"/>
      <c r="E1328" s="138"/>
      <c r="F1328" s="138"/>
      <c r="G1328" s="138"/>
      <c r="H1328" s="138"/>
    </row>
    <row r="1329" spans="3:8" x14ac:dyDescent="0.2">
      <c r="C1329" s="138"/>
      <c r="E1329" s="138"/>
      <c r="F1329" s="138"/>
      <c r="G1329" s="138"/>
      <c r="H1329" s="138"/>
    </row>
    <row r="1330" spans="3:8" x14ac:dyDescent="0.2">
      <c r="C1330" s="138"/>
      <c r="E1330" s="138"/>
      <c r="F1330" s="138"/>
      <c r="G1330" s="138"/>
      <c r="H1330" s="138"/>
    </row>
    <row r="1331" spans="3:8" x14ac:dyDescent="0.2">
      <c r="C1331" s="138"/>
      <c r="E1331" s="138"/>
      <c r="F1331" s="138"/>
      <c r="G1331" s="138"/>
      <c r="H1331" s="138"/>
    </row>
    <row r="1332" spans="3:8" x14ac:dyDescent="0.2">
      <c r="C1332" s="138"/>
      <c r="E1332" s="138"/>
      <c r="F1332" s="138"/>
      <c r="G1332" s="138"/>
      <c r="H1332" s="138"/>
    </row>
    <row r="1333" spans="3:8" x14ac:dyDescent="0.2">
      <c r="C1333" s="138"/>
      <c r="E1333" s="138"/>
      <c r="F1333" s="138"/>
      <c r="G1333" s="138"/>
      <c r="H1333" s="138"/>
    </row>
    <row r="1334" spans="3:8" x14ac:dyDescent="0.2">
      <c r="C1334" s="138"/>
      <c r="E1334" s="138"/>
      <c r="F1334" s="138"/>
      <c r="G1334" s="138"/>
      <c r="H1334" s="138"/>
    </row>
    <row r="1335" spans="3:8" x14ac:dyDescent="0.2">
      <c r="C1335" s="138"/>
      <c r="E1335" s="138"/>
      <c r="F1335" s="138"/>
      <c r="G1335" s="138"/>
      <c r="H1335" s="138"/>
    </row>
    <row r="1336" spans="3:8" x14ac:dyDescent="0.2">
      <c r="C1336" s="138"/>
      <c r="E1336" s="138"/>
      <c r="F1336" s="138"/>
      <c r="G1336" s="138"/>
      <c r="H1336" s="138"/>
    </row>
    <row r="1337" spans="3:8" x14ac:dyDescent="0.2">
      <c r="C1337" s="138"/>
      <c r="E1337" s="138"/>
      <c r="F1337" s="138"/>
      <c r="G1337" s="138"/>
      <c r="H1337" s="138"/>
    </row>
    <row r="1338" spans="3:8" x14ac:dyDescent="0.2">
      <c r="C1338" s="138"/>
      <c r="E1338" s="138"/>
      <c r="F1338" s="138"/>
      <c r="G1338" s="138"/>
      <c r="H1338" s="138"/>
    </row>
    <row r="1339" spans="3:8" x14ac:dyDescent="0.2">
      <c r="C1339" s="138"/>
      <c r="E1339" s="138"/>
      <c r="F1339" s="138"/>
      <c r="G1339" s="138"/>
      <c r="H1339" s="138"/>
    </row>
    <row r="1340" spans="3:8" x14ac:dyDescent="0.2">
      <c r="C1340" s="138"/>
      <c r="E1340" s="138"/>
      <c r="F1340" s="138"/>
      <c r="G1340" s="138"/>
      <c r="H1340" s="138"/>
    </row>
    <row r="1341" spans="3:8" x14ac:dyDescent="0.2">
      <c r="C1341" s="138"/>
      <c r="E1341" s="138"/>
      <c r="F1341" s="138"/>
      <c r="G1341" s="138"/>
      <c r="H1341" s="138"/>
    </row>
    <row r="1342" spans="3:8" x14ac:dyDescent="0.2">
      <c r="C1342" s="138"/>
      <c r="E1342" s="138"/>
      <c r="F1342" s="138"/>
      <c r="G1342" s="138"/>
      <c r="H1342" s="138"/>
    </row>
    <row r="1343" spans="3:8" x14ac:dyDescent="0.2">
      <c r="C1343" s="138"/>
      <c r="E1343" s="138"/>
      <c r="F1343" s="138"/>
      <c r="G1343" s="138"/>
      <c r="H1343" s="138"/>
    </row>
    <row r="1344" spans="3:8" x14ac:dyDescent="0.2">
      <c r="C1344" s="138"/>
      <c r="E1344" s="138"/>
      <c r="F1344" s="138"/>
      <c r="G1344" s="138"/>
      <c r="H1344" s="138"/>
    </row>
    <row r="1345" spans="3:8" x14ac:dyDescent="0.2">
      <c r="C1345" s="138"/>
      <c r="E1345" s="138"/>
      <c r="F1345" s="138"/>
      <c r="G1345" s="138"/>
      <c r="H1345" s="138"/>
    </row>
    <row r="1346" spans="3:8" x14ac:dyDescent="0.2">
      <c r="C1346" s="138"/>
      <c r="E1346" s="138"/>
      <c r="F1346" s="138"/>
      <c r="G1346" s="138"/>
      <c r="H1346" s="138"/>
    </row>
    <row r="1347" spans="3:8" x14ac:dyDescent="0.2">
      <c r="C1347" s="138"/>
      <c r="E1347" s="138"/>
      <c r="F1347" s="138"/>
      <c r="G1347" s="138"/>
      <c r="H1347" s="138"/>
    </row>
    <row r="1348" spans="3:8" x14ac:dyDescent="0.2">
      <c r="C1348" s="138"/>
      <c r="E1348" s="138"/>
      <c r="F1348" s="138"/>
      <c r="G1348" s="138"/>
      <c r="H1348" s="138"/>
    </row>
    <row r="1349" spans="3:8" x14ac:dyDescent="0.2">
      <c r="C1349" s="138"/>
      <c r="E1349" s="138"/>
      <c r="F1349" s="138"/>
      <c r="G1349" s="138"/>
      <c r="H1349" s="138"/>
    </row>
    <row r="1350" spans="3:8" x14ac:dyDescent="0.2">
      <c r="C1350" s="138"/>
      <c r="E1350" s="138"/>
      <c r="F1350" s="138"/>
      <c r="G1350" s="138"/>
      <c r="H1350" s="138"/>
    </row>
    <row r="1351" spans="3:8" x14ac:dyDescent="0.2">
      <c r="C1351" s="138"/>
      <c r="E1351" s="138"/>
      <c r="F1351" s="138"/>
      <c r="G1351" s="138"/>
      <c r="H1351" s="138"/>
    </row>
    <row r="1352" spans="3:8" x14ac:dyDescent="0.2">
      <c r="C1352" s="138"/>
      <c r="E1352" s="138"/>
      <c r="F1352" s="138"/>
      <c r="G1352" s="138"/>
      <c r="H1352" s="138"/>
    </row>
    <row r="1353" spans="3:8" x14ac:dyDescent="0.2">
      <c r="C1353" s="138"/>
      <c r="E1353" s="138"/>
      <c r="F1353" s="138"/>
      <c r="G1353" s="138"/>
      <c r="H1353" s="138"/>
    </row>
    <row r="1354" spans="3:8" x14ac:dyDescent="0.2">
      <c r="C1354" s="138"/>
      <c r="E1354" s="138"/>
      <c r="F1354" s="138"/>
      <c r="G1354" s="138"/>
      <c r="H1354" s="138"/>
    </row>
    <row r="1355" spans="3:8" x14ac:dyDescent="0.2">
      <c r="C1355" s="138"/>
      <c r="E1355" s="138"/>
      <c r="F1355" s="138"/>
      <c r="G1355" s="138"/>
      <c r="H1355" s="138"/>
    </row>
    <row r="1356" spans="3:8" x14ac:dyDescent="0.2">
      <c r="C1356" s="138"/>
      <c r="E1356" s="138"/>
      <c r="F1356" s="138"/>
      <c r="G1356" s="138"/>
      <c r="H1356" s="138"/>
    </row>
    <row r="1357" spans="3:8" x14ac:dyDescent="0.2">
      <c r="C1357" s="138"/>
      <c r="E1357" s="138"/>
      <c r="F1357" s="138"/>
      <c r="G1357" s="138"/>
      <c r="H1357" s="138"/>
    </row>
    <row r="1358" spans="3:8" x14ac:dyDescent="0.2">
      <c r="C1358" s="138"/>
      <c r="E1358" s="138"/>
      <c r="F1358" s="138"/>
      <c r="G1358" s="138"/>
      <c r="H1358" s="138"/>
    </row>
    <row r="1359" spans="3:8" x14ac:dyDescent="0.2">
      <c r="C1359" s="138"/>
      <c r="E1359" s="138"/>
      <c r="F1359" s="138"/>
      <c r="G1359" s="138"/>
      <c r="H1359" s="138"/>
    </row>
    <row r="1360" spans="3:8" x14ac:dyDescent="0.2">
      <c r="C1360" s="138"/>
      <c r="E1360" s="138"/>
      <c r="F1360" s="138"/>
      <c r="G1360" s="138"/>
      <c r="H1360" s="138"/>
    </row>
    <row r="1361" spans="3:8" x14ac:dyDescent="0.2">
      <c r="C1361" s="138"/>
      <c r="E1361" s="138"/>
      <c r="F1361" s="138"/>
      <c r="G1361" s="138"/>
      <c r="H1361" s="138"/>
    </row>
    <row r="1362" spans="3:8" x14ac:dyDescent="0.2">
      <c r="C1362" s="138"/>
      <c r="E1362" s="138"/>
      <c r="F1362" s="138"/>
      <c r="G1362" s="138"/>
      <c r="H1362" s="138"/>
    </row>
    <row r="1363" spans="3:8" x14ac:dyDescent="0.2">
      <c r="C1363" s="138"/>
      <c r="E1363" s="138"/>
      <c r="F1363" s="138"/>
      <c r="G1363" s="138"/>
      <c r="H1363" s="138"/>
    </row>
    <row r="1364" spans="3:8" x14ac:dyDescent="0.2">
      <c r="C1364" s="138"/>
      <c r="E1364" s="138"/>
      <c r="F1364" s="138"/>
      <c r="G1364" s="138"/>
      <c r="H1364" s="138"/>
    </row>
    <row r="1365" spans="3:8" x14ac:dyDescent="0.2">
      <c r="C1365" s="138"/>
      <c r="E1365" s="138"/>
      <c r="F1365" s="138"/>
      <c r="G1365" s="138"/>
      <c r="H1365" s="138"/>
    </row>
    <row r="1366" spans="3:8" x14ac:dyDescent="0.2">
      <c r="C1366" s="138"/>
      <c r="E1366" s="138"/>
      <c r="F1366" s="138"/>
      <c r="G1366" s="138"/>
      <c r="H1366" s="138"/>
    </row>
    <row r="1367" spans="3:8" x14ac:dyDescent="0.2">
      <c r="C1367" s="138"/>
      <c r="E1367" s="138"/>
      <c r="F1367" s="138"/>
      <c r="G1367" s="138"/>
      <c r="H1367" s="138"/>
    </row>
    <row r="1368" spans="3:8" x14ac:dyDescent="0.2">
      <c r="C1368" s="138"/>
      <c r="E1368" s="138"/>
      <c r="F1368" s="138"/>
      <c r="G1368" s="138"/>
      <c r="H1368" s="138"/>
    </row>
    <row r="1369" spans="3:8" x14ac:dyDescent="0.2">
      <c r="C1369" s="138"/>
      <c r="E1369" s="138"/>
      <c r="F1369" s="138"/>
      <c r="G1369" s="138"/>
      <c r="H1369" s="138"/>
    </row>
    <row r="1370" spans="3:8" x14ac:dyDescent="0.2">
      <c r="C1370" s="138"/>
      <c r="E1370" s="138"/>
      <c r="F1370" s="138"/>
      <c r="G1370" s="138"/>
      <c r="H1370" s="138"/>
    </row>
    <row r="1371" spans="3:8" x14ac:dyDescent="0.2">
      <c r="C1371" s="138"/>
      <c r="E1371" s="138"/>
      <c r="F1371" s="138"/>
      <c r="G1371" s="138"/>
      <c r="H1371" s="138"/>
    </row>
    <row r="1372" spans="3:8" x14ac:dyDescent="0.2">
      <c r="C1372" s="138"/>
      <c r="E1372" s="138"/>
      <c r="F1372" s="138"/>
      <c r="G1372" s="138"/>
      <c r="H1372" s="138"/>
    </row>
    <row r="1373" spans="3:8" x14ac:dyDescent="0.2">
      <c r="C1373" s="138"/>
      <c r="E1373" s="138"/>
      <c r="F1373" s="138"/>
      <c r="G1373" s="138"/>
      <c r="H1373" s="138"/>
    </row>
    <row r="1374" spans="3:8" x14ac:dyDescent="0.2">
      <c r="C1374" s="138"/>
      <c r="E1374" s="138"/>
      <c r="F1374" s="138"/>
      <c r="G1374" s="138"/>
      <c r="H1374" s="138"/>
    </row>
    <row r="1375" spans="3:8" x14ac:dyDescent="0.2">
      <c r="C1375" s="138"/>
      <c r="E1375" s="138"/>
      <c r="F1375" s="138"/>
      <c r="G1375" s="138"/>
      <c r="H1375" s="138"/>
    </row>
    <row r="1376" spans="3:8" x14ac:dyDescent="0.2">
      <c r="C1376" s="138"/>
      <c r="E1376" s="138"/>
      <c r="F1376" s="138"/>
      <c r="G1376" s="138"/>
      <c r="H1376" s="138"/>
    </row>
    <row r="1377" spans="3:8" x14ac:dyDescent="0.2">
      <c r="C1377" s="138"/>
      <c r="E1377" s="138"/>
      <c r="F1377" s="138"/>
      <c r="G1377" s="138"/>
      <c r="H1377" s="138"/>
    </row>
    <row r="1378" spans="3:8" x14ac:dyDescent="0.2">
      <c r="C1378" s="138"/>
      <c r="E1378" s="138"/>
      <c r="F1378" s="138"/>
      <c r="G1378" s="138"/>
      <c r="H1378" s="138"/>
    </row>
    <row r="1379" spans="3:8" x14ac:dyDescent="0.2">
      <c r="C1379" s="138"/>
      <c r="E1379" s="138"/>
      <c r="F1379" s="138"/>
      <c r="G1379" s="138"/>
      <c r="H1379" s="138"/>
    </row>
    <row r="1380" spans="3:8" x14ac:dyDescent="0.2">
      <c r="C1380" s="138"/>
      <c r="E1380" s="138"/>
      <c r="F1380" s="138"/>
      <c r="G1380" s="138"/>
      <c r="H1380" s="138"/>
    </row>
    <row r="1381" spans="3:8" x14ac:dyDescent="0.2">
      <c r="C1381" s="138"/>
      <c r="E1381" s="138"/>
      <c r="F1381" s="138"/>
      <c r="G1381" s="138"/>
      <c r="H1381" s="138"/>
    </row>
    <row r="1382" spans="3:8" x14ac:dyDescent="0.2">
      <c r="C1382" s="138"/>
      <c r="E1382" s="138"/>
      <c r="F1382" s="138"/>
      <c r="G1382" s="138"/>
      <c r="H1382" s="138"/>
    </row>
    <row r="1383" spans="3:8" x14ac:dyDescent="0.2">
      <c r="C1383" s="138"/>
      <c r="E1383" s="138"/>
      <c r="F1383" s="138"/>
      <c r="G1383" s="138"/>
      <c r="H1383" s="138"/>
    </row>
    <row r="1384" spans="3:8" x14ac:dyDescent="0.2">
      <c r="C1384" s="138"/>
      <c r="E1384" s="138"/>
      <c r="F1384" s="138"/>
      <c r="G1384" s="138"/>
      <c r="H1384" s="138"/>
    </row>
    <row r="1385" spans="3:8" x14ac:dyDescent="0.2">
      <c r="C1385" s="138"/>
      <c r="E1385" s="138"/>
      <c r="F1385" s="138"/>
      <c r="G1385" s="138"/>
      <c r="H1385" s="138"/>
    </row>
    <row r="1386" spans="3:8" x14ac:dyDescent="0.2">
      <c r="C1386" s="138"/>
      <c r="E1386" s="138"/>
      <c r="F1386" s="138"/>
      <c r="G1386" s="138"/>
      <c r="H1386" s="138"/>
    </row>
    <row r="1387" spans="3:8" x14ac:dyDescent="0.2">
      <c r="C1387" s="138"/>
      <c r="E1387" s="138"/>
      <c r="F1387" s="138"/>
      <c r="G1387" s="138"/>
      <c r="H1387" s="138"/>
    </row>
    <row r="1388" spans="3:8" x14ac:dyDescent="0.2">
      <c r="C1388" s="138"/>
      <c r="E1388" s="138"/>
      <c r="F1388" s="138"/>
      <c r="G1388" s="138"/>
      <c r="H1388" s="138"/>
    </row>
    <row r="1389" spans="3:8" x14ac:dyDescent="0.2">
      <c r="C1389" s="138"/>
      <c r="E1389" s="138"/>
      <c r="F1389" s="138"/>
      <c r="G1389" s="138"/>
      <c r="H1389" s="138"/>
    </row>
    <row r="1390" spans="3:8" x14ac:dyDescent="0.2">
      <c r="C1390" s="138"/>
      <c r="E1390" s="138"/>
      <c r="F1390" s="138"/>
      <c r="G1390" s="138"/>
      <c r="H1390" s="138"/>
    </row>
    <row r="1391" spans="3:8" x14ac:dyDescent="0.2">
      <c r="C1391" s="138"/>
      <c r="E1391" s="138"/>
      <c r="F1391" s="138"/>
      <c r="G1391" s="138"/>
      <c r="H1391" s="138"/>
    </row>
    <row r="1392" spans="3:8" x14ac:dyDescent="0.2">
      <c r="C1392" s="138"/>
      <c r="E1392" s="138"/>
      <c r="F1392" s="138"/>
      <c r="G1392" s="138"/>
      <c r="H1392" s="138"/>
    </row>
    <row r="1393" spans="3:8" x14ac:dyDescent="0.2">
      <c r="C1393" s="138"/>
      <c r="E1393" s="138"/>
      <c r="F1393" s="138"/>
      <c r="G1393" s="138"/>
      <c r="H1393" s="138"/>
    </row>
    <row r="1394" spans="3:8" x14ac:dyDescent="0.2">
      <c r="C1394" s="138"/>
      <c r="E1394" s="138"/>
      <c r="F1394" s="138"/>
      <c r="G1394" s="138"/>
      <c r="H1394" s="138"/>
    </row>
    <row r="1395" spans="3:8" x14ac:dyDescent="0.2">
      <c r="C1395" s="138"/>
      <c r="E1395" s="138"/>
      <c r="F1395" s="138"/>
      <c r="G1395" s="138"/>
      <c r="H1395" s="138"/>
    </row>
    <row r="1396" spans="3:8" x14ac:dyDescent="0.2">
      <c r="C1396" s="138"/>
      <c r="E1396" s="138"/>
      <c r="F1396" s="138"/>
      <c r="G1396" s="138"/>
      <c r="H1396" s="138"/>
    </row>
    <row r="1397" spans="3:8" x14ac:dyDescent="0.2">
      <c r="C1397" s="138"/>
      <c r="E1397" s="138"/>
      <c r="F1397" s="138"/>
      <c r="G1397" s="138"/>
      <c r="H1397" s="138"/>
    </row>
    <row r="1398" spans="3:8" x14ac:dyDescent="0.2">
      <c r="C1398" s="138"/>
      <c r="E1398" s="138"/>
      <c r="F1398" s="138"/>
      <c r="G1398" s="138"/>
      <c r="H1398" s="138"/>
    </row>
    <row r="1399" spans="3:8" x14ac:dyDescent="0.2">
      <c r="C1399" s="138"/>
      <c r="E1399" s="138"/>
      <c r="F1399" s="138"/>
      <c r="G1399" s="138"/>
      <c r="H1399" s="138"/>
    </row>
    <row r="1400" spans="3:8" x14ac:dyDescent="0.2">
      <c r="C1400" s="138"/>
      <c r="E1400" s="138"/>
      <c r="F1400" s="138"/>
      <c r="G1400" s="138"/>
      <c r="H1400" s="138"/>
    </row>
    <row r="1401" spans="3:8" x14ac:dyDescent="0.2">
      <c r="C1401" s="138"/>
      <c r="E1401" s="138"/>
      <c r="F1401" s="138"/>
      <c r="G1401" s="138"/>
      <c r="H1401" s="138"/>
    </row>
    <row r="1402" spans="3:8" x14ac:dyDescent="0.2">
      <c r="C1402" s="138"/>
      <c r="E1402" s="138"/>
      <c r="F1402" s="138"/>
      <c r="G1402" s="138"/>
      <c r="H1402" s="138"/>
    </row>
    <row r="1403" spans="3:8" x14ac:dyDescent="0.2">
      <c r="C1403" s="138"/>
      <c r="E1403" s="138"/>
      <c r="F1403" s="138"/>
      <c r="G1403" s="138"/>
      <c r="H1403" s="138"/>
    </row>
    <row r="1404" spans="3:8" x14ac:dyDescent="0.2">
      <c r="C1404" s="138"/>
      <c r="E1404" s="138"/>
      <c r="F1404" s="138"/>
      <c r="G1404" s="138"/>
      <c r="H1404" s="138"/>
    </row>
    <row r="1405" spans="3:8" x14ac:dyDescent="0.2">
      <c r="C1405" s="138"/>
      <c r="E1405" s="138"/>
      <c r="F1405" s="138"/>
      <c r="G1405" s="138"/>
      <c r="H1405" s="138"/>
    </row>
    <row r="1406" spans="3:8" x14ac:dyDescent="0.2">
      <c r="C1406" s="138"/>
      <c r="E1406" s="138"/>
      <c r="F1406" s="138"/>
      <c r="G1406" s="138"/>
      <c r="H1406" s="138"/>
    </row>
    <row r="1407" spans="3:8" x14ac:dyDescent="0.2">
      <c r="C1407" s="138"/>
      <c r="E1407" s="138"/>
      <c r="F1407" s="138"/>
      <c r="G1407" s="138"/>
      <c r="H1407" s="138"/>
    </row>
    <row r="1408" spans="3:8" x14ac:dyDescent="0.2">
      <c r="C1408" s="138"/>
      <c r="E1408" s="138"/>
      <c r="F1408" s="138"/>
      <c r="G1408" s="138"/>
      <c r="H1408" s="138"/>
    </row>
    <row r="1409" spans="3:8" x14ac:dyDescent="0.2">
      <c r="C1409" s="138"/>
      <c r="E1409" s="138"/>
      <c r="F1409" s="138"/>
      <c r="G1409" s="138"/>
      <c r="H1409" s="138"/>
    </row>
    <row r="1410" spans="3:8" x14ac:dyDescent="0.2">
      <c r="C1410" s="138"/>
      <c r="E1410" s="138"/>
      <c r="F1410" s="138"/>
      <c r="G1410" s="138"/>
      <c r="H1410" s="138"/>
    </row>
    <row r="1411" spans="3:8" x14ac:dyDescent="0.2">
      <c r="C1411" s="138"/>
      <c r="E1411" s="138"/>
      <c r="F1411" s="138"/>
      <c r="G1411" s="138"/>
      <c r="H1411" s="138"/>
    </row>
    <row r="1412" spans="3:8" x14ac:dyDescent="0.2">
      <c r="C1412" s="138"/>
      <c r="E1412" s="138"/>
      <c r="F1412" s="138"/>
      <c r="G1412" s="138"/>
      <c r="H1412" s="138"/>
    </row>
    <row r="1413" spans="3:8" x14ac:dyDescent="0.2">
      <c r="C1413" s="138"/>
      <c r="E1413" s="138"/>
      <c r="F1413" s="138"/>
      <c r="G1413" s="138"/>
      <c r="H1413" s="138"/>
    </row>
    <row r="1414" spans="3:8" x14ac:dyDescent="0.2">
      <c r="C1414" s="138"/>
      <c r="E1414" s="138"/>
      <c r="F1414" s="138"/>
      <c r="G1414" s="138"/>
      <c r="H1414" s="138"/>
    </row>
    <row r="1415" spans="3:8" x14ac:dyDescent="0.2">
      <c r="C1415" s="138"/>
      <c r="E1415" s="138"/>
      <c r="F1415" s="138"/>
      <c r="G1415" s="138"/>
      <c r="H1415" s="138"/>
    </row>
    <row r="1416" spans="3:8" x14ac:dyDescent="0.2">
      <c r="C1416" s="138"/>
      <c r="E1416" s="138"/>
      <c r="F1416" s="138"/>
      <c r="G1416" s="138"/>
      <c r="H1416" s="138"/>
    </row>
    <row r="1417" spans="3:8" x14ac:dyDescent="0.2">
      <c r="C1417" s="138"/>
      <c r="E1417" s="138"/>
      <c r="F1417" s="138"/>
      <c r="G1417" s="138"/>
      <c r="H1417" s="138"/>
    </row>
    <row r="1418" spans="3:8" x14ac:dyDescent="0.2">
      <c r="C1418" s="138"/>
      <c r="E1418" s="138"/>
      <c r="F1418" s="138"/>
      <c r="G1418" s="138"/>
      <c r="H1418" s="138"/>
    </row>
    <row r="1419" spans="3:8" x14ac:dyDescent="0.2">
      <c r="C1419" s="138"/>
      <c r="E1419" s="138"/>
      <c r="F1419" s="138"/>
      <c r="G1419" s="138"/>
      <c r="H1419" s="138"/>
    </row>
    <row r="1420" spans="3:8" x14ac:dyDescent="0.2">
      <c r="C1420" s="138"/>
      <c r="E1420" s="138"/>
      <c r="F1420" s="138"/>
      <c r="G1420" s="138"/>
      <c r="H1420" s="138"/>
    </row>
    <row r="1421" spans="3:8" x14ac:dyDescent="0.2">
      <c r="C1421" s="138"/>
      <c r="E1421" s="138"/>
      <c r="F1421" s="138"/>
      <c r="G1421" s="138"/>
      <c r="H1421" s="138"/>
    </row>
    <row r="1422" spans="3:8" x14ac:dyDescent="0.2">
      <c r="C1422" s="138"/>
      <c r="E1422" s="138"/>
      <c r="F1422" s="138"/>
      <c r="G1422" s="138"/>
      <c r="H1422" s="138"/>
    </row>
    <row r="1423" spans="3:8" x14ac:dyDescent="0.2">
      <c r="C1423" s="138"/>
      <c r="E1423" s="138"/>
      <c r="F1423" s="138"/>
      <c r="G1423" s="138"/>
      <c r="H1423" s="138"/>
    </row>
    <row r="1424" spans="3:8" x14ac:dyDescent="0.2">
      <c r="C1424" s="138"/>
      <c r="E1424" s="138"/>
      <c r="F1424" s="138"/>
      <c r="G1424" s="138"/>
      <c r="H1424" s="138"/>
    </row>
    <row r="1425" spans="3:8" x14ac:dyDescent="0.2">
      <c r="C1425" s="138"/>
      <c r="E1425" s="138"/>
      <c r="F1425" s="138"/>
      <c r="G1425" s="138"/>
      <c r="H1425" s="138"/>
    </row>
    <row r="1426" spans="3:8" x14ac:dyDescent="0.2">
      <c r="C1426" s="138"/>
      <c r="E1426" s="138"/>
      <c r="F1426" s="138"/>
      <c r="G1426" s="138"/>
      <c r="H1426" s="138"/>
    </row>
    <row r="1427" spans="3:8" x14ac:dyDescent="0.2">
      <c r="C1427" s="138"/>
      <c r="E1427" s="138"/>
      <c r="F1427" s="138"/>
      <c r="G1427" s="138"/>
      <c r="H1427" s="138"/>
    </row>
    <row r="1428" spans="3:8" x14ac:dyDescent="0.2">
      <c r="C1428" s="138"/>
      <c r="E1428" s="138"/>
      <c r="F1428" s="138"/>
      <c r="G1428" s="138"/>
      <c r="H1428" s="138"/>
    </row>
    <row r="1429" spans="3:8" x14ac:dyDescent="0.2">
      <c r="C1429" s="138"/>
      <c r="E1429" s="138"/>
      <c r="F1429" s="138"/>
      <c r="G1429" s="138"/>
      <c r="H1429" s="138"/>
    </row>
    <row r="1430" spans="3:8" x14ac:dyDescent="0.2">
      <c r="C1430" s="138"/>
      <c r="E1430" s="138"/>
      <c r="F1430" s="138"/>
      <c r="G1430" s="138"/>
      <c r="H1430" s="138"/>
    </row>
    <row r="1431" spans="3:8" x14ac:dyDescent="0.2">
      <c r="C1431" s="138"/>
      <c r="E1431" s="138"/>
      <c r="F1431" s="138"/>
      <c r="G1431" s="138"/>
      <c r="H1431" s="138"/>
    </row>
    <row r="1432" spans="3:8" x14ac:dyDescent="0.2">
      <c r="C1432" s="138"/>
      <c r="E1432" s="138"/>
      <c r="F1432" s="138"/>
      <c r="G1432" s="138"/>
      <c r="H1432" s="138"/>
    </row>
    <row r="1433" spans="3:8" x14ac:dyDescent="0.2">
      <c r="C1433" s="138"/>
      <c r="E1433" s="138"/>
      <c r="F1433" s="138"/>
      <c r="G1433" s="138"/>
      <c r="H1433" s="138"/>
    </row>
    <row r="1434" spans="3:8" x14ac:dyDescent="0.2">
      <c r="C1434" s="138"/>
      <c r="E1434" s="138"/>
      <c r="F1434" s="138"/>
      <c r="G1434" s="138"/>
      <c r="H1434" s="138"/>
    </row>
    <row r="1435" spans="3:8" x14ac:dyDescent="0.2">
      <c r="C1435" s="138"/>
      <c r="E1435" s="138"/>
      <c r="F1435" s="138"/>
      <c r="G1435" s="138"/>
      <c r="H1435" s="138"/>
    </row>
    <row r="1436" spans="3:8" x14ac:dyDescent="0.2">
      <c r="C1436" s="138"/>
      <c r="E1436" s="138"/>
      <c r="F1436" s="138"/>
      <c r="G1436" s="138"/>
      <c r="H1436" s="138"/>
    </row>
    <row r="1437" spans="3:8" x14ac:dyDescent="0.2">
      <c r="C1437" s="138"/>
      <c r="E1437" s="138"/>
      <c r="F1437" s="138"/>
      <c r="G1437" s="138"/>
      <c r="H1437" s="138"/>
    </row>
    <row r="1438" spans="3:8" x14ac:dyDescent="0.2">
      <c r="C1438" s="138"/>
      <c r="E1438" s="138"/>
      <c r="F1438" s="138"/>
      <c r="G1438" s="138"/>
      <c r="H1438" s="138"/>
    </row>
    <row r="1439" spans="3:8" x14ac:dyDescent="0.2">
      <c r="C1439" s="138"/>
      <c r="E1439" s="138"/>
      <c r="F1439" s="138"/>
      <c r="G1439" s="138"/>
      <c r="H1439" s="138"/>
    </row>
    <row r="1440" spans="3:8" x14ac:dyDescent="0.2">
      <c r="C1440" s="138"/>
      <c r="E1440" s="138"/>
      <c r="F1440" s="138"/>
      <c r="G1440" s="138"/>
      <c r="H1440" s="138"/>
    </row>
    <row r="1441" spans="3:8" x14ac:dyDescent="0.2">
      <c r="C1441" s="138"/>
      <c r="E1441" s="138"/>
      <c r="F1441" s="138"/>
      <c r="G1441" s="138"/>
      <c r="H1441" s="138"/>
    </row>
    <row r="1442" spans="3:8" x14ac:dyDescent="0.2">
      <c r="C1442" s="138"/>
      <c r="E1442" s="138"/>
      <c r="F1442" s="138"/>
      <c r="G1442" s="138"/>
      <c r="H1442" s="138"/>
    </row>
    <row r="1443" spans="3:8" x14ac:dyDescent="0.2">
      <c r="C1443" s="138"/>
      <c r="E1443" s="138"/>
      <c r="F1443" s="138"/>
      <c r="G1443" s="138"/>
      <c r="H1443" s="138"/>
    </row>
    <row r="1444" spans="3:8" x14ac:dyDescent="0.2">
      <c r="C1444" s="138"/>
      <c r="E1444" s="138"/>
      <c r="F1444" s="138"/>
      <c r="G1444" s="138"/>
      <c r="H1444" s="138"/>
    </row>
    <row r="1445" spans="3:8" x14ac:dyDescent="0.2">
      <c r="C1445" s="138"/>
      <c r="E1445" s="138"/>
      <c r="F1445" s="138"/>
      <c r="G1445" s="138"/>
      <c r="H1445" s="138"/>
    </row>
    <row r="1446" spans="3:8" x14ac:dyDescent="0.2">
      <c r="C1446" s="138"/>
      <c r="E1446" s="138"/>
      <c r="F1446" s="138"/>
      <c r="G1446" s="138"/>
      <c r="H1446" s="138"/>
    </row>
    <row r="1447" spans="3:8" x14ac:dyDescent="0.2">
      <c r="C1447" s="138"/>
      <c r="E1447" s="138"/>
      <c r="F1447" s="138"/>
      <c r="G1447" s="138"/>
      <c r="H1447" s="138"/>
    </row>
    <row r="1448" spans="3:8" x14ac:dyDescent="0.2">
      <c r="C1448" s="138"/>
      <c r="E1448" s="138"/>
      <c r="F1448" s="138"/>
      <c r="G1448" s="138"/>
      <c r="H1448" s="138"/>
    </row>
    <row r="1449" spans="3:8" x14ac:dyDescent="0.2">
      <c r="C1449" s="138"/>
      <c r="E1449" s="138"/>
      <c r="F1449" s="138"/>
      <c r="G1449" s="138"/>
      <c r="H1449" s="138"/>
    </row>
    <row r="1450" spans="3:8" x14ac:dyDescent="0.2">
      <c r="C1450" s="138"/>
      <c r="E1450" s="138"/>
      <c r="F1450" s="138"/>
      <c r="G1450" s="138"/>
      <c r="H1450" s="138"/>
    </row>
    <row r="1451" spans="3:8" x14ac:dyDescent="0.2">
      <c r="C1451" s="138"/>
      <c r="E1451" s="138"/>
      <c r="F1451" s="138"/>
      <c r="G1451" s="138"/>
      <c r="H1451" s="138"/>
    </row>
    <row r="1452" spans="3:8" x14ac:dyDescent="0.2">
      <c r="C1452" s="138"/>
      <c r="E1452" s="138"/>
      <c r="F1452" s="138"/>
      <c r="G1452" s="138"/>
      <c r="H1452" s="138"/>
    </row>
    <row r="1453" spans="3:8" x14ac:dyDescent="0.2">
      <c r="C1453" s="138"/>
      <c r="E1453" s="138"/>
      <c r="F1453" s="138"/>
      <c r="G1453" s="138"/>
      <c r="H1453" s="138"/>
    </row>
    <row r="1454" spans="3:8" x14ac:dyDescent="0.2">
      <c r="C1454" s="138"/>
      <c r="E1454" s="138"/>
      <c r="F1454" s="138"/>
      <c r="G1454" s="138"/>
      <c r="H1454" s="138"/>
    </row>
    <row r="1455" spans="3:8" x14ac:dyDescent="0.2">
      <c r="C1455" s="138"/>
      <c r="E1455" s="138"/>
      <c r="F1455" s="138"/>
      <c r="G1455" s="138"/>
      <c r="H1455" s="138"/>
    </row>
    <row r="1456" spans="3:8" x14ac:dyDescent="0.2">
      <c r="C1456" s="138"/>
      <c r="E1456" s="138"/>
      <c r="F1456" s="138"/>
      <c r="G1456" s="138"/>
      <c r="H1456" s="138"/>
    </row>
    <row r="1457" spans="3:8" x14ac:dyDescent="0.2">
      <c r="C1457" s="138"/>
      <c r="E1457" s="138"/>
      <c r="F1457" s="138"/>
      <c r="G1457" s="138"/>
      <c r="H1457" s="138"/>
    </row>
    <row r="1458" spans="3:8" x14ac:dyDescent="0.2">
      <c r="C1458" s="138"/>
      <c r="E1458" s="138"/>
      <c r="F1458" s="138"/>
      <c r="G1458" s="138"/>
      <c r="H1458" s="138"/>
    </row>
    <row r="1459" spans="3:8" x14ac:dyDescent="0.2">
      <c r="C1459" s="138"/>
      <c r="E1459" s="138"/>
      <c r="F1459" s="138"/>
      <c r="G1459" s="138"/>
      <c r="H1459" s="138"/>
    </row>
    <row r="1460" spans="3:8" x14ac:dyDescent="0.2">
      <c r="C1460" s="138"/>
      <c r="E1460" s="138"/>
      <c r="F1460" s="138"/>
      <c r="G1460" s="138"/>
      <c r="H1460" s="138"/>
    </row>
    <row r="1461" spans="3:8" x14ac:dyDescent="0.2">
      <c r="C1461" s="138"/>
      <c r="E1461" s="138"/>
      <c r="F1461" s="138"/>
      <c r="G1461" s="138"/>
      <c r="H1461" s="138"/>
    </row>
    <row r="1462" spans="3:8" x14ac:dyDescent="0.2">
      <c r="C1462" s="138"/>
      <c r="E1462" s="138"/>
      <c r="F1462" s="138"/>
      <c r="G1462" s="138"/>
      <c r="H1462" s="138"/>
    </row>
    <row r="1463" spans="3:8" x14ac:dyDescent="0.2">
      <c r="C1463" s="138"/>
      <c r="E1463" s="138"/>
      <c r="F1463" s="138"/>
      <c r="G1463" s="138"/>
      <c r="H1463" s="138"/>
    </row>
    <row r="1464" spans="3:8" x14ac:dyDescent="0.2">
      <c r="C1464" s="138"/>
      <c r="E1464" s="138"/>
      <c r="F1464" s="138"/>
      <c r="G1464" s="138"/>
      <c r="H1464" s="138"/>
    </row>
    <row r="1465" spans="3:8" x14ac:dyDescent="0.2">
      <c r="C1465" s="138"/>
      <c r="E1465" s="138"/>
      <c r="F1465" s="138"/>
      <c r="G1465" s="138"/>
      <c r="H1465" s="138"/>
    </row>
    <row r="1466" spans="3:8" x14ac:dyDescent="0.2">
      <c r="C1466" s="138"/>
      <c r="E1466" s="138"/>
      <c r="F1466" s="138"/>
      <c r="G1466" s="138"/>
      <c r="H1466" s="138"/>
    </row>
    <row r="1467" spans="3:8" x14ac:dyDescent="0.2">
      <c r="C1467" s="138"/>
      <c r="E1467" s="138"/>
      <c r="F1467" s="138"/>
      <c r="G1467" s="138"/>
      <c r="H1467" s="138"/>
    </row>
    <row r="1468" spans="3:8" x14ac:dyDescent="0.2">
      <c r="C1468" s="138"/>
      <c r="E1468" s="138"/>
      <c r="F1468" s="138"/>
      <c r="G1468" s="138"/>
      <c r="H1468" s="138"/>
    </row>
    <row r="1469" spans="3:8" x14ac:dyDescent="0.2">
      <c r="C1469" s="138"/>
      <c r="E1469" s="138"/>
      <c r="F1469" s="138"/>
      <c r="G1469" s="138"/>
      <c r="H1469" s="138"/>
    </row>
    <row r="1470" spans="3:8" x14ac:dyDescent="0.2">
      <c r="C1470" s="138"/>
      <c r="E1470" s="138"/>
      <c r="F1470" s="138"/>
      <c r="G1470" s="138"/>
      <c r="H1470" s="138"/>
    </row>
    <row r="1471" spans="3:8" x14ac:dyDescent="0.2">
      <c r="C1471" s="138"/>
      <c r="E1471" s="138"/>
      <c r="F1471" s="138"/>
      <c r="G1471" s="138"/>
      <c r="H1471" s="138"/>
    </row>
    <row r="1472" spans="3:8" x14ac:dyDescent="0.2">
      <c r="C1472" s="138"/>
      <c r="E1472" s="138"/>
      <c r="F1472" s="138"/>
      <c r="G1472" s="138"/>
      <c r="H1472" s="138"/>
    </row>
    <row r="1473" spans="3:8" x14ac:dyDescent="0.2">
      <c r="C1473" s="138"/>
      <c r="E1473" s="138"/>
      <c r="F1473" s="138"/>
      <c r="G1473" s="138"/>
      <c r="H1473" s="138"/>
    </row>
    <row r="1474" spans="3:8" x14ac:dyDescent="0.2">
      <c r="C1474" s="138"/>
      <c r="E1474" s="138"/>
      <c r="F1474" s="138"/>
      <c r="G1474" s="138"/>
      <c r="H1474" s="138"/>
    </row>
    <row r="1475" spans="3:8" x14ac:dyDescent="0.2">
      <c r="C1475" s="138"/>
      <c r="E1475" s="138"/>
      <c r="F1475" s="138"/>
      <c r="G1475" s="138"/>
      <c r="H1475" s="138"/>
    </row>
    <row r="1476" spans="3:8" x14ac:dyDescent="0.2">
      <c r="C1476" s="138"/>
      <c r="E1476" s="138"/>
      <c r="F1476" s="138"/>
      <c r="G1476" s="138"/>
      <c r="H1476" s="138"/>
    </row>
    <row r="1477" spans="3:8" x14ac:dyDescent="0.2">
      <c r="C1477" s="138"/>
      <c r="E1477" s="138"/>
      <c r="F1477" s="138"/>
      <c r="G1477" s="138"/>
      <c r="H1477" s="138"/>
    </row>
    <row r="1478" spans="3:8" x14ac:dyDescent="0.2">
      <c r="C1478" s="138"/>
      <c r="E1478" s="138"/>
      <c r="F1478" s="138"/>
      <c r="G1478" s="138"/>
      <c r="H1478" s="138"/>
    </row>
    <row r="1479" spans="3:8" x14ac:dyDescent="0.2">
      <c r="C1479" s="138"/>
      <c r="E1479" s="138"/>
      <c r="F1479" s="138"/>
      <c r="G1479" s="138"/>
      <c r="H1479" s="138"/>
    </row>
    <row r="1480" spans="3:8" x14ac:dyDescent="0.2">
      <c r="C1480" s="138"/>
      <c r="E1480" s="138"/>
      <c r="F1480" s="138"/>
      <c r="G1480" s="138"/>
      <c r="H1480" s="138"/>
    </row>
    <row r="1481" spans="3:8" x14ac:dyDescent="0.2">
      <c r="C1481" s="138"/>
      <c r="E1481" s="138"/>
      <c r="F1481" s="138"/>
      <c r="G1481" s="138"/>
      <c r="H1481" s="138"/>
    </row>
    <row r="1482" spans="3:8" x14ac:dyDescent="0.2">
      <c r="C1482" s="138"/>
      <c r="E1482" s="138"/>
      <c r="F1482" s="138"/>
      <c r="G1482" s="138"/>
      <c r="H1482" s="138"/>
    </row>
    <row r="1483" spans="3:8" x14ac:dyDescent="0.2">
      <c r="C1483" s="138"/>
      <c r="E1483" s="138"/>
      <c r="F1483" s="138"/>
      <c r="G1483" s="138"/>
      <c r="H1483" s="138"/>
    </row>
    <row r="1484" spans="3:8" x14ac:dyDescent="0.2">
      <c r="C1484" s="138"/>
      <c r="E1484" s="138"/>
      <c r="F1484" s="138"/>
      <c r="G1484" s="138"/>
      <c r="H1484" s="138"/>
    </row>
    <row r="1485" spans="3:8" x14ac:dyDescent="0.2">
      <c r="C1485" s="138"/>
      <c r="E1485" s="138"/>
      <c r="F1485" s="138"/>
      <c r="G1485" s="138"/>
      <c r="H1485" s="138"/>
    </row>
    <row r="1486" spans="3:8" x14ac:dyDescent="0.2">
      <c r="C1486" s="138"/>
      <c r="E1486" s="138"/>
      <c r="F1486" s="138"/>
      <c r="G1486" s="138"/>
      <c r="H1486" s="138"/>
    </row>
    <row r="1487" spans="3:8" x14ac:dyDescent="0.2">
      <c r="C1487" s="138"/>
      <c r="E1487" s="138"/>
      <c r="F1487" s="138"/>
      <c r="G1487" s="138"/>
      <c r="H1487" s="138"/>
    </row>
    <row r="1488" spans="3:8" x14ac:dyDescent="0.2">
      <c r="C1488" s="138"/>
      <c r="E1488" s="138"/>
      <c r="F1488" s="138"/>
      <c r="G1488" s="138"/>
      <c r="H1488" s="138"/>
    </row>
    <row r="1489" spans="3:8" x14ac:dyDescent="0.2">
      <c r="C1489" s="138"/>
      <c r="E1489" s="138"/>
      <c r="F1489" s="138"/>
      <c r="G1489" s="138"/>
      <c r="H1489" s="138"/>
    </row>
    <row r="1490" spans="3:8" x14ac:dyDescent="0.2">
      <c r="C1490" s="138"/>
      <c r="E1490" s="138"/>
      <c r="F1490" s="138"/>
      <c r="G1490" s="138"/>
      <c r="H1490" s="138"/>
    </row>
    <row r="1491" spans="3:8" x14ac:dyDescent="0.2">
      <c r="C1491" s="138"/>
      <c r="E1491" s="138"/>
      <c r="F1491" s="138"/>
      <c r="G1491" s="138"/>
      <c r="H1491" s="138"/>
    </row>
    <row r="1492" spans="3:8" x14ac:dyDescent="0.2">
      <c r="C1492" s="138"/>
      <c r="E1492" s="138"/>
      <c r="F1492" s="138"/>
      <c r="G1492" s="138"/>
      <c r="H1492" s="138"/>
    </row>
    <row r="1493" spans="3:8" x14ac:dyDescent="0.2">
      <c r="C1493" s="138"/>
      <c r="E1493" s="138"/>
      <c r="F1493" s="138"/>
      <c r="G1493" s="138"/>
      <c r="H1493" s="138"/>
    </row>
    <row r="1494" spans="3:8" x14ac:dyDescent="0.2">
      <c r="C1494" s="138"/>
      <c r="E1494" s="138"/>
      <c r="F1494" s="138"/>
      <c r="G1494" s="138"/>
      <c r="H1494" s="138"/>
    </row>
    <row r="1495" spans="3:8" x14ac:dyDescent="0.2">
      <c r="C1495" s="138"/>
      <c r="E1495" s="138"/>
      <c r="F1495" s="138"/>
      <c r="G1495" s="138"/>
      <c r="H1495" s="138"/>
    </row>
    <row r="1496" spans="3:8" x14ac:dyDescent="0.2">
      <c r="C1496" s="138"/>
      <c r="E1496" s="138"/>
      <c r="F1496" s="138"/>
      <c r="G1496" s="138"/>
      <c r="H1496" s="138"/>
    </row>
    <row r="1497" spans="3:8" x14ac:dyDescent="0.2">
      <c r="C1497" s="138"/>
      <c r="E1497" s="138"/>
      <c r="F1497" s="138"/>
      <c r="G1497" s="138"/>
      <c r="H1497" s="138"/>
    </row>
    <row r="1498" spans="3:8" x14ac:dyDescent="0.2">
      <c r="C1498" s="138"/>
      <c r="E1498" s="138"/>
      <c r="F1498" s="138"/>
      <c r="G1498" s="138"/>
      <c r="H1498" s="138"/>
    </row>
    <row r="1499" spans="3:8" x14ac:dyDescent="0.2">
      <c r="C1499" s="138"/>
      <c r="E1499" s="138"/>
      <c r="F1499" s="138"/>
      <c r="G1499" s="138"/>
      <c r="H1499" s="138"/>
    </row>
    <row r="1500" spans="3:8" x14ac:dyDescent="0.2">
      <c r="C1500" s="138"/>
      <c r="E1500" s="138"/>
      <c r="F1500" s="138"/>
      <c r="G1500" s="138"/>
      <c r="H1500" s="138"/>
    </row>
    <row r="1501" spans="3:8" x14ac:dyDescent="0.2">
      <c r="C1501" s="138"/>
      <c r="E1501" s="138"/>
      <c r="F1501" s="138"/>
      <c r="G1501" s="138"/>
      <c r="H1501" s="138"/>
    </row>
    <row r="1502" spans="3:8" x14ac:dyDescent="0.2">
      <c r="C1502" s="138"/>
      <c r="E1502" s="138"/>
      <c r="F1502" s="138"/>
      <c r="G1502" s="138"/>
      <c r="H1502" s="138"/>
    </row>
    <row r="1503" spans="3:8" x14ac:dyDescent="0.2">
      <c r="C1503" s="138"/>
      <c r="E1503" s="138"/>
      <c r="F1503" s="138"/>
      <c r="G1503" s="138"/>
      <c r="H1503" s="138"/>
    </row>
    <row r="1504" spans="3:8" x14ac:dyDescent="0.2">
      <c r="C1504" s="138"/>
      <c r="E1504" s="138"/>
      <c r="F1504" s="138"/>
      <c r="G1504" s="138"/>
      <c r="H1504" s="138"/>
    </row>
    <row r="1505" spans="3:8" x14ac:dyDescent="0.2">
      <c r="C1505" s="138"/>
      <c r="E1505" s="138"/>
      <c r="F1505" s="138"/>
      <c r="G1505" s="138"/>
      <c r="H1505" s="138"/>
    </row>
    <row r="1506" spans="3:8" x14ac:dyDescent="0.2">
      <c r="C1506" s="138"/>
      <c r="E1506" s="138"/>
      <c r="F1506" s="138"/>
      <c r="G1506" s="138"/>
      <c r="H1506" s="138"/>
    </row>
    <row r="1507" spans="3:8" x14ac:dyDescent="0.2">
      <c r="C1507" s="138"/>
      <c r="E1507" s="138"/>
      <c r="F1507" s="138"/>
      <c r="G1507" s="138"/>
      <c r="H1507" s="138"/>
    </row>
    <row r="1508" spans="3:8" x14ac:dyDescent="0.2">
      <c r="C1508" s="138"/>
      <c r="E1508" s="138"/>
      <c r="F1508" s="138"/>
      <c r="G1508" s="138"/>
      <c r="H1508" s="138"/>
    </row>
    <row r="1509" spans="3:8" x14ac:dyDescent="0.2">
      <c r="C1509" s="138"/>
      <c r="E1509" s="138"/>
      <c r="F1509" s="138"/>
      <c r="G1509" s="138"/>
      <c r="H1509" s="138"/>
    </row>
    <row r="1510" spans="3:8" x14ac:dyDescent="0.2">
      <c r="C1510" s="138"/>
      <c r="E1510" s="138"/>
      <c r="F1510" s="138"/>
      <c r="G1510" s="138"/>
      <c r="H1510" s="138"/>
    </row>
    <row r="1511" spans="3:8" x14ac:dyDescent="0.2">
      <c r="C1511" s="138"/>
      <c r="E1511" s="138"/>
      <c r="F1511" s="138"/>
      <c r="G1511" s="138"/>
      <c r="H1511" s="138"/>
    </row>
    <row r="1512" spans="3:8" x14ac:dyDescent="0.2">
      <c r="C1512" s="138"/>
      <c r="E1512" s="138"/>
      <c r="F1512" s="138"/>
      <c r="G1512" s="138"/>
      <c r="H1512" s="138"/>
    </row>
    <row r="1513" spans="3:8" x14ac:dyDescent="0.2">
      <c r="C1513" s="138"/>
      <c r="E1513" s="138"/>
      <c r="F1513" s="138"/>
      <c r="G1513" s="138"/>
      <c r="H1513" s="138"/>
    </row>
    <row r="1514" spans="3:8" x14ac:dyDescent="0.2">
      <c r="C1514" s="138"/>
      <c r="E1514" s="138"/>
      <c r="F1514" s="138"/>
      <c r="G1514" s="138"/>
      <c r="H1514" s="138"/>
    </row>
    <row r="1515" spans="3:8" x14ac:dyDescent="0.2">
      <c r="C1515" s="138"/>
      <c r="E1515" s="138"/>
      <c r="F1515" s="138"/>
      <c r="G1515" s="138"/>
      <c r="H1515" s="138"/>
    </row>
    <row r="1516" spans="3:8" x14ac:dyDescent="0.2">
      <c r="C1516" s="138"/>
      <c r="E1516" s="138"/>
      <c r="F1516" s="138"/>
      <c r="G1516" s="138"/>
      <c r="H1516" s="138"/>
    </row>
    <row r="1517" spans="3:8" x14ac:dyDescent="0.2">
      <c r="C1517" s="138"/>
      <c r="E1517" s="138"/>
      <c r="F1517" s="138"/>
      <c r="G1517" s="138"/>
      <c r="H1517" s="138"/>
    </row>
    <row r="1518" spans="3:8" x14ac:dyDescent="0.2">
      <c r="C1518" s="138"/>
      <c r="E1518" s="138"/>
      <c r="F1518" s="138"/>
      <c r="G1518" s="138"/>
      <c r="H1518" s="138"/>
    </row>
    <row r="1519" spans="3:8" x14ac:dyDescent="0.2">
      <c r="C1519" s="138"/>
      <c r="E1519" s="138"/>
      <c r="F1519" s="138"/>
      <c r="G1519" s="138"/>
      <c r="H1519" s="138"/>
    </row>
    <row r="1520" spans="3:8" x14ac:dyDescent="0.2">
      <c r="C1520" s="138"/>
      <c r="E1520" s="138"/>
      <c r="F1520" s="138"/>
      <c r="G1520" s="138"/>
      <c r="H1520" s="138"/>
    </row>
    <row r="1521" spans="3:8" x14ac:dyDescent="0.2">
      <c r="C1521" s="138"/>
      <c r="E1521" s="138"/>
      <c r="F1521" s="138"/>
      <c r="G1521" s="138"/>
      <c r="H1521" s="138"/>
    </row>
    <row r="1522" spans="3:8" x14ac:dyDescent="0.2">
      <c r="C1522" s="138"/>
      <c r="E1522" s="138"/>
      <c r="F1522" s="138"/>
      <c r="G1522" s="138"/>
      <c r="H1522" s="138"/>
    </row>
    <row r="1523" spans="3:8" x14ac:dyDescent="0.2">
      <c r="C1523" s="138"/>
      <c r="E1523" s="138"/>
      <c r="F1523" s="138"/>
      <c r="G1523" s="138"/>
      <c r="H1523" s="138"/>
    </row>
    <row r="1524" spans="3:8" x14ac:dyDescent="0.2">
      <c r="C1524" s="138"/>
      <c r="E1524" s="138"/>
      <c r="F1524" s="138"/>
      <c r="G1524" s="138"/>
      <c r="H1524" s="138"/>
    </row>
    <row r="1525" spans="3:8" x14ac:dyDescent="0.2">
      <c r="C1525" s="138"/>
      <c r="E1525" s="138"/>
      <c r="F1525" s="138"/>
      <c r="G1525" s="138"/>
      <c r="H1525" s="138"/>
    </row>
    <row r="1526" spans="3:8" x14ac:dyDescent="0.2">
      <c r="C1526" s="138"/>
      <c r="E1526" s="138"/>
      <c r="F1526" s="138"/>
      <c r="G1526" s="138"/>
      <c r="H1526" s="138"/>
    </row>
    <row r="1527" spans="3:8" x14ac:dyDescent="0.2">
      <c r="C1527" s="138"/>
      <c r="E1527" s="138"/>
      <c r="F1527" s="138"/>
      <c r="G1527" s="138"/>
      <c r="H1527" s="138"/>
    </row>
    <row r="1528" spans="3:8" x14ac:dyDescent="0.2">
      <c r="C1528" s="138"/>
      <c r="E1528" s="138"/>
      <c r="F1528" s="138"/>
      <c r="G1528" s="138"/>
      <c r="H1528" s="138"/>
    </row>
    <row r="1529" spans="3:8" x14ac:dyDescent="0.2">
      <c r="C1529" s="138"/>
      <c r="E1529" s="138"/>
      <c r="F1529" s="138"/>
      <c r="G1529" s="138"/>
      <c r="H1529" s="138"/>
    </row>
    <row r="1530" spans="3:8" x14ac:dyDescent="0.2">
      <c r="C1530" s="138"/>
      <c r="E1530" s="138"/>
      <c r="F1530" s="138"/>
      <c r="G1530" s="138"/>
      <c r="H1530" s="138"/>
    </row>
    <row r="1531" spans="3:8" x14ac:dyDescent="0.2">
      <c r="C1531" s="138"/>
      <c r="E1531" s="138"/>
      <c r="F1531" s="138"/>
      <c r="G1531" s="138"/>
      <c r="H1531" s="138"/>
    </row>
    <row r="1532" spans="3:8" x14ac:dyDescent="0.2">
      <c r="C1532" s="138"/>
      <c r="E1532" s="138"/>
      <c r="F1532" s="138"/>
      <c r="G1532" s="138"/>
      <c r="H1532" s="138"/>
    </row>
    <row r="1533" spans="3:8" x14ac:dyDescent="0.2">
      <c r="C1533" s="138"/>
      <c r="E1533" s="138"/>
      <c r="F1533" s="138"/>
      <c r="G1533" s="138"/>
      <c r="H1533" s="138"/>
    </row>
    <row r="1534" spans="3:8" x14ac:dyDescent="0.2">
      <c r="C1534" s="138"/>
      <c r="E1534" s="138"/>
      <c r="F1534" s="138"/>
      <c r="G1534" s="138"/>
      <c r="H1534" s="138"/>
    </row>
    <row r="1535" spans="3:8" x14ac:dyDescent="0.2">
      <c r="C1535" s="138"/>
      <c r="E1535" s="138"/>
      <c r="F1535" s="138"/>
      <c r="G1535" s="138"/>
      <c r="H1535" s="138"/>
    </row>
    <row r="1536" spans="3:8" x14ac:dyDescent="0.2">
      <c r="C1536" s="138"/>
      <c r="E1536" s="138"/>
      <c r="F1536" s="138"/>
      <c r="G1536" s="138"/>
      <c r="H1536" s="138"/>
    </row>
    <row r="1537" spans="3:8" x14ac:dyDescent="0.2">
      <c r="C1537" s="138"/>
      <c r="E1537" s="138"/>
      <c r="F1537" s="138"/>
      <c r="G1537" s="138"/>
      <c r="H1537" s="138"/>
    </row>
    <row r="1538" spans="3:8" x14ac:dyDescent="0.2">
      <c r="C1538" s="138"/>
      <c r="E1538" s="138"/>
      <c r="F1538" s="138"/>
      <c r="G1538" s="138"/>
      <c r="H1538" s="138"/>
    </row>
    <row r="1539" spans="3:8" x14ac:dyDescent="0.2">
      <c r="C1539" s="138"/>
      <c r="E1539" s="138"/>
      <c r="F1539" s="138"/>
      <c r="G1539" s="138"/>
      <c r="H1539" s="138"/>
    </row>
    <row r="1540" spans="3:8" x14ac:dyDescent="0.2">
      <c r="C1540" s="138"/>
      <c r="E1540" s="138"/>
      <c r="F1540" s="138"/>
      <c r="G1540" s="138"/>
      <c r="H1540" s="138"/>
    </row>
    <row r="1541" spans="3:8" x14ac:dyDescent="0.2">
      <c r="C1541" s="138"/>
      <c r="E1541" s="138"/>
      <c r="F1541" s="138"/>
      <c r="G1541" s="138"/>
      <c r="H1541" s="138"/>
    </row>
    <row r="1542" spans="3:8" x14ac:dyDescent="0.2">
      <c r="C1542" s="138"/>
      <c r="E1542" s="138"/>
      <c r="F1542" s="138"/>
      <c r="G1542" s="138"/>
      <c r="H1542" s="138"/>
    </row>
    <row r="1543" spans="3:8" x14ac:dyDescent="0.2">
      <c r="C1543" s="138"/>
      <c r="E1543" s="138"/>
      <c r="F1543" s="138"/>
      <c r="G1543" s="138"/>
      <c r="H1543" s="138"/>
    </row>
    <row r="1544" spans="3:8" x14ac:dyDescent="0.2">
      <c r="C1544" s="138"/>
      <c r="E1544" s="138"/>
      <c r="F1544" s="138"/>
      <c r="G1544" s="138"/>
      <c r="H1544" s="138"/>
    </row>
    <row r="1545" spans="3:8" x14ac:dyDescent="0.2">
      <c r="C1545" s="138"/>
      <c r="E1545" s="138"/>
      <c r="F1545" s="138"/>
      <c r="G1545" s="138"/>
      <c r="H1545" s="138"/>
    </row>
    <row r="1546" spans="3:8" x14ac:dyDescent="0.2">
      <c r="C1546" s="138"/>
      <c r="E1546" s="138"/>
      <c r="F1546" s="138"/>
      <c r="G1546" s="138"/>
      <c r="H1546" s="138"/>
    </row>
    <row r="1547" spans="3:8" x14ac:dyDescent="0.2">
      <c r="C1547" s="138"/>
      <c r="E1547" s="138"/>
      <c r="F1547" s="138"/>
      <c r="G1547" s="138"/>
      <c r="H1547" s="138"/>
    </row>
    <row r="1548" spans="3:8" x14ac:dyDescent="0.2">
      <c r="C1548" s="138"/>
      <c r="E1548" s="138"/>
      <c r="F1548" s="138"/>
      <c r="G1548" s="138"/>
      <c r="H1548" s="138"/>
    </row>
    <row r="1549" spans="3:8" x14ac:dyDescent="0.2">
      <c r="C1549" s="138"/>
      <c r="E1549" s="138"/>
      <c r="F1549" s="138"/>
      <c r="G1549" s="138"/>
      <c r="H1549" s="138"/>
    </row>
    <row r="1550" spans="3:8" x14ac:dyDescent="0.2">
      <c r="C1550" s="138"/>
      <c r="E1550" s="138"/>
      <c r="F1550" s="138"/>
      <c r="G1550" s="138"/>
      <c r="H1550" s="138"/>
    </row>
    <row r="1551" spans="3:8" x14ac:dyDescent="0.2">
      <c r="C1551" s="138"/>
      <c r="E1551" s="138"/>
      <c r="F1551" s="138"/>
      <c r="G1551" s="138"/>
      <c r="H1551" s="138"/>
    </row>
    <row r="1552" spans="3:8" x14ac:dyDescent="0.2">
      <c r="C1552" s="138"/>
      <c r="E1552" s="138"/>
      <c r="F1552" s="138"/>
      <c r="G1552" s="138"/>
      <c r="H1552" s="138"/>
    </row>
    <row r="1553" spans="3:8" x14ac:dyDescent="0.2">
      <c r="C1553" s="138"/>
      <c r="E1553" s="138"/>
      <c r="F1553" s="138"/>
      <c r="G1553" s="138"/>
      <c r="H1553" s="138"/>
    </row>
    <row r="1554" spans="3:8" x14ac:dyDescent="0.2">
      <c r="C1554" s="138"/>
      <c r="E1554" s="138"/>
      <c r="F1554" s="138"/>
      <c r="G1554" s="138"/>
      <c r="H1554" s="138"/>
    </row>
    <row r="1555" spans="3:8" x14ac:dyDescent="0.2">
      <c r="C1555" s="138"/>
      <c r="E1555" s="138"/>
      <c r="F1555" s="138"/>
      <c r="G1555" s="138"/>
      <c r="H1555" s="138"/>
    </row>
    <row r="1556" spans="3:8" x14ac:dyDescent="0.2">
      <c r="C1556" s="138"/>
      <c r="E1556" s="138"/>
      <c r="F1556" s="138"/>
      <c r="G1556" s="138"/>
      <c r="H1556" s="138"/>
    </row>
    <row r="1557" spans="3:8" x14ac:dyDescent="0.2">
      <c r="C1557" s="138"/>
      <c r="E1557" s="138"/>
      <c r="F1557" s="138"/>
      <c r="G1557" s="138"/>
      <c r="H1557" s="138"/>
    </row>
    <row r="1558" spans="3:8" x14ac:dyDescent="0.2">
      <c r="C1558" s="138"/>
      <c r="E1558" s="138"/>
      <c r="F1558" s="138"/>
      <c r="G1558" s="138"/>
      <c r="H1558" s="138"/>
    </row>
    <row r="1559" spans="3:8" x14ac:dyDescent="0.2">
      <c r="C1559" s="138"/>
      <c r="E1559" s="138"/>
      <c r="F1559" s="138"/>
      <c r="G1559" s="138"/>
      <c r="H1559" s="138"/>
    </row>
    <row r="1560" spans="3:8" x14ac:dyDescent="0.2">
      <c r="C1560" s="138"/>
      <c r="E1560" s="138"/>
      <c r="F1560" s="138"/>
      <c r="G1560" s="138"/>
      <c r="H1560" s="138"/>
    </row>
    <row r="1561" spans="3:8" x14ac:dyDescent="0.2">
      <c r="C1561" s="138"/>
      <c r="E1561" s="138"/>
      <c r="F1561" s="138"/>
      <c r="G1561" s="138"/>
      <c r="H1561" s="138"/>
    </row>
    <row r="1562" spans="3:8" x14ac:dyDescent="0.2">
      <c r="C1562" s="138"/>
      <c r="E1562" s="138"/>
      <c r="F1562" s="138"/>
      <c r="G1562" s="138"/>
      <c r="H1562" s="138"/>
    </row>
    <row r="1563" spans="3:8" x14ac:dyDescent="0.2">
      <c r="C1563" s="138"/>
      <c r="E1563" s="138"/>
      <c r="F1563" s="138"/>
      <c r="G1563" s="138"/>
      <c r="H1563" s="138"/>
    </row>
    <row r="1564" spans="3:8" x14ac:dyDescent="0.2">
      <c r="C1564" s="138"/>
      <c r="E1564" s="138"/>
      <c r="F1564" s="138"/>
      <c r="G1564" s="138"/>
      <c r="H1564" s="138"/>
    </row>
    <row r="1565" spans="3:8" x14ac:dyDescent="0.2">
      <c r="C1565" s="138"/>
      <c r="E1565" s="138"/>
      <c r="F1565" s="138"/>
      <c r="G1565" s="138"/>
      <c r="H1565" s="138"/>
    </row>
    <row r="1566" spans="3:8" x14ac:dyDescent="0.2">
      <c r="C1566" s="138"/>
      <c r="E1566" s="138"/>
      <c r="F1566" s="138"/>
      <c r="G1566" s="138"/>
      <c r="H1566" s="138"/>
    </row>
    <row r="1567" spans="3:8" x14ac:dyDescent="0.2">
      <c r="C1567" s="138"/>
      <c r="E1567" s="138"/>
      <c r="F1567" s="138"/>
      <c r="G1567" s="138"/>
      <c r="H1567" s="138"/>
    </row>
    <row r="1568" spans="3:8" x14ac:dyDescent="0.2">
      <c r="C1568" s="138"/>
      <c r="E1568" s="138"/>
      <c r="F1568" s="138"/>
      <c r="G1568" s="138"/>
      <c r="H1568" s="138"/>
    </row>
    <row r="1569" spans="3:8" x14ac:dyDescent="0.2">
      <c r="C1569" s="138"/>
      <c r="E1569" s="138"/>
      <c r="F1569" s="138"/>
      <c r="G1569" s="138"/>
      <c r="H1569" s="138"/>
    </row>
    <row r="1570" spans="3:8" x14ac:dyDescent="0.2">
      <c r="C1570" s="138"/>
      <c r="E1570" s="138"/>
      <c r="F1570" s="138"/>
      <c r="G1570" s="138"/>
      <c r="H1570" s="138"/>
    </row>
    <row r="1571" spans="3:8" x14ac:dyDescent="0.2">
      <c r="C1571" s="138"/>
      <c r="E1571" s="138"/>
      <c r="F1571" s="138"/>
      <c r="G1571" s="138"/>
      <c r="H1571" s="138"/>
    </row>
    <row r="1572" spans="3:8" x14ac:dyDescent="0.2">
      <c r="C1572" s="138"/>
      <c r="E1572" s="138"/>
      <c r="F1572" s="138"/>
      <c r="G1572" s="138"/>
      <c r="H1572" s="138"/>
    </row>
    <row r="1573" spans="3:8" x14ac:dyDescent="0.2">
      <c r="C1573" s="138"/>
      <c r="E1573" s="138"/>
      <c r="F1573" s="138"/>
      <c r="G1573" s="138"/>
      <c r="H1573" s="138"/>
    </row>
    <row r="1574" spans="3:8" x14ac:dyDescent="0.2">
      <c r="C1574" s="138"/>
      <c r="E1574" s="138"/>
      <c r="F1574" s="138"/>
      <c r="G1574" s="138"/>
      <c r="H1574" s="138"/>
    </row>
    <row r="1575" spans="3:8" x14ac:dyDescent="0.2">
      <c r="C1575" s="138"/>
      <c r="E1575" s="138"/>
      <c r="F1575" s="138"/>
      <c r="G1575" s="138"/>
      <c r="H1575" s="138"/>
    </row>
    <row r="1576" spans="3:8" x14ac:dyDescent="0.2">
      <c r="C1576" s="138"/>
      <c r="E1576" s="138"/>
      <c r="F1576" s="138"/>
      <c r="G1576" s="138"/>
      <c r="H1576" s="138"/>
    </row>
    <row r="1577" spans="3:8" x14ac:dyDescent="0.2">
      <c r="C1577" s="138"/>
      <c r="E1577" s="138"/>
      <c r="F1577" s="138"/>
      <c r="G1577" s="138"/>
      <c r="H1577" s="138"/>
    </row>
    <row r="1578" spans="3:8" x14ac:dyDescent="0.2">
      <c r="C1578" s="138"/>
      <c r="E1578" s="138"/>
      <c r="F1578" s="138"/>
      <c r="G1578" s="138"/>
      <c r="H1578" s="138"/>
    </row>
    <row r="1579" spans="3:8" x14ac:dyDescent="0.2">
      <c r="C1579" s="138"/>
      <c r="E1579" s="138"/>
      <c r="F1579" s="138"/>
      <c r="G1579" s="138"/>
      <c r="H1579" s="138"/>
    </row>
    <row r="1580" spans="3:8" x14ac:dyDescent="0.2">
      <c r="C1580" s="138"/>
      <c r="E1580" s="138"/>
      <c r="F1580" s="138"/>
      <c r="G1580" s="138"/>
      <c r="H1580" s="138"/>
    </row>
    <row r="1581" spans="3:8" x14ac:dyDescent="0.2">
      <c r="C1581" s="138"/>
      <c r="E1581" s="138"/>
      <c r="F1581" s="138"/>
      <c r="G1581" s="138"/>
      <c r="H1581" s="138"/>
    </row>
    <row r="1582" spans="3:8" x14ac:dyDescent="0.2">
      <c r="C1582" s="138"/>
      <c r="E1582" s="138"/>
      <c r="F1582" s="138"/>
      <c r="G1582" s="138"/>
      <c r="H1582" s="138"/>
    </row>
    <row r="1583" spans="3:8" x14ac:dyDescent="0.2">
      <c r="C1583" s="138"/>
      <c r="E1583" s="138"/>
      <c r="F1583" s="138"/>
      <c r="G1583" s="138"/>
      <c r="H1583" s="138"/>
    </row>
    <row r="1584" spans="3:8" x14ac:dyDescent="0.2">
      <c r="C1584" s="138"/>
      <c r="E1584" s="138"/>
      <c r="F1584" s="138"/>
      <c r="G1584" s="138"/>
      <c r="H1584" s="138"/>
    </row>
    <row r="1585" spans="3:8" x14ac:dyDescent="0.2">
      <c r="C1585" s="138"/>
      <c r="E1585" s="138"/>
      <c r="F1585" s="138"/>
      <c r="G1585" s="138"/>
      <c r="H1585" s="138"/>
    </row>
    <row r="1586" spans="3:8" x14ac:dyDescent="0.2">
      <c r="C1586" s="138"/>
      <c r="E1586" s="138"/>
      <c r="F1586" s="138"/>
      <c r="G1586" s="138"/>
      <c r="H1586" s="138"/>
    </row>
    <row r="1587" spans="3:8" x14ac:dyDescent="0.2">
      <c r="C1587" s="138"/>
      <c r="E1587" s="138"/>
      <c r="F1587" s="138"/>
      <c r="G1587" s="138"/>
      <c r="H1587" s="138"/>
    </row>
    <row r="1588" spans="3:8" x14ac:dyDescent="0.2">
      <c r="C1588" s="138"/>
      <c r="E1588" s="138"/>
      <c r="F1588" s="138"/>
      <c r="G1588" s="138"/>
      <c r="H1588" s="138"/>
    </row>
    <row r="1589" spans="3:8" x14ac:dyDescent="0.2">
      <c r="C1589" s="138"/>
      <c r="E1589" s="138"/>
      <c r="F1589" s="138"/>
      <c r="G1589" s="138"/>
      <c r="H1589" s="138"/>
    </row>
    <row r="1590" spans="3:8" x14ac:dyDescent="0.2">
      <c r="C1590" s="138"/>
      <c r="E1590" s="138"/>
      <c r="F1590" s="138"/>
      <c r="G1590" s="138"/>
      <c r="H1590" s="138"/>
    </row>
    <row r="1591" spans="3:8" x14ac:dyDescent="0.2">
      <c r="C1591" s="138"/>
      <c r="E1591" s="138"/>
      <c r="F1591" s="138"/>
      <c r="G1591" s="138"/>
      <c r="H1591" s="138"/>
    </row>
    <row r="1592" spans="3:8" x14ac:dyDescent="0.2">
      <c r="C1592" s="138"/>
      <c r="E1592" s="138"/>
      <c r="F1592" s="138"/>
      <c r="G1592" s="138"/>
      <c r="H1592" s="138"/>
    </row>
    <row r="1593" spans="3:8" x14ac:dyDescent="0.2">
      <c r="C1593" s="138"/>
      <c r="E1593" s="138"/>
      <c r="F1593" s="138"/>
      <c r="G1593" s="138"/>
      <c r="H1593" s="138"/>
    </row>
    <row r="1594" spans="3:8" x14ac:dyDescent="0.2">
      <c r="C1594" s="138"/>
      <c r="E1594" s="138"/>
      <c r="F1594" s="138"/>
      <c r="G1594" s="138"/>
      <c r="H1594" s="138"/>
    </row>
    <row r="1595" spans="3:8" x14ac:dyDescent="0.2">
      <c r="C1595" s="138"/>
      <c r="E1595" s="138"/>
      <c r="F1595" s="138"/>
      <c r="G1595" s="138"/>
      <c r="H1595" s="138"/>
    </row>
    <row r="1596" spans="3:8" x14ac:dyDescent="0.2">
      <c r="C1596" s="138"/>
      <c r="E1596" s="138"/>
      <c r="F1596" s="138"/>
      <c r="G1596" s="138"/>
      <c r="H1596" s="138"/>
    </row>
    <row r="1597" spans="3:8" x14ac:dyDescent="0.2">
      <c r="C1597" s="138"/>
      <c r="E1597" s="138"/>
      <c r="F1597" s="138"/>
      <c r="G1597" s="138"/>
      <c r="H1597" s="138"/>
    </row>
    <row r="1598" spans="3:8" x14ac:dyDescent="0.2">
      <c r="C1598" s="138"/>
      <c r="E1598" s="138"/>
      <c r="F1598" s="138"/>
      <c r="G1598" s="138"/>
      <c r="H1598" s="138"/>
    </row>
    <row r="1599" spans="3:8" x14ac:dyDescent="0.2">
      <c r="C1599" s="138"/>
      <c r="E1599" s="138"/>
      <c r="F1599" s="138"/>
      <c r="G1599" s="138"/>
      <c r="H1599" s="138"/>
    </row>
    <row r="1600" spans="3:8" x14ac:dyDescent="0.2">
      <c r="C1600" s="138"/>
      <c r="E1600" s="138"/>
      <c r="F1600" s="138"/>
      <c r="G1600" s="138"/>
      <c r="H1600" s="138"/>
    </row>
    <row r="1601" spans="3:8" x14ac:dyDescent="0.2">
      <c r="C1601" s="138"/>
      <c r="E1601" s="138"/>
      <c r="F1601" s="138"/>
      <c r="G1601" s="138"/>
      <c r="H1601" s="138"/>
    </row>
    <row r="1602" spans="3:8" x14ac:dyDescent="0.2">
      <c r="C1602" s="138"/>
      <c r="E1602" s="138"/>
      <c r="F1602" s="138"/>
      <c r="G1602" s="138"/>
      <c r="H1602" s="138"/>
    </row>
    <row r="1603" spans="3:8" x14ac:dyDescent="0.2">
      <c r="C1603" s="138"/>
      <c r="E1603" s="138"/>
      <c r="F1603" s="138"/>
      <c r="G1603" s="138"/>
      <c r="H1603" s="138"/>
    </row>
    <row r="1604" spans="3:8" x14ac:dyDescent="0.2">
      <c r="C1604" s="138"/>
      <c r="E1604" s="138"/>
      <c r="F1604" s="138"/>
      <c r="G1604" s="138"/>
      <c r="H1604" s="138"/>
    </row>
    <row r="1605" spans="3:8" x14ac:dyDescent="0.2">
      <c r="C1605" s="138"/>
      <c r="E1605" s="138"/>
      <c r="F1605" s="138"/>
      <c r="G1605" s="138"/>
      <c r="H1605" s="138"/>
    </row>
    <row r="1606" spans="3:8" x14ac:dyDescent="0.2">
      <c r="C1606" s="138"/>
      <c r="E1606" s="138"/>
      <c r="F1606" s="138"/>
      <c r="G1606" s="138"/>
      <c r="H1606" s="138"/>
    </row>
    <row r="1607" spans="3:8" x14ac:dyDescent="0.2">
      <c r="C1607" s="138"/>
      <c r="E1607" s="138"/>
      <c r="F1607" s="138"/>
      <c r="G1607" s="138"/>
      <c r="H1607" s="138"/>
    </row>
    <row r="1608" spans="3:8" x14ac:dyDescent="0.2">
      <c r="C1608" s="138"/>
      <c r="E1608" s="138"/>
      <c r="F1608" s="138"/>
      <c r="G1608" s="138"/>
      <c r="H1608" s="138"/>
    </row>
    <row r="1609" spans="3:8" x14ac:dyDescent="0.2">
      <c r="C1609" s="138"/>
      <c r="E1609" s="138"/>
      <c r="F1609" s="138"/>
      <c r="G1609" s="138"/>
      <c r="H1609" s="138"/>
    </row>
    <row r="1610" spans="3:8" x14ac:dyDescent="0.2">
      <c r="C1610" s="138"/>
      <c r="E1610" s="138"/>
      <c r="F1610" s="138"/>
      <c r="G1610" s="138"/>
      <c r="H1610" s="138"/>
    </row>
    <row r="1611" spans="3:8" x14ac:dyDescent="0.2">
      <c r="C1611" s="138"/>
      <c r="E1611" s="138"/>
      <c r="F1611" s="138"/>
      <c r="G1611" s="138"/>
      <c r="H1611" s="138"/>
    </row>
    <row r="1612" spans="3:8" x14ac:dyDescent="0.2">
      <c r="C1612" s="138"/>
      <c r="E1612" s="138"/>
      <c r="F1612" s="138"/>
      <c r="G1612" s="138"/>
      <c r="H1612" s="138"/>
    </row>
    <row r="1613" spans="3:8" x14ac:dyDescent="0.2">
      <c r="C1613" s="138"/>
      <c r="E1613" s="138"/>
      <c r="F1613" s="138"/>
      <c r="G1613" s="138"/>
      <c r="H1613" s="138"/>
    </row>
    <row r="1614" spans="3:8" x14ac:dyDescent="0.2">
      <c r="C1614" s="138"/>
      <c r="E1614" s="138"/>
      <c r="F1614" s="138"/>
      <c r="G1614" s="138"/>
      <c r="H1614" s="138"/>
    </row>
    <row r="1615" spans="3:8" x14ac:dyDescent="0.2">
      <c r="C1615" s="138"/>
      <c r="E1615" s="138"/>
      <c r="F1615" s="138"/>
      <c r="G1615" s="138"/>
      <c r="H1615" s="138"/>
    </row>
    <row r="1616" spans="3:8" x14ac:dyDescent="0.2">
      <c r="C1616" s="138"/>
      <c r="E1616" s="138"/>
      <c r="F1616" s="138"/>
      <c r="G1616" s="138"/>
      <c r="H1616" s="138"/>
    </row>
    <row r="1617" spans="3:8" x14ac:dyDescent="0.2">
      <c r="C1617" s="138"/>
      <c r="E1617" s="138"/>
      <c r="F1617" s="138"/>
      <c r="G1617" s="138"/>
      <c r="H1617" s="138"/>
    </row>
    <row r="1618" spans="3:8" x14ac:dyDescent="0.2">
      <c r="C1618" s="138"/>
      <c r="E1618" s="138"/>
      <c r="F1618" s="138"/>
      <c r="G1618" s="138"/>
      <c r="H1618" s="138"/>
    </row>
    <row r="1619" spans="3:8" x14ac:dyDescent="0.2">
      <c r="C1619" s="138"/>
      <c r="E1619" s="138"/>
      <c r="F1619" s="138"/>
      <c r="G1619" s="138"/>
      <c r="H1619" s="138"/>
    </row>
    <row r="1620" spans="3:8" x14ac:dyDescent="0.2">
      <c r="C1620" s="138"/>
      <c r="E1620" s="138"/>
      <c r="F1620" s="138"/>
      <c r="G1620" s="138"/>
      <c r="H1620" s="138"/>
    </row>
    <row r="1621" spans="3:8" x14ac:dyDescent="0.2">
      <c r="C1621" s="138"/>
      <c r="E1621" s="138"/>
      <c r="F1621" s="138"/>
      <c r="G1621" s="138"/>
      <c r="H1621" s="138"/>
    </row>
    <row r="1622" spans="3:8" x14ac:dyDescent="0.2">
      <c r="C1622" s="138"/>
      <c r="E1622" s="138"/>
      <c r="F1622" s="138"/>
      <c r="G1622" s="138"/>
      <c r="H1622" s="138"/>
    </row>
    <row r="1623" spans="3:8" x14ac:dyDescent="0.2">
      <c r="C1623" s="138"/>
      <c r="E1623" s="138"/>
      <c r="F1623" s="138"/>
      <c r="G1623" s="138"/>
      <c r="H1623" s="138"/>
    </row>
    <row r="1624" spans="3:8" x14ac:dyDescent="0.2">
      <c r="C1624" s="138"/>
      <c r="E1624" s="138"/>
      <c r="F1624" s="138"/>
      <c r="G1624" s="138"/>
      <c r="H1624" s="138"/>
    </row>
    <row r="1625" spans="3:8" x14ac:dyDescent="0.2">
      <c r="C1625" s="138"/>
      <c r="E1625" s="138"/>
      <c r="F1625" s="138"/>
      <c r="G1625" s="138"/>
      <c r="H1625" s="138"/>
    </row>
    <row r="1626" spans="3:8" x14ac:dyDescent="0.2">
      <c r="C1626" s="138"/>
      <c r="E1626" s="138"/>
      <c r="F1626" s="138"/>
      <c r="G1626" s="138"/>
      <c r="H1626" s="138"/>
    </row>
    <row r="1627" spans="3:8" x14ac:dyDescent="0.2">
      <c r="C1627" s="138"/>
      <c r="E1627" s="138"/>
      <c r="F1627" s="138"/>
      <c r="G1627" s="138"/>
      <c r="H1627" s="138"/>
    </row>
    <row r="1628" spans="3:8" x14ac:dyDescent="0.2">
      <c r="C1628" s="138"/>
      <c r="E1628" s="138"/>
      <c r="F1628" s="138"/>
      <c r="G1628" s="138"/>
      <c r="H1628" s="138"/>
    </row>
    <row r="1629" spans="3:8" x14ac:dyDescent="0.2">
      <c r="C1629" s="138"/>
      <c r="E1629" s="138"/>
      <c r="F1629" s="138"/>
      <c r="G1629" s="138"/>
      <c r="H1629" s="138"/>
    </row>
    <row r="1630" spans="3:8" x14ac:dyDescent="0.2">
      <c r="C1630" s="138"/>
      <c r="E1630" s="138"/>
      <c r="F1630" s="138"/>
      <c r="G1630" s="138"/>
      <c r="H1630" s="138"/>
    </row>
    <row r="1631" spans="3:8" x14ac:dyDescent="0.2">
      <c r="C1631" s="138"/>
      <c r="E1631" s="138"/>
      <c r="F1631" s="138"/>
      <c r="G1631" s="138"/>
      <c r="H1631" s="138"/>
    </row>
    <row r="1632" spans="3:8" x14ac:dyDescent="0.2">
      <c r="C1632" s="138"/>
      <c r="E1632" s="138"/>
      <c r="F1632" s="138"/>
      <c r="G1632" s="138"/>
      <c r="H1632" s="138"/>
    </row>
    <row r="1633" spans="3:8" x14ac:dyDescent="0.2">
      <c r="C1633" s="138"/>
      <c r="E1633" s="138"/>
      <c r="F1633" s="138"/>
      <c r="G1633" s="138"/>
      <c r="H1633" s="138"/>
    </row>
    <row r="1634" spans="3:8" x14ac:dyDescent="0.2">
      <c r="C1634" s="138"/>
      <c r="E1634" s="138"/>
      <c r="F1634" s="138"/>
      <c r="G1634" s="138"/>
      <c r="H1634" s="138"/>
    </row>
    <row r="1635" spans="3:8" x14ac:dyDescent="0.2">
      <c r="C1635" s="138"/>
      <c r="E1635" s="138"/>
      <c r="F1635" s="138"/>
      <c r="G1635" s="138"/>
      <c r="H1635" s="138"/>
    </row>
    <row r="1636" spans="3:8" x14ac:dyDescent="0.2">
      <c r="C1636" s="138"/>
      <c r="E1636" s="138"/>
      <c r="F1636" s="138"/>
      <c r="G1636" s="138"/>
      <c r="H1636" s="138"/>
    </row>
    <row r="1637" spans="3:8" x14ac:dyDescent="0.2">
      <c r="C1637" s="138"/>
      <c r="E1637" s="138"/>
      <c r="F1637" s="138"/>
      <c r="G1637" s="138"/>
      <c r="H1637" s="138"/>
    </row>
    <row r="1638" spans="3:8" x14ac:dyDescent="0.2">
      <c r="C1638" s="138"/>
      <c r="E1638" s="138"/>
      <c r="F1638" s="138"/>
      <c r="G1638" s="138"/>
      <c r="H1638" s="138"/>
    </row>
    <row r="1639" spans="3:8" x14ac:dyDescent="0.2">
      <c r="C1639" s="138"/>
      <c r="E1639" s="138"/>
      <c r="F1639" s="138"/>
      <c r="G1639" s="138"/>
      <c r="H1639" s="138"/>
    </row>
    <row r="1640" spans="3:8" x14ac:dyDescent="0.2">
      <c r="C1640" s="138"/>
      <c r="E1640" s="138"/>
      <c r="F1640" s="138"/>
      <c r="G1640" s="138"/>
      <c r="H1640" s="138"/>
    </row>
    <row r="1641" spans="3:8" x14ac:dyDescent="0.2">
      <c r="C1641" s="138"/>
      <c r="E1641" s="138"/>
      <c r="F1641" s="138"/>
      <c r="G1641" s="138"/>
      <c r="H1641" s="138"/>
    </row>
    <row r="1642" spans="3:8" x14ac:dyDescent="0.2">
      <c r="C1642" s="138"/>
      <c r="E1642" s="138"/>
      <c r="F1642" s="138"/>
      <c r="G1642" s="138"/>
      <c r="H1642" s="138"/>
    </row>
    <row r="1643" spans="3:8" x14ac:dyDescent="0.2">
      <c r="C1643" s="138"/>
      <c r="E1643" s="138"/>
      <c r="F1643" s="138"/>
      <c r="G1643" s="138"/>
      <c r="H1643" s="138"/>
    </row>
    <row r="1644" spans="3:8" x14ac:dyDescent="0.2">
      <c r="C1644" s="138"/>
      <c r="E1644" s="138"/>
      <c r="F1644" s="138"/>
      <c r="G1644" s="138"/>
      <c r="H1644" s="138"/>
    </row>
    <row r="1645" spans="3:8" x14ac:dyDescent="0.2">
      <c r="C1645" s="138"/>
      <c r="E1645" s="138"/>
      <c r="F1645" s="138"/>
      <c r="G1645" s="138"/>
      <c r="H1645" s="138"/>
    </row>
    <row r="1646" spans="3:8" x14ac:dyDescent="0.2">
      <c r="C1646" s="138"/>
      <c r="E1646" s="138"/>
      <c r="F1646" s="138"/>
      <c r="G1646" s="138"/>
      <c r="H1646" s="138"/>
    </row>
    <row r="1647" spans="3:8" x14ac:dyDescent="0.2">
      <c r="C1647" s="138"/>
      <c r="E1647" s="138"/>
      <c r="F1647" s="138"/>
      <c r="G1647" s="138"/>
      <c r="H1647" s="138"/>
    </row>
    <row r="1648" spans="3:8" x14ac:dyDescent="0.2">
      <c r="C1648" s="138"/>
      <c r="E1648" s="138"/>
      <c r="F1648" s="138"/>
      <c r="G1648" s="138"/>
      <c r="H1648" s="138"/>
    </row>
    <row r="1649" spans="3:8" x14ac:dyDescent="0.2">
      <c r="C1649" s="138"/>
      <c r="E1649" s="138"/>
      <c r="F1649" s="138"/>
      <c r="G1649" s="138"/>
      <c r="H1649" s="138"/>
    </row>
    <row r="1650" spans="3:8" x14ac:dyDescent="0.2">
      <c r="C1650" s="138"/>
      <c r="E1650" s="138"/>
      <c r="F1650" s="138"/>
      <c r="G1650" s="138"/>
      <c r="H1650" s="138"/>
    </row>
    <row r="1651" spans="3:8" x14ac:dyDescent="0.2">
      <c r="C1651" s="138"/>
      <c r="E1651" s="138"/>
      <c r="F1651" s="138"/>
      <c r="G1651" s="138"/>
      <c r="H1651" s="138"/>
    </row>
    <row r="1652" spans="3:8" x14ac:dyDescent="0.2">
      <c r="C1652" s="138"/>
      <c r="E1652" s="138"/>
      <c r="F1652" s="138"/>
      <c r="G1652" s="138"/>
      <c r="H1652" s="138"/>
    </row>
    <row r="1653" spans="3:8" x14ac:dyDescent="0.2">
      <c r="C1653" s="138"/>
      <c r="E1653" s="138"/>
      <c r="F1653" s="138"/>
      <c r="G1653" s="138"/>
      <c r="H1653" s="138"/>
    </row>
    <row r="1654" spans="3:8" x14ac:dyDescent="0.2">
      <c r="C1654" s="138"/>
      <c r="E1654" s="138"/>
      <c r="F1654" s="138"/>
      <c r="G1654" s="138"/>
      <c r="H1654" s="138"/>
    </row>
    <row r="1655" spans="3:8" x14ac:dyDescent="0.2">
      <c r="C1655" s="138"/>
      <c r="E1655" s="138"/>
      <c r="F1655" s="138"/>
      <c r="G1655" s="138"/>
      <c r="H1655" s="138"/>
    </row>
    <row r="1656" spans="3:8" x14ac:dyDescent="0.2">
      <c r="C1656" s="138"/>
      <c r="E1656" s="138"/>
      <c r="F1656" s="138"/>
      <c r="G1656" s="138"/>
      <c r="H1656" s="138"/>
    </row>
    <row r="1657" spans="3:8" x14ac:dyDescent="0.2">
      <c r="C1657" s="138"/>
      <c r="E1657" s="138"/>
      <c r="F1657" s="138"/>
      <c r="G1657" s="138"/>
      <c r="H1657" s="138"/>
    </row>
    <row r="1658" spans="3:8" x14ac:dyDescent="0.2">
      <c r="C1658" s="138"/>
      <c r="E1658" s="138"/>
      <c r="F1658" s="138"/>
      <c r="G1658" s="138"/>
      <c r="H1658" s="138"/>
    </row>
    <row r="1659" spans="3:8" x14ac:dyDescent="0.2">
      <c r="C1659" s="138"/>
      <c r="E1659" s="138"/>
      <c r="F1659" s="138"/>
      <c r="G1659" s="138"/>
      <c r="H1659" s="138"/>
    </row>
    <row r="1660" spans="3:8" x14ac:dyDescent="0.2">
      <c r="C1660" s="138"/>
      <c r="E1660" s="138"/>
      <c r="F1660" s="138"/>
      <c r="G1660" s="138"/>
      <c r="H1660" s="138"/>
    </row>
    <row r="1661" spans="3:8" x14ac:dyDescent="0.2">
      <c r="C1661" s="138"/>
      <c r="E1661" s="138"/>
      <c r="F1661" s="138"/>
      <c r="G1661" s="138"/>
      <c r="H1661" s="138"/>
    </row>
    <row r="1662" spans="3:8" x14ac:dyDescent="0.2">
      <c r="C1662" s="138"/>
      <c r="E1662" s="138"/>
      <c r="F1662" s="138"/>
      <c r="G1662" s="138"/>
      <c r="H1662" s="138"/>
    </row>
    <row r="1663" spans="3:8" x14ac:dyDescent="0.2">
      <c r="C1663" s="138"/>
      <c r="E1663" s="138"/>
      <c r="F1663" s="138"/>
      <c r="G1663" s="138"/>
      <c r="H1663" s="138"/>
    </row>
    <row r="1664" spans="3:8" x14ac:dyDescent="0.2">
      <c r="C1664" s="138"/>
      <c r="E1664" s="138"/>
      <c r="F1664" s="138"/>
      <c r="G1664" s="138"/>
      <c r="H1664" s="138"/>
    </row>
    <row r="1665" spans="3:8" x14ac:dyDescent="0.2">
      <c r="C1665" s="138"/>
      <c r="E1665" s="138"/>
      <c r="F1665" s="138"/>
      <c r="G1665" s="138"/>
      <c r="H1665" s="138"/>
    </row>
    <row r="1666" spans="3:8" x14ac:dyDescent="0.2">
      <c r="C1666" s="138"/>
      <c r="E1666" s="138"/>
      <c r="F1666" s="138"/>
      <c r="G1666" s="138"/>
      <c r="H1666" s="138"/>
    </row>
    <row r="1667" spans="3:8" x14ac:dyDescent="0.2">
      <c r="C1667" s="138"/>
      <c r="E1667" s="138"/>
      <c r="F1667" s="138"/>
      <c r="G1667" s="138"/>
      <c r="H1667" s="138"/>
    </row>
    <row r="1668" spans="3:8" x14ac:dyDescent="0.2">
      <c r="C1668" s="138"/>
      <c r="E1668" s="138"/>
      <c r="F1668" s="138"/>
      <c r="G1668" s="138"/>
      <c r="H1668" s="138"/>
    </row>
    <row r="1669" spans="3:8" x14ac:dyDescent="0.2">
      <c r="C1669" s="138"/>
      <c r="E1669" s="138"/>
      <c r="F1669" s="138"/>
      <c r="G1669" s="138"/>
      <c r="H1669" s="138"/>
    </row>
    <row r="1670" spans="3:8" x14ac:dyDescent="0.2">
      <c r="C1670" s="138"/>
      <c r="E1670" s="138"/>
      <c r="F1670" s="138"/>
      <c r="G1670" s="138"/>
      <c r="H1670" s="138"/>
    </row>
    <row r="1671" spans="3:8" x14ac:dyDescent="0.2">
      <c r="C1671" s="138"/>
      <c r="E1671" s="138"/>
      <c r="F1671" s="138"/>
      <c r="G1671" s="138"/>
      <c r="H1671" s="138"/>
    </row>
    <row r="1672" spans="3:8" x14ac:dyDescent="0.2">
      <c r="C1672" s="138"/>
      <c r="E1672" s="138"/>
      <c r="F1672" s="138"/>
      <c r="G1672" s="138"/>
      <c r="H1672" s="138"/>
    </row>
    <row r="1673" spans="3:8" x14ac:dyDescent="0.2">
      <c r="C1673" s="138"/>
      <c r="E1673" s="138"/>
      <c r="F1673" s="138"/>
      <c r="G1673" s="138"/>
      <c r="H1673" s="138"/>
    </row>
    <row r="1674" spans="3:8" x14ac:dyDescent="0.2">
      <c r="C1674" s="138"/>
      <c r="E1674" s="138"/>
      <c r="F1674" s="138"/>
      <c r="G1674" s="138"/>
      <c r="H1674" s="138"/>
    </row>
    <row r="1675" spans="3:8" x14ac:dyDescent="0.2">
      <c r="C1675" s="138"/>
      <c r="E1675" s="138"/>
      <c r="F1675" s="138"/>
      <c r="G1675" s="138"/>
      <c r="H1675" s="138"/>
    </row>
    <row r="1676" spans="3:8" x14ac:dyDescent="0.2">
      <c r="C1676" s="138"/>
      <c r="E1676" s="138"/>
      <c r="F1676" s="138"/>
      <c r="G1676" s="138"/>
      <c r="H1676" s="138"/>
    </row>
    <row r="1677" spans="3:8" x14ac:dyDescent="0.2">
      <c r="C1677" s="138"/>
      <c r="E1677" s="138"/>
      <c r="F1677" s="138"/>
      <c r="G1677" s="138"/>
      <c r="H1677" s="138"/>
    </row>
    <row r="1678" spans="3:8" x14ac:dyDescent="0.2">
      <c r="C1678" s="138"/>
      <c r="E1678" s="138"/>
      <c r="F1678" s="138"/>
      <c r="G1678" s="138"/>
      <c r="H1678" s="138"/>
    </row>
    <row r="1679" spans="3:8" x14ac:dyDescent="0.2">
      <c r="C1679" s="138"/>
      <c r="E1679" s="138"/>
      <c r="F1679" s="138"/>
      <c r="G1679" s="138"/>
      <c r="H1679" s="138"/>
    </row>
    <row r="1680" spans="3:8" x14ac:dyDescent="0.2">
      <c r="C1680" s="138"/>
      <c r="E1680" s="138"/>
      <c r="F1680" s="138"/>
      <c r="G1680" s="138"/>
      <c r="H1680" s="138"/>
    </row>
    <row r="1681" spans="3:8" x14ac:dyDescent="0.2">
      <c r="C1681" s="138"/>
      <c r="E1681" s="138"/>
      <c r="F1681" s="138"/>
      <c r="G1681" s="138"/>
      <c r="H1681" s="138"/>
    </row>
    <row r="1682" spans="3:8" x14ac:dyDescent="0.2">
      <c r="C1682" s="138"/>
      <c r="E1682" s="138"/>
      <c r="F1682" s="138"/>
      <c r="G1682" s="138"/>
      <c r="H1682" s="138"/>
    </row>
    <row r="1683" spans="3:8" x14ac:dyDescent="0.2">
      <c r="C1683" s="138"/>
      <c r="E1683" s="138"/>
      <c r="F1683" s="138"/>
      <c r="G1683" s="138"/>
      <c r="H1683" s="138"/>
    </row>
    <row r="1684" spans="3:8" x14ac:dyDescent="0.2">
      <c r="C1684" s="138"/>
      <c r="E1684" s="138"/>
      <c r="F1684" s="138"/>
      <c r="G1684" s="138"/>
      <c r="H1684" s="138"/>
    </row>
    <row r="1685" spans="3:8" x14ac:dyDescent="0.2">
      <c r="C1685" s="138"/>
      <c r="E1685" s="138"/>
      <c r="F1685" s="138"/>
      <c r="G1685" s="138"/>
      <c r="H1685" s="138"/>
    </row>
    <row r="1686" spans="3:8" x14ac:dyDescent="0.2">
      <c r="C1686" s="138"/>
      <c r="E1686" s="138"/>
      <c r="F1686" s="138"/>
      <c r="G1686" s="138"/>
      <c r="H1686" s="138"/>
    </row>
    <row r="1687" spans="3:8" x14ac:dyDescent="0.2">
      <c r="C1687" s="138"/>
      <c r="E1687" s="138"/>
      <c r="F1687" s="138"/>
      <c r="G1687" s="138"/>
      <c r="H1687" s="138"/>
    </row>
    <row r="1688" spans="3:8" x14ac:dyDescent="0.2">
      <c r="C1688" s="138"/>
      <c r="E1688" s="138"/>
      <c r="F1688" s="138"/>
      <c r="G1688" s="138"/>
      <c r="H1688" s="138"/>
    </row>
    <row r="1689" spans="3:8" x14ac:dyDescent="0.2">
      <c r="C1689" s="138"/>
      <c r="E1689" s="138"/>
      <c r="F1689" s="138"/>
      <c r="G1689" s="138"/>
      <c r="H1689" s="138"/>
    </row>
    <row r="1690" spans="3:8" x14ac:dyDescent="0.2">
      <c r="C1690" s="138"/>
      <c r="E1690" s="138"/>
      <c r="F1690" s="138"/>
      <c r="G1690" s="138"/>
      <c r="H1690" s="138"/>
    </row>
    <row r="1691" spans="3:8" x14ac:dyDescent="0.2">
      <c r="C1691" s="138"/>
      <c r="E1691" s="138"/>
      <c r="F1691" s="138"/>
      <c r="G1691" s="138"/>
      <c r="H1691" s="138"/>
    </row>
    <row r="1692" spans="3:8" x14ac:dyDescent="0.2">
      <c r="C1692" s="138"/>
      <c r="E1692" s="138"/>
      <c r="F1692" s="138"/>
      <c r="G1692" s="138"/>
      <c r="H1692" s="138"/>
    </row>
    <row r="1693" spans="3:8" x14ac:dyDescent="0.2">
      <c r="C1693" s="138"/>
      <c r="E1693" s="138"/>
      <c r="F1693" s="138"/>
      <c r="G1693" s="138"/>
      <c r="H1693" s="138"/>
    </row>
    <row r="1694" spans="3:8" x14ac:dyDescent="0.2">
      <c r="C1694" s="138"/>
      <c r="E1694" s="138"/>
      <c r="F1694" s="138"/>
      <c r="G1694" s="138"/>
      <c r="H1694" s="138"/>
    </row>
    <row r="1695" spans="3:8" x14ac:dyDescent="0.2">
      <c r="C1695" s="138"/>
      <c r="E1695" s="138"/>
      <c r="F1695" s="138"/>
      <c r="G1695" s="138"/>
      <c r="H1695" s="138"/>
    </row>
    <row r="1696" spans="3:8" x14ac:dyDescent="0.2">
      <c r="C1696" s="138"/>
      <c r="E1696" s="138"/>
      <c r="F1696" s="138"/>
      <c r="G1696" s="138"/>
      <c r="H1696" s="138"/>
    </row>
    <row r="1697" spans="3:8" x14ac:dyDescent="0.2">
      <c r="C1697" s="138"/>
      <c r="E1697" s="138"/>
      <c r="F1697" s="138"/>
      <c r="G1697" s="138"/>
      <c r="H1697" s="138"/>
    </row>
    <row r="1698" spans="3:8" x14ac:dyDescent="0.2">
      <c r="C1698" s="138"/>
      <c r="E1698" s="138"/>
      <c r="F1698" s="138"/>
      <c r="G1698" s="138"/>
      <c r="H1698" s="138"/>
    </row>
    <row r="1699" spans="3:8" x14ac:dyDescent="0.2">
      <c r="C1699" s="138"/>
      <c r="E1699" s="138"/>
      <c r="F1699" s="138"/>
      <c r="G1699" s="138"/>
      <c r="H1699" s="138"/>
    </row>
    <row r="1700" spans="3:8" x14ac:dyDescent="0.2">
      <c r="C1700" s="138"/>
      <c r="E1700" s="138"/>
      <c r="F1700" s="138"/>
      <c r="G1700" s="138"/>
      <c r="H1700" s="138"/>
    </row>
    <row r="1701" spans="3:8" x14ac:dyDescent="0.2">
      <c r="C1701" s="138"/>
      <c r="E1701" s="138"/>
      <c r="F1701" s="138"/>
      <c r="G1701" s="138"/>
      <c r="H1701" s="138"/>
    </row>
    <row r="1702" spans="3:8" x14ac:dyDescent="0.2">
      <c r="C1702" s="138"/>
      <c r="E1702" s="138"/>
      <c r="F1702" s="138"/>
      <c r="G1702" s="138"/>
      <c r="H1702" s="138"/>
    </row>
    <row r="1703" spans="3:8" x14ac:dyDescent="0.2">
      <c r="C1703" s="138"/>
      <c r="E1703" s="138"/>
      <c r="F1703" s="138"/>
      <c r="G1703" s="138"/>
      <c r="H1703" s="138"/>
    </row>
    <row r="1704" spans="3:8" x14ac:dyDescent="0.2">
      <c r="C1704" s="138"/>
      <c r="E1704" s="138"/>
      <c r="F1704" s="138"/>
      <c r="G1704" s="138"/>
      <c r="H1704" s="138"/>
    </row>
    <row r="1705" spans="3:8" x14ac:dyDescent="0.2">
      <c r="C1705" s="138"/>
      <c r="E1705" s="138"/>
      <c r="F1705" s="138"/>
      <c r="G1705" s="138"/>
      <c r="H1705" s="138"/>
    </row>
    <row r="1706" spans="3:8" x14ac:dyDescent="0.2">
      <c r="C1706" s="138"/>
      <c r="E1706" s="138"/>
      <c r="F1706" s="138"/>
      <c r="G1706" s="138"/>
      <c r="H1706" s="138"/>
    </row>
    <row r="1707" spans="3:8" x14ac:dyDescent="0.2">
      <c r="C1707" s="138"/>
      <c r="E1707" s="138"/>
      <c r="F1707" s="138"/>
      <c r="G1707" s="138"/>
      <c r="H1707" s="138"/>
    </row>
    <row r="1708" spans="3:8" x14ac:dyDescent="0.2">
      <c r="C1708" s="138"/>
      <c r="E1708" s="138"/>
      <c r="F1708" s="138"/>
      <c r="G1708" s="138"/>
      <c r="H1708" s="138"/>
    </row>
    <row r="1709" spans="3:8" x14ac:dyDescent="0.2">
      <c r="C1709" s="138"/>
      <c r="E1709" s="138"/>
      <c r="F1709" s="138"/>
      <c r="G1709" s="138"/>
      <c r="H1709" s="138"/>
    </row>
    <row r="1710" spans="3:8" x14ac:dyDescent="0.2">
      <c r="C1710" s="138"/>
      <c r="E1710" s="138"/>
      <c r="F1710" s="138"/>
      <c r="G1710" s="138"/>
      <c r="H1710" s="138"/>
    </row>
    <row r="1711" spans="3:8" x14ac:dyDescent="0.2">
      <c r="C1711" s="138"/>
      <c r="E1711" s="138"/>
      <c r="F1711" s="138"/>
      <c r="G1711" s="138"/>
      <c r="H1711" s="138"/>
    </row>
    <row r="1712" spans="3:8" x14ac:dyDescent="0.2">
      <c r="C1712" s="138"/>
      <c r="E1712" s="138"/>
      <c r="F1712" s="138"/>
      <c r="G1712" s="138"/>
      <c r="H1712" s="138"/>
    </row>
    <row r="1713" spans="3:8" x14ac:dyDescent="0.2">
      <c r="C1713" s="138"/>
      <c r="E1713" s="138"/>
      <c r="F1713" s="138"/>
      <c r="G1713" s="138"/>
      <c r="H1713" s="138"/>
    </row>
    <row r="1714" spans="3:8" x14ac:dyDescent="0.2">
      <c r="C1714" s="138"/>
      <c r="E1714" s="138"/>
      <c r="F1714" s="138"/>
      <c r="G1714" s="138"/>
      <c r="H1714" s="138"/>
    </row>
    <row r="1715" spans="3:8" x14ac:dyDescent="0.2">
      <c r="C1715" s="138"/>
      <c r="E1715" s="138"/>
      <c r="F1715" s="138"/>
      <c r="G1715" s="138"/>
      <c r="H1715" s="138"/>
    </row>
    <row r="1716" spans="3:8" x14ac:dyDescent="0.2">
      <c r="C1716" s="138"/>
      <c r="E1716" s="138"/>
      <c r="F1716" s="138"/>
      <c r="G1716" s="138"/>
      <c r="H1716" s="138"/>
    </row>
    <row r="1717" spans="3:8" x14ac:dyDescent="0.2">
      <c r="C1717" s="138"/>
      <c r="E1717" s="138"/>
      <c r="F1717" s="138"/>
      <c r="G1717" s="138"/>
      <c r="H1717" s="138"/>
    </row>
    <row r="1718" spans="3:8" x14ac:dyDescent="0.2">
      <c r="C1718" s="138"/>
      <c r="E1718" s="138"/>
      <c r="F1718" s="138"/>
      <c r="G1718" s="138"/>
      <c r="H1718" s="138"/>
    </row>
    <row r="1719" spans="3:8" x14ac:dyDescent="0.2">
      <c r="C1719" s="138"/>
      <c r="E1719" s="138"/>
      <c r="F1719" s="138"/>
      <c r="G1719" s="138"/>
      <c r="H1719" s="138"/>
    </row>
    <row r="1720" spans="3:8" x14ac:dyDescent="0.2">
      <c r="C1720" s="138"/>
      <c r="E1720" s="138"/>
      <c r="F1720" s="138"/>
      <c r="G1720" s="138"/>
      <c r="H1720" s="138"/>
    </row>
    <row r="1721" spans="3:8" x14ac:dyDescent="0.2">
      <c r="C1721" s="138"/>
      <c r="E1721" s="138"/>
      <c r="F1721" s="138"/>
      <c r="G1721" s="138"/>
      <c r="H1721" s="138"/>
    </row>
    <row r="1722" spans="3:8" x14ac:dyDescent="0.2">
      <c r="C1722" s="138"/>
      <c r="E1722" s="138"/>
      <c r="F1722" s="138"/>
      <c r="G1722" s="138"/>
      <c r="H1722" s="138"/>
    </row>
    <row r="1723" spans="3:8" x14ac:dyDescent="0.2">
      <c r="C1723" s="138"/>
      <c r="E1723" s="138"/>
      <c r="F1723" s="138"/>
      <c r="G1723" s="138"/>
      <c r="H1723" s="138"/>
    </row>
    <row r="1724" spans="3:8" x14ac:dyDescent="0.2">
      <c r="C1724" s="138"/>
      <c r="E1724" s="138"/>
      <c r="F1724" s="138"/>
      <c r="G1724" s="138"/>
      <c r="H1724" s="138"/>
    </row>
    <row r="1725" spans="3:8" x14ac:dyDescent="0.2">
      <c r="C1725" s="138"/>
      <c r="E1725" s="138"/>
      <c r="F1725" s="138"/>
      <c r="G1725" s="138"/>
      <c r="H1725" s="138"/>
    </row>
    <row r="1726" spans="3:8" x14ac:dyDescent="0.2">
      <c r="C1726" s="138"/>
      <c r="E1726" s="138"/>
      <c r="F1726" s="138"/>
      <c r="G1726" s="138"/>
      <c r="H1726" s="138"/>
    </row>
    <row r="1727" spans="3:8" x14ac:dyDescent="0.2">
      <c r="C1727" s="138"/>
      <c r="E1727" s="138"/>
      <c r="F1727" s="138"/>
      <c r="G1727" s="138"/>
      <c r="H1727" s="138"/>
    </row>
    <row r="1728" spans="3:8" x14ac:dyDescent="0.2">
      <c r="C1728" s="138"/>
      <c r="E1728" s="138"/>
      <c r="F1728" s="138"/>
      <c r="G1728" s="138"/>
      <c r="H1728" s="138"/>
    </row>
    <row r="1729" spans="3:8" x14ac:dyDescent="0.2">
      <c r="C1729" s="138"/>
      <c r="E1729" s="138"/>
      <c r="F1729" s="138"/>
      <c r="G1729" s="138"/>
      <c r="H1729" s="138"/>
    </row>
    <row r="1730" spans="3:8" x14ac:dyDescent="0.2">
      <c r="C1730" s="138"/>
      <c r="E1730" s="138"/>
      <c r="F1730" s="138"/>
      <c r="G1730" s="138"/>
      <c r="H1730" s="138"/>
    </row>
    <row r="1731" spans="3:8" x14ac:dyDescent="0.2">
      <c r="C1731" s="138"/>
      <c r="E1731" s="138"/>
      <c r="F1731" s="138"/>
      <c r="G1731" s="138"/>
      <c r="H1731" s="138"/>
    </row>
    <row r="1732" spans="3:8" x14ac:dyDescent="0.2">
      <c r="C1732" s="138"/>
      <c r="E1732" s="138"/>
      <c r="F1732" s="138"/>
      <c r="G1732" s="138"/>
      <c r="H1732" s="138"/>
    </row>
    <row r="1733" spans="3:8" x14ac:dyDescent="0.2">
      <c r="C1733" s="138"/>
      <c r="E1733" s="138"/>
      <c r="F1733" s="138"/>
      <c r="G1733" s="138"/>
      <c r="H1733" s="138"/>
    </row>
    <row r="1734" spans="3:8" x14ac:dyDescent="0.2">
      <c r="C1734" s="138"/>
      <c r="E1734" s="138"/>
      <c r="F1734" s="138"/>
      <c r="G1734" s="138"/>
      <c r="H1734" s="138"/>
    </row>
    <row r="1735" spans="3:8" x14ac:dyDescent="0.2">
      <c r="C1735" s="138"/>
      <c r="E1735" s="138"/>
      <c r="F1735" s="138"/>
      <c r="G1735" s="138"/>
      <c r="H1735" s="138"/>
    </row>
    <row r="1736" spans="3:8" x14ac:dyDescent="0.2">
      <c r="C1736" s="138"/>
      <c r="E1736" s="138"/>
      <c r="F1736" s="138"/>
      <c r="G1736" s="138"/>
      <c r="H1736" s="138"/>
    </row>
    <row r="1737" spans="3:8" x14ac:dyDescent="0.2">
      <c r="C1737" s="138"/>
      <c r="E1737" s="138"/>
      <c r="F1737" s="138"/>
      <c r="G1737" s="138"/>
      <c r="H1737" s="138"/>
    </row>
    <row r="1738" spans="3:8" x14ac:dyDescent="0.2">
      <c r="C1738" s="138"/>
      <c r="E1738" s="138"/>
      <c r="F1738" s="138"/>
      <c r="G1738" s="138"/>
      <c r="H1738" s="138"/>
    </row>
    <row r="1739" spans="3:8" x14ac:dyDescent="0.2">
      <c r="C1739" s="138"/>
      <c r="E1739" s="138"/>
      <c r="F1739" s="138"/>
      <c r="G1739" s="138"/>
      <c r="H1739" s="138"/>
    </row>
    <row r="1740" spans="3:8" x14ac:dyDescent="0.2">
      <c r="C1740" s="138"/>
      <c r="E1740" s="138"/>
      <c r="F1740" s="138"/>
      <c r="G1740" s="138"/>
      <c r="H1740" s="138"/>
    </row>
    <row r="1741" spans="3:8" x14ac:dyDescent="0.2">
      <c r="C1741" s="138"/>
      <c r="E1741" s="138"/>
      <c r="F1741" s="138"/>
      <c r="G1741" s="138"/>
      <c r="H1741" s="138"/>
    </row>
    <row r="1742" spans="3:8" x14ac:dyDescent="0.2">
      <c r="C1742" s="138"/>
      <c r="E1742" s="138"/>
      <c r="F1742" s="138"/>
      <c r="G1742" s="138"/>
      <c r="H1742" s="138"/>
    </row>
    <row r="1743" spans="3:8" x14ac:dyDescent="0.2">
      <c r="C1743" s="138"/>
      <c r="E1743" s="138"/>
      <c r="F1743" s="138"/>
      <c r="G1743" s="138"/>
      <c r="H1743" s="138"/>
    </row>
    <row r="1744" spans="3:8" x14ac:dyDescent="0.2">
      <c r="C1744" s="138"/>
      <c r="E1744" s="138"/>
      <c r="F1744" s="138"/>
      <c r="G1744" s="138"/>
      <c r="H1744" s="138"/>
    </row>
    <row r="1745" spans="3:8" x14ac:dyDescent="0.2">
      <c r="C1745" s="138"/>
      <c r="E1745" s="138"/>
      <c r="F1745" s="138"/>
      <c r="G1745" s="138"/>
      <c r="H1745" s="138"/>
    </row>
    <row r="1746" spans="3:8" x14ac:dyDescent="0.2">
      <c r="C1746" s="138"/>
      <c r="E1746" s="138"/>
      <c r="F1746" s="138"/>
      <c r="G1746" s="138"/>
      <c r="H1746" s="138"/>
    </row>
    <row r="1747" spans="3:8" x14ac:dyDescent="0.2">
      <c r="C1747" s="138"/>
      <c r="E1747" s="138"/>
      <c r="F1747" s="138"/>
      <c r="G1747" s="138"/>
      <c r="H1747" s="138"/>
    </row>
    <row r="1748" spans="3:8" x14ac:dyDescent="0.2">
      <c r="C1748" s="138"/>
      <c r="E1748" s="138"/>
      <c r="F1748" s="138"/>
      <c r="G1748" s="138"/>
      <c r="H1748" s="138"/>
    </row>
    <row r="1749" spans="3:8" x14ac:dyDescent="0.2">
      <c r="C1749" s="138"/>
      <c r="E1749" s="138"/>
      <c r="F1749" s="138"/>
      <c r="G1749" s="138"/>
      <c r="H1749" s="138"/>
    </row>
    <row r="1750" spans="3:8" x14ac:dyDescent="0.2">
      <c r="C1750" s="138"/>
      <c r="E1750" s="138"/>
      <c r="F1750" s="138"/>
      <c r="G1750" s="138"/>
      <c r="H1750" s="138"/>
    </row>
    <row r="1751" spans="3:8" x14ac:dyDescent="0.2">
      <c r="C1751" s="138"/>
      <c r="E1751" s="138"/>
      <c r="F1751" s="138"/>
      <c r="G1751" s="138"/>
      <c r="H1751" s="138"/>
    </row>
    <row r="1752" spans="3:8" x14ac:dyDescent="0.2">
      <c r="C1752" s="138"/>
      <c r="E1752" s="138"/>
      <c r="F1752" s="138"/>
      <c r="G1752" s="138"/>
      <c r="H1752" s="138"/>
    </row>
    <row r="1753" spans="3:8" x14ac:dyDescent="0.2">
      <c r="C1753" s="138"/>
      <c r="E1753" s="138"/>
      <c r="F1753" s="138"/>
      <c r="G1753" s="138"/>
      <c r="H1753" s="138"/>
    </row>
    <row r="1754" spans="3:8" x14ac:dyDescent="0.2">
      <c r="C1754" s="138"/>
      <c r="E1754" s="138"/>
      <c r="F1754" s="138"/>
      <c r="G1754" s="138"/>
      <c r="H1754" s="138"/>
    </row>
    <row r="1755" spans="3:8" x14ac:dyDescent="0.2">
      <c r="C1755" s="138"/>
      <c r="E1755" s="138"/>
      <c r="F1755" s="138"/>
      <c r="G1755" s="138"/>
      <c r="H1755" s="138"/>
    </row>
    <row r="1756" spans="3:8" x14ac:dyDescent="0.2">
      <c r="C1756" s="138"/>
      <c r="E1756" s="138"/>
      <c r="F1756" s="138"/>
      <c r="G1756" s="138"/>
      <c r="H1756" s="138"/>
    </row>
    <row r="1757" spans="3:8" x14ac:dyDescent="0.2">
      <c r="C1757" s="138"/>
      <c r="E1757" s="138"/>
      <c r="F1757" s="138"/>
      <c r="G1757" s="138"/>
      <c r="H1757" s="138"/>
    </row>
    <row r="1758" spans="3:8" x14ac:dyDescent="0.2">
      <c r="C1758" s="138"/>
      <c r="E1758" s="138"/>
      <c r="F1758" s="138"/>
      <c r="G1758" s="138"/>
      <c r="H1758" s="138"/>
    </row>
    <row r="1759" spans="3:8" x14ac:dyDescent="0.2">
      <c r="C1759" s="138"/>
      <c r="E1759" s="138"/>
      <c r="F1759" s="138"/>
      <c r="G1759" s="138"/>
      <c r="H1759" s="138"/>
    </row>
    <row r="1760" spans="3:8" x14ac:dyDescent="0.2">
      <c r="C1760" s="138"/>
      <c r="E1760" s="138"/>
      <c r="F1760" s="138"/>
      <c r="G1760" s="138"/>
      <c r="H1760" s="138"/>
    </row>
    <row r="1761" spans="3:8" x14ac:dyDescent="0.2">
      <c r="C1761" s="138"/>
      <c r="E1761" s="138"/>
      <c r="F1761" s="138"/>
      <c r="G1761" s="138"/>
      <c r="H1761" s="138"/>
    </row>
    <row r="1762" spans="3:8" x14ac:dyDescent="0.2">
      <c r="C1762" s="138"/>
      <c r="E1762" s="138"/>
      <c r="F1762" s="138"/>
      <c r="G1762" s="138"/>
      <c r="H1762" s="138"/>
    </row>
    <row r="1763" spans="3:8" x14ac:dyDescent="0.2">
      <c r="C1763" s="138"/>
      <c r="E1763" s="138"/>
      <c r="F1763" s="138"/>
      <c r="G1763" s="138"/>
      <c r="H1763" s="138"/>
    </row>
    <row r="1764" spans="3:8" x14ac:dyDescent="0.2">
      <c r="C1764" s="138"/>
      <c r="E1764" s="138"/>
      <c r="F1764" s="138"/>
      <c r="G1764" s="138"/>
      <c r="H1764" s="138"/>
    </row>
    <row r="1765" spans="3:8" x14ac:dyDescent="0.2">
      <c r="C1765" s="138"/>
      <c r="E1765" s="138"/>
      <c r="F1765" s="138"/>
      <c r="G1765" s="138"/>
      <c r="H1765" s="138"/>
    </row>
    <row r="1766" spans="3:8" x14ac:dyDescent="0.2">
      <c r="C1766" s="138"/>
      <c r="E1766" s="138"/>
      <c r="F1766" s="138"/>
      <c r="G1766" s="138"/>
      <c r="H1766" s="138"/>
    </row>
    <row r="1767" spans="3:8" x14ac:dyDescent="0.2">
      <c r="C1767" s="138"/>
      <c r="E1767" s="138"/>
      <c r="F1767" s="138"/>
      <c r="G1767" s="138"/>
      <c r="H1767" s="138"/>
    </row>
    <row r="1768" spans="3:8" x14ac:dyDescent="0.2">
      <c r="C1768" s="138"/>
      <c r="E1768" s="138"/>
      <c r="F1768" s="138"/>
      <c r="G1768" s="138"/>
      <c r="H1768" s="138"/>
    </row>
    <row r="1769" spans="3:8" x14ac:dyDescent="0.2">
      <c r="C1769" s="138"/>
      <c r="E1769" s="138"/>
      <c r="F1769" s="138"/>
      <c r="G1769" s="138"/>
      <c r="H1769" s="138"/>
    </row>
    <row r="1770" spans="3:8" x14ac:dyDescent="0.2">
      <c r="C1770" s="138"/>
      <c r="E1770" s="138"/>
      <c r="F1770" s="138"/>
      <c r="G1770" s="138"/>
      <c r="H1770" s="138"/>
    </row>
    <row r="1771" spans="3:8" x14ac:dyDescent="0.2">
      <c r="C1771" s="138"/>
      <c r="E1771" s="138"/>
      <c r="F1771" s="138"/>
      <c r="G1771" s="138"/>
      <c r="H1771" s="138"/>
    </row>
    <row r="1772" spans="3:8" x14ac:dyDescent="0.2">
      <c r="C1772" s="138"/>
      <c r="E1772" s="138"/>
      <c r="F1772" s="138"/>
      <c r="G1772" s="138"/>
      <c r="H1772" s="138"/>
    </row>
    <row r="1773" spans="3:8" x14ac:dyDescent="0.2">
      <c r="C1773" s="138"/>
      <c r="E1773" s="138"/>
      <c r="F1773" s="138"/>
      <c r="G1773" s="138"/>
      <c r="H1773" s="138"/>
    </row>
    <row r="1774" spans="3:8" x14ac:dyDescent="0.2">
      <c r="C1774" s="138"/>
      <c r="E1774" s="138"/>
      <c r="F1774" s="138"/>
      <c r="G1774" s="138"/>
      <c r="H1774" s="138"/>
    </row>
    <row r="1775" spans="3:8" x14ac:dyDescent="0.2">
      <c r="C1775" s="138"/>
      <c r="E1775" s="138"/>
      <c r="F1775" s="138"/>
      <c r="G1775" s="138"/>
      <c r="H1775" s="138"/>
    </row>
    <row r="1776" spans="3:8" x14ac:dyDescent="0.2">
      <c r="C1776" s="138"/>
      <c r="E1776" s="138"/>
      <c r="F1776" s="138"/>
      <c r="G1776" s="138"/>
      <c r="H1776" s="138"/>
    </row>
    <row r="1777" spans="3:8" x14ac:dyDescent="0.2">
      <c r="C1777" s="138"/>
      <c r="E1777" s="138"/>
      <c r="F1777" s="138"/>
      <c r="G1777" s="138"/>
      <c r="H1777" s="138"/>
    </row>
    <row r="1778" spans="3:8" x14ac:dyDescent="0.2">
      <c r="C1778" s="138"/>
      <c r="E1778" s="138"/>
      <c r="F1778" s="138"/>
      <c r="G1778" s="138"/>
      <c r="H1778" s="138"/>
    </row>
    <row r="1779" spans="3:8" x14ac:dyDescent="0.2">
      <c r="C1779" s="138"/>
      <c r="E1779" s="138"/>
      <c r="F1779" s="138"/>
      <c r="G1779" s="138"/>
      <c r="H1779" s="138"/>
    </row>
    <row r="1780" spans="3:8" x14ac:dyDescent="0.2">
      <c r="C1780" s="138"/>
      <c r="E1780" s="138"/>
      <c r="F1780" s="138"/>
      <c r="G1780" s="138"/>
      <c r="H1780" s="138"/>
    </row>
    <row r="1781" spans="3:8" x14ac:dyDescent="0.2">
      <c r="C1781" s="138"/>
      <c r="E1781" s="138"/>
      <c r="F1781" s="138"/>
      <c r="G1781" s="138"/>
      <c r="H1781" s="138"/>
    </row>
    <row r="1782" spans="3:8" x14ac:dyDescent="0.2">
      <c r="C1782" s="138"/>
      <c r="E1782" s="138"/>
      <c r="F1782" s="138"/>
      <c r="G1782" s="138"/>
      <c r="H1782" s="138"/>
    </row>
    <row r="1783" spans="3:8" x14ac:dyDescent="0.2">
      <c r="C1783" s="138"/>
      <c r="E1783" s="138"/>
      <c r="F1783" s="138"/>
      <c r="G1783" s="138"/>
      <c r="H1783" s="138"/>
    </row>
    <row r="1784" spans="3:8" x14ac:dyDescent="0.2">
      <c r="C1784" s="138"/>
      <c r="E1784" s="138"/>
      <c r="F1784" s="138"/>
      <c r="G1784" s="138"/>
      <c r="H1784" s="138"/>
    </row>
    <row r="1785" spans="3:8" x14ac:dyDescent="0.2">
      <c r="C1785" s="138"/>
      <c r="E1785" s="138"/>
      <c r="F1785" s="138"/>
      <c r="G1785" s="138"/>
      <c r="H1785" s="138"/>
    </row>
    <row r="1786" spans="3:8" x14ac:dyDescent="0.2">
      <c r="C1786" s="138"/>
      <c r="E1786" s="138"/>
      <c r="F1786" s="138"/>
      <c r="G1786" s="138"/>
      <c r="H1786" s="138"/>
    </row>
    <row r="1787" spans="3:8" x14ac:dyDescent="0.2">
      <c r="C1787" s="138"/>
      <c r="E1787" s="138"/>
      <c r="F1787" s="138"/>
      <c r="G1787" s="138"/>
      <c r="H1787" s="138"/>
    </row>
    <row r="1788" spans="3:8" x14ac:dyDescent="0.2">
      <c r="C1788" s="138"/>
      <c r="E1788" s="138"/>
      <c r="F1788" s="138"/>
      <c r="G1788" s="138"/>
      <c r="H1788" s="138"/>
    </row>
    <row r="1789" spans="3:8" x14ac:dyDescent="0.2">
      <c r="C1789" s="138"/>
      <c r="E1789" s="138"/>
      <c r="F1789" s="138"/>
      <c r="G1789" s="138"/>
      <c r="H1789" s="138"/>
    </row>
    <row r="1790" spans="3:8" x14ac:dyDescent="0.2">
      <c r="C1790" s="138"/>
      <c r="E1790" s="138"/>
      <c r="F1790" s="138"/>
      <c r="G1790" s="138"/>
      <c r="H1790" s="138"/>
    </row>
    <row r="1791" spans="3:8" x14ac:dyDescent="0.2">
      <c r="C1791" s="138"/>
      <c r="E1791" s="138"/>
      <c r="F1791" s="138"/>
      <c r="G1791" s="138"/>
      <c r="H1791" s="138"/>
    </row>
    <row r="1792" spans="3:8" x14ac:dyDescent="0.2">
      <c r="C1792" s="138"/>
      <c r="E1792" s="138"/>
      <c r="F1792" s="138"/>
      <c r="G1792" s="138"/>
      <c r="H1792" s="138"/>
    </row>
    <row r="1793" spans="3:8" x14ac:dyDescent="0.2">
      <c r="C1793" s="138"/>
      <c r="E1793" s="138"/>
      <c r="F1793" s="138"/>
      <c r="G1793" s="138"/>
      <c r="H1793" s="138"/>
    </row>
    <row r="1794" spans="3:8" x14ac:dyDescent="0.2">
      <c r="C1794" s="138"/>
      <c r="E1794" s="138"/>
      <c r="F1794" s="138"/>
      <c r="G1794" s="138"/>
      <c r="H1794" s="138"/>
    </row>
    <row r="1795" spans="3:8" x14ac:dyDescent="0.2">
      <c r="C1795" s="138"/>
      <c r="E1795" s="138"/>
      <c r="F1795" s="138"/>
      <c r="G1795" s="138"/>
      <c r="H1795" s="138"/>
    </row>
    <row r="1796" spans="3:8" x14ac:dyDescent="0.2">
      <c r="C1796" s="138"/>
      <c r="E1796" s="138"/>
      <c r="F1796" s="138"/>
      <c r="G1796" s="138"/>
      <c r="H1796" s="138"/>
    </row>
    <row r="1797" spans="3:8" x14ac:dyDescent="0.2">
      <c r="C1797" s="138"/>
      <c r="E1797" s="138"/>
      <c r="F1797" s="138"/>
      <c r="G1797" s="138"/>
      <c r="H1797" s="138"/>
    </row>
    <row r="1798" spans="3:8" x14ac:dyDescent="0.2">
      <c r="C1798" s="138"/>
      <c r="E1798" s="138"/>
      <c r="F1798" s="138"/>
      <c r="G1798" s="138"/>
      <c r="H1798" s="138"/>
    </row>
    <row r="1799" spans="3:8" x14ac:dyDescent="0.2">
      <c r="C1799" s="138"/>
      <c r="E1799" s="138"/>
      <c r="F1799" s="138"/>
      <c r="G1799" s="138"/>
      <c r="H1799" s="138"/>
    </row>
    <row r="1800" spans="3:8" x14ac:dyDescent="0.2">
      <c r="C1800" s="138"/>
      <c r="E1800" s="138"/>
      <c r="F1800" s="138"/>
      <c r="G1800" s="138"/>
      <c r="H1800" s="138"/>
    </row>
    <row r="1801" spans="3:8" x14ac:dyDescent="0.2">
      <c r="C1801" s="138"/>
      <c r="E1801" s="138"/>
      <c r="F1801" s="138"/>
      <c r="G1801" s="138"/>
      <c r="H1801" s="138"/>
    </row>
    <row r="1802" spans="3:8" x14ac:dyDescent="0.2">
      <c r="C1802" s="138"/>
      <c r="E1802" s="138"/>
      <c r="F1802" s="138"/>
      <c r="G1802" s="138"/>
      <c r="H1802" s="138"/>
    </row>
    <row r="1803" spans="3:8" x14ac:dyDescent="0.2">
      <c r="C1803" s="138"/>
      <c r="E1803" s="138"/>
      <c r="F1803" s="138"/>
      <c r="G1803" s="138"/>
      <c r="H1803" s="138"/>
    </row>
    <row r="1804" spans="3:8" x14ac:dyDescent="0.2">
      <c r="C1804" s="138"/>
      <c r="E1804" s="138"/>
      <c r="F1804" s="138"/>
      <c r="G1804" s="138"/>
      <c r="H1804" s="138"/>
    </row>
    <row r="1805" spans="3:8" x14ac:dyDescent="0.2">
      <c r="C1805" s="138"/>
      <c r="E1805" s="138"/>
      <c r="F1805" s="138"/>
      <c r="G1805" s="138"/>
      <c r="H1805" s="138"/>
    </row>
    <row r="1806" spans="3:8" x14ac:dyDescent="0.2">
      <c r="C1806" s="138"/>
      <c r="E1806" s="138"/>
      <c r="F1806" s="138"/>
      <c r="G1806" s="138"/>
      <c r="H1806" s="138"/>
    </row>
    <row r="1807" spans="3:8" x14ac:dyDescent="0.2">
      <c r="C1807" s="138"/>
      <c r="E1807" s="138"/>
      <c r="F1807" s="138"/>
      <c r="G1807" s="138"/>
      <c r="H1807" s="138"/>
    </row>
    <row r="1808" spans="3:8" x14ac:dyDescent="0.2">
      <c r="C1808" s="138"/>
      <c r="E1808" s="138"/>
      <c r="F1808" s="138"/>
      <c r="G1808" s="138"/>
      <c r="H1808" s="138"/>
    </row>
    <row r="1809" spans="3:8" x14ac:dyDescent="0.2">
      <c r="C1809" s="138"/>
      <c r="E1809" s="138"/>
      <c r="F1809" s="138"/>
      <c r="G1809" s="138"/>
      <c r="H1809" s="138"/>
    </row>
    <row r="1810" spans="3:8" x14ac:dyDescent="0.2">
      <c r="C1810" s="138"/>
      <c r="E1810" s="138"/>
      <c r="F1810" s="138"/>
      <c r="G1810" s="138"/>
      <c r="H1810" s="138"/>
    </row>
    <row r="1811" spans="3:8" x14ac:dyDescent="0.2">
      <c r="C1811" s="138"/>
      <c r="E1811" s="138"/>
      <c r="F1811" s="138"/>
      <c r="G1811" s="138"/>
      <c r="H1811" s="138"/>
    </row>
    <row r="1812" spans="3:8" x14ac:dyDescent="0.2">
      <c r="C1812" s="138"/>
      <c r="E1812" s="138"/>
      <c r="F1812" s="138"/>
      <c r="G1812" s="138"/>
      <c r="H1812" s="138"/>
    </row>
    <row r="1813" spans="3:8" x14ac:dyDescent="0.2">
      <c r="C1813" s="138"/>
      <c r="E1813" s="138"/>
      <c r="F1813" s="138"/>
      <c r="G1813" s="138"/>
      <c r="H1813" s="138"/>
    </row>
    <row r="1814" spans="3:8" x14ac:dyDescent="0.2">
      <c r="C1814" s="138"/>
      <c r="E1814" s="138"/>
      <c r="F1814" s="138"/>
      <c r="G1814" s="138"/>
      <c r="H1814" s="138"/>
    </row>
    <row r="1815" spans="3:8" x14ac:dyDescent="0.2">
      <c r="C1815" s="138"/>
      <c r="E1815" s="138"/>
      <c r="F1815" s="138"/>
      <c r="G1815" s="138"/>
      <c r="H1815" s="138"/>
    </row>
    <row r="1816" spans="3:8" x14ac:dyDescent="0.2">
      <c r="C1816" s="138"/>
      <c r="E1816" s="138"/>
      <c r="F1816" s="138"/>
      <c r="G1816" s="138"/>
      <c r="H1816" s="138"/>
    </row>
    <row r="1817" spans="3:8" x14ac:dyDescent="0.2">
      <c r="C1817" s="138"/>
      <c r="E1817" s="138"/>
      <c r="F1817" s="138"/>
      <c r="G1817" s="138"/>
      <c r="H1817" s="138"/>
    </row>
    <row r="1818" spans="3:8" x14ac:dyDescent="0.2">
      <c r="C1818" s="138"/>
      <c r="E1818" s="138"/>
      <c r="F1818" s="138"/>
      <c r="G1818" s="138"/>
      <c r="H1818" s="138"/>
    </row>
    <row r="1819" spans="3:8" x14ac:dyDescent="0.2">
      <c r="C1819" s="138"/>
      <c r="E1819" s="138"/>
      <c r="F1819" s="138"/>
      <c r="G1819" s="138"/>
      <c r="H1819" s="138"/>
    </row>
    <row r="1820" spans="3:8" x14ac:dyDescent="0.2">
      <c r="C1820" s="138"/>
      <c r="E1820" s="138"/>
      <c r="F1820" s="138"/>
      <c r="G1820" s="138"/>
      <c r="H1820" s="138"/>
    </row>
    <row r="1821" spans="3:8" x14ac:dyDescent="0.2">
      <c r="C1821" s="138"/>
      <c r="E1821" s="138"/>
      <c r="F1821" s="138"/>
      <c r="G1821" s="138"/>
      <c r="H1821" s="138"/>
    </row>
    <row r="1822" spans="3:8" x14ac:dyDescent="0.2">
      <c r="C1822" s="138"/>
      <c r="E1822" s="138"/>
      <c r="F1822" s="138"/>
      <c r="G1822" s="138"/>
      <c r="H1822" s="138"/>
    </row>
    <row r="1823" spans="3:8" x14ac:dyDescent="0.2">
      <c r="C1823" s="138"/>
      <c r="E1823" s="138"/>
      <c r="F1823" s="138"/>
      <c r="G1823" s="138"/>
      <c r="H1823" s="138"/>
    </row>
    <row r="1824" spans="3:8" x14ac:dyDescent="0.2">
      <c r="C1824" s="138"/>
      <c r="E1824" s="138"/>
      <c r="F1824" s="138"/>
      <c r="G1824" s="138"/>
      <c r="H1824" s="138"/>
    </row>
    <row r="1825" spans="3:8" x14ac:dyDescent="0.2">
      <c r="C1825" s="138"/>
      <c r="E1825" s="138"/>
      <c r="F1825" s="138"/>
      <c r="G1825" s="138"/>
      <c r="H1825" s="138"/>
    </row>
    <row r="1826" spans="3:8" x14ac:dyDescent="0.2">
      <c r="C1826" s="138"/>
      <c r="E1826" s="138"/>
      <c r="F1826" s="138"/>
      <c r="G1826" s="138"/>
      <c r="H1826" s="138"/>
    </row>
    <row r="1827" spans="3:8" x14ac:dyDescent="0.2">
      <c r="C1827" s="138"/>
      <c r="E1827" s="138"/>
      <c r="F1827" s="138"/>
      <c r="G1827" s="138"/>
      <c r="H1827" s="138"/>
    </row>
    <row r="1828" spans="3:8" x14ac:dyDescent="0.2">
      <c r="C1828" s="138"/>
      <c r="E1828" s="138"/>
      <c r="F1828" s="138"/>
      <c r="G1828" s="138"/>
      <c r="H1828" s="138"/>
    </row>
    <row r="1829" spans="3:8" x14ac:dyDescent="0.2">
      <c r="C1829" s="138"/>
      <c r="E1829" s="138"/>
      <c r="F1829" s="138"/>
      <c r="G1829" s="138"/>
      <c r="H1829" s="138"/>
    </row>
    <row r="1830" spans="3:8" x14ac:dyDescent="0.2">
      <c r="C1830" s="138"/>
      <c r="E1830" s="138"/>
      <c r="F1830" s="138"/>
      <c r="G1830" s="138"/>
      <c r="H1830" s="138"/>
    </row>
    <row r="1831" spans="3:8" x14ac:dyDescent="0.2">
      <c r="C1831" s="138"/>
      <c r="E1831" s="138"/>
      <c r="F1831" s="138"/>
      <c r="G1831" s="138"/>
      <c r="H1831" s="138"/>
    </row>
    <row r="1832" spans="3:8" x14ac:dyDescent="0.2">
      <c r="C1832" s="138"/>
      <c r="E1832" s="138"/>
      <c r="F1832" s="138"/>
      <c r="G1832" s="138"/>
      <c r="H1832" s="138"/>
    </row>
    <row r="1833" spans="3:8" x14ac:dyDescent="0.2">
      <c r="C1833" s="138"/>
      <c r="E1833" s="138"/>
      <c r="F1833" s="138"/>
      <c r="G1833" s="138"/>
      <c r="H1833" s="138"/>
    </row>
    <row r="1834" spans="3:8" x14ac:dyDescent="0.2">
      <c r="C1834" s="138"/>
      <c r="E1834" s="138"/>
      <c r="F1834" s="138"/>
      <c r="G1834" s="138"/>
      <c r="H1834" s="138"/>
    </row>
    <row r="1835" spans="3:8" x14ac:dyDescent="0.2">
      <c r="C1835" s="138"/>
      <c r="E1835" s="138"/>
      <c r="F1835" s="138"/>
      <c r="G1835" s="138"/>
      <c r="H1835" s="138"/>
    </row>
    <row r="1836" spans="3:8" x14ac:dyDescent="0.2">
      <c r="C1836" s="138"/>
      <c r="E1836" s="138"/>
      <c r="F1836" s="138"/>
      <c r="G1836" s="138"/>
      <c r="H1836" s="138"/>
    </row>
    <row r="1837" spans="3:8" x14ac:dyDescent="0.2">
      <c r="C1837" s="138"/>
      <c r="E1837" s="138"/>
      <c r="F1837" s="138"/>
      <c r="G1837" s="138"/>
      <c r="H1837" s="138"/>
    </row>
    <row r="1838" spans="3:8" x14ac:dyDescent="0.2">
      <c r="C1838" s="138"/>
      <c r="E1838" s="138"/>
      <c r="F1838" s="138"/>
      <c r="G1838" s="138"/>
      <c r="H1838" s="138"/>
    </row>
    <row r="1839" spans="3:8" x14ac:dyDescent="0.2">
      <c r="C1839" s="138"/>
      <c r="E1839" s="138"/>
      <c r="F1839" s="138"/>
      <c r="G1839" s="138"/>
      <c r="H1839" s="138"/>
    </row>
    <row r="1840" spans="3:8" x14ac:dyDescent="0.2">
      <c r="C1840" s="138"/>
      <c r="E1840" s="138"/>
      <c r="F1840" s="138"/>
      <c r="G1840" s="138"/>
      <c r="H1840" s="138"/>
    </row>
    <row r="1841" spans="3:8" x14ac:dyDescent="0.2">
      <c r="C1841" s="138"/>
      <c r="E1841" s="138"/>
      <c r="F1841" s="138"/>
      <c r="G1841" s="138"/>
      <c r="H1841" s="138"/>
    </row>
    <row r="1842" spans="3:8" x14ac:dyDescent="0.2">
      <c r="C1842" s="138"/>
      <c r="E1842" s="138"/>
      <c r="F1842" s="138"/>
      <c r="G1842" s="138"/>
      <c r="H1842" s="138"/>
    </row>
    <row r="1843" spans="3:8" x14ac:dyDescent="0.2">
      <c r="C1843" s="138"/>
      <c r="E1843" s="138"/>
      <c r="F1843" s="138"/>
      <c r="G1843" s="138"/>
      <c r="H1843" s="138"/>
    </row>
    <row r="1844" spans="3:8" x14ac:dyDescent="0.2">
      <c r="C1844" s="138"/>
      <c r="E1844" s="138"/>
      <c r="F1844" s="138"/>
      <c r="G1844" s="138"/>
      <c r="H1844" s="138"/>
    </row>
    <row r="1845" spans="3:8" x14ac:dyDescent="0.2">
      <c r="C1845" s="138"/>
      <c r="E1845" s="138"/>
      <c r="F1845" s="138"/>
      <c r="G1845" s="138"/>
      <c r="H1845" s="138"/>
    </row>
    <row r="1846" spans="3:8" x14ac:dyDescent="0.2">
      <c r="C1846" s="138"/>
      <c r="E1846" s="138"/>
      <c r="F1846" s="138"/>
      <c r="G1846" s="138"/>
      <c r="H1846" s="138"/>
    </row>
    <row r="1847" spans="3:8" x14ac:dyDescent="0.2">
      <c r="C1847" s="138"/>
      <c r="E1847" s="138"/>
      <c r="F1847" s="138"/>
      <c r="G1847" s="138"/>
      <c r="H1847" s="138"/>
    </row>
    <row r="1848" spans="3:8" x14ac:dyDescent="0.2">
      <c r="C1848" s="138"/>
      <c r="E1848" s="138"/>
      <c r="F1848" s="138"/>
      <c r="G1848" s="138"/>
      <c r="H1848" s="138"/>
    </row>
    <row r="1849" spans="3:8" x14ac:dyDescent="0.2">
      <c r="C1849" s="138"/>
      <c r="E1849" s="138"/>
      <c r="F1849" s="138"/>
      <c r="G1849" s="138"/>
      <c r="H1849" s="138"/>
    </row>
    <row r="1850" spans="3:8" x14ac:dyDescent="0.2">
      <c r="C1850" s="138"/>
      <c r="E1850" s="138"/>
      <c r="F1850" s="138"/>
      <c r="G1850" s="138"/>
      <c r="H1850" s="138"/>
    </row>
    <row r="1851" spans="3:8" x14ac:dyDescent="0.2">
      <c r="C1851" s="138"/>
      <c r="E1851" s="138"/>
      <c r="F1851" s="138"/>
      <c r="G1851" s="138"/>
      <c r="H1851" s="138"/>
    </row>
    <row r="1852" spans="3:8" x14ac:dyDescent="0.2">
      <c r="C1852" s="138"/>
      <c r="E1852" s="138"/>
      <c r="F1852" s="138"/>
      <c r="G1852" s="138"/>
      <c r="H1852" s="138"/>
    </row>
    <row r="1853" spans="3:8" x14ac:dyDescent="0.2">
      <c r="C1853" s="138"/>
      <c r="E1853" s="138"/>
      <c r="F1853" s="138"/>
      <c r="G1853" s="138"/>
      <c r="H1853" s="138"/>
    </row>
    <row r="1854" spans="3:8" x14ac:dyDescent="0.2">
      <c r="C1854" s="138"/>
      <c r="E1854" s="138"/>
      <c r="F1854" s="138"/>
      <c r="G1854" s="138"/>
      <c r="H1854" s="138"/>
    </row>
    <row r="1855" spans="3:8" x14ac:dyDescent="0.2">
      <c r="C1855" s="138"/>
      <c r="E1855" s="138"/>
      <c r="F1855" s="138"/>
      <c r="G1855" s="138"/>
      <c r="H1855" s="138"/>
    </row>
    <row r="1856" spans="3:8" x14ac:dyDescent="0.2">
      <c r="C1856" s="138"/>
      <c r="E1856" s="138"/>
      <c r="F1856" s="138"/>
      <c r="G1856" s="138"/>
      <c r="H1856" s="138"/>
    </row>
    <row r="1857" spans="3:8" x14ac:dyDescent="0.2">
      <c r="C1857" s="138"/>
      <c r="E1857" s="138"/>
      <c r="F1857" s="138"/>
      <c r="G1857" s="138"/>
      <c r="H1857" s="138"/>
    </row>
    <row r="1858" spans="3:8" x14ac:dyDescent="0.2">
      <c r="C1858" s="138"/>
      <c r="E1858" s="138"/>
      <c r="F1858" s="138"/>
      <c r="G1858" s="138"/>
      <c r="H1858" s="138"/>
    </row>
    <row r="1859" spans="3:8" x14ac:dyDescent="0.2">
      <c r="C1859" s="138"/>
      <c r="E1859" s="138"/>
      <c r="F1859" s="138"/>
      <c r="G1859" s="138"/>
      <c r="H1859" s="138"/>
    </row>
    <row r="1860" spans="3:8" x14ac:dyDescent="0.2">
      <c r="C1860" s="138"/>
      <c r="E1860" s="138"/>
      <c r="F1860" s="138"/>
      <c r="G1860" s="138"/>
      <c r="H1860" s="138"/>
    </row>
    <row r="1861" spans="3:8" x14ac:dyDescent="0.2">
      <c r="C1861" s="138"/>
      <c r="E1861" s="138"/>
      <c r="F1861" s="138"/>
      <c r="G1861" s="138"/>
      <c r="H1861" s="138"/>
    </row>
    <row r="1862" spans="3:8" x14ac:dyDescent="0.2">
      <c r="C1862" s="138"/>
      <c r="E1862" s="138"/>
      <c r="F1862" s="138"/>
      <c r="G1862" s="138"/>
      <c r="H1862" s="138"/>
    </row>
    <row r="1863" spans="3:8" x14ac:dyDescent="0.2">
      <c r="C1863" s="138"/>
      <c r="E1863" s="138"/>
      <c r="F1863" s="138"/>
      <c r="G1863" s="138"/>
      <c r="H1863" s="138"/>
    </row>
    <row r="1864" spans="3:8" x14ac:dyDescent="0.2">
      <c r="C1864" s="138"/>
      <c r="E1864" s="138"/>
      <c r="F1864" s="138"/>
      <c r="G1864" s="138"/>
      <c r="H1864" s="138"/>
    </row>
    <row r="1865" spans="3:8" x14ac:dyDescent="0.2">
      <c r="C1865" s="138"/>
      <c r="E1865" s="138"/>
      <c r="F1865" s="138"/>
      <c r="G1865" s="138"/>
      <c r="H1865" s="138"/>
    </row>
    <row r="1866" spans="3:8" x14ac:dyDescent="0.2">
      <c r="C1866" s="138"/>
      <c r="E1866" s="138"/>
      <c r="F1866" s="138"/>
      <c r="G1866" s="138"/>
      <c r="H1866" s="138"/>
    </row>
    <row r="1867" spans="3:8" x14ac:dyDescent="0.2">
      <c r="C1867" s="138"/>
      <c r="E1867" s="138"/>
      <c r="F1867" s="138"/>
      <c r="G1867" s="138"/>
      <c r="H1867" s="138"/>
    </row>
    <row r="1868" spans="3:8" x14ac:dyDescent="0.2">
      <c r="C1868" s="138"/>
      <c r="E1868" s="138"/>
      <c r="F1868" s="138"/>
      <c r="G1868" s="138"/>
      <c r="H1868" s="138"/>
    </row>
    <row r="1869" spans="3:8" x14ac:dyDescent="0.2">
      <c r="C1869" s="138"/>
      <c r="E1869" s="138"/>
      <c r="F1869" s="138"/>
      <c r="G1869" s="138"/>
      <c r="H1869" s="138"/>
    </row>
    <row r="1870" spans="3:8" x14ac:dyDescent="0.2">
      <c r="C1870" s="138"/>
      <c r="E1870" s="138"/>
      <c r="F1870" s="138"/>
      <c r="G1870" s="138"/>
      <c r="H1870" s="138"/>
    </row>
    <row r="1871" spans="3:8" x14ac:dyDescent="0.2">
      <c r="C1871" s="138"/>
      <c r="E1871" s="138"/>
      <c r="F1871" s="138"/>
      <c r="G1871" s="138"/>
      <c r="H1871" s="138"/>
    </row>
    <row r="1872" spans="3:8" x14ac:dyDescent="0.2">
      <c r="C1872" s="138"/>
      <c r="E1872" s="138"/>
      <c r="F1872" s="138"/>
      <c r="G1872" s="138"/>
      <c r="H1872" s="138"/>
    </row>
    <row r="1873" spans="3:8" x14ac:dyDescent="0.2">
      <c r="C1873" s="138"/>
      <c r="E1873" s="138"/>
      <c r="F1873" s="138"/>
      <c r="G1873" s="138"/>
      <c r="H1873" s="138"/>
    </row>
    <row r="1874" spans="3:8" x14ac:dyDescent="0.2">
      <c r="C1874" s="138"/>
      <c r="E1874" s="138"/>
      <c r="F1874" s="138"/>
      <c r="G1874" s="138"/>
      <c r="H1874" s="138"/>
    </row>
    <row r="1875" spans="3:8" x14ac:dyDescent="0.2">
      <c r="C1875" s="138"/>
      <c r="E1875" s="138"/>
      <c r="F1875" s="138"/>
      <c r="G1875" s="138"/>
      <c r="H1875" s="138"/>
    </row>
    <row r="1876" spans="3:8" x14ac:dyDescent="0.2">
      <c r="C1876" s="138"/>
      <c r="E1876" s="138"/>
      <c r="F1876" s="138"/>
      <c r="G1876" s="138"/>
      <c r="H1876" s="138"/>
    </row>
    <row r="1877" spans="3:8" x14ac:dyDescent="0.2">
      <c r="C1877" s="138"/>
      <c r="E1877" s="138"/>
      <c r="F1877" s="138"/>
      <c r="G1877" s="138"/>
      <c r="H1877" s="138"/>
    </row>
    <row r="1878" spans="3:8" x14ac:dyDescent="0.2">
      <c r="C1878" s="138"/>
      <c r="E1878" s="138"/>
      <c r="F1878" s="138"/>
      <c r="G1878" s="138"/>
      <c r="H1878" s="138"/>
    </row>
    <row r="1879" spans="3:8" x14ac:dyDescent="0.2">
      <c r="C1879" s="138"/>
      <c r="E1879" s="138"/>
      <c r="F1879" s="138"/>
      <c r="G1879" s="138"/>
      <c r="H1879" s="138"/>
    </row>
    <row r="1880" spans="3:8" x14ac:dyDescent="0.2">
      <c r="C1880" s="138"/>
      <c r="E1880" s="138"/>
      <c r="F1880" s="138"/>
      <c r="G1880" s="138"/>
      <c r="H1880" s="138"/>
    </row>
    <row r="1881" spans="3:8" x14ac:dyDescent="0.2">
      <c r="C1881" s="138"/>
      <c r="E1881" s="138"/>
      <c r="F1881" s="138"/>
      <c r="G1881" s="138"/>
      <c r="H1881" s="138"/>
    </row>
    <row r="1882" spans="3:8" x14ac:dyDescent="0.2">
      <c r="C1882" s="138"/>
      <c r="E1882" s="138"/>
      <c r="F1882" s="138"/>
      <c r="G1882" s="138"/>
      <c r="H1882" s="138"/>
    </row>
    <row r="1883" spans="3:8" x14ac:dyDescent="0.2">
      <c r="C1883" s="138"/>
      <c r="E1883" s="138"/>
      <c r="F1883" s="138"/>
      <c r="G1883" s="138"/>
      <c r="H1883" s="138"/>
    </row>
    <row r="1884" spans="3:8" x14ac:dyDescent="0.2">
      <c r="C1884" s="138"/>
      <c r="E1884" s="138"/>
      <c r="F1884" s="138"/>
      <c r="G1884" s="138"/>
      <c r="H1884" s="138"/>
    </row>
    <row r="1885" spans="3:8" x14ac:dyDescent="0.2">
      <c r="C1885" s="138"/>
      <c r="E1885" s="138"/>
      <c r="F1885" s="138"/>
      <c r="G1885" s="138"/>
      <c r="H1885" s="138"/>
    </row>
    <row r="1886" spans="3:8" x14ac:dyDescent="0.2">
      <c r="C1886" s="138"/>
      <c r="E1886" s="138"/>
      <c r="F1886" s="138"/>
      <c r="G1886" s="138"/>
      <c r="H1886" s="138"/>
    </row>
    <row r="1887" spans="3:8" x14ac:dyDescent="0.2">
      <c r="C1887" s="138"/>
      <c r="E1887" s="138"/>
      <c r="F1887" s="138"/>
      <c r="G1887" s="138"/>
      <c r="H1887" s="138"/>
    </row>
    <row r="1888" spans="3:8" x14ac:dyDescent="0.2">
      <c r="C1888" s="138"/>
      <c r="E1888" s="138"/>
      <c r="F1888" s="138"/>
      <c r="G1888" s="138"/>
      <c r="H1888" s="138"/>
    </row>
    <row r="1889" spans="3:8" x14ac:dyDescent="0.2">
      <c r="C1889" s="138"/>
      <c r="E1889" s="138"/>
      <c r="F1889" s="138"/>
      <c r="G1889" s="138"/>
      <c r="H1889" s="138"/>
    </row>
    <row r="1890" spans="3:8" x14ac:dyDescent="0.2">
      <c r="C1890" s="138"/>
      <c r="E1890" s="138"/>
      <c r="F1890" s="138"/>
      <c r="G1890" s="138"/>
      <c r="H1890" s="138"/>
    </row>
    <row r="1891" spans="3:8" x14ac:dyDescent="0.2">
      <c r="C1891" s="138"/>
      <c r="E1891" s="138"/>
      <c r="F1891" s="138"/>
      <c r="G1891" s="138"/>
      <c r="H1891" s="138"/>
    </row>
    <row r="1892" spans="3:8" x14ac:dyDescent="0.2">
      <c r="C1892" s="138"/>
      <c r="E1892" s="138"/>
      <c r="F1892" s="138"/>
      <c r="G1892" s="138"/>
      <c r="H1892" s="138"/>
    </row>
    <row r="1893" spans="3:8" x14ac:dyDescent="0.2">
      <c r="C1893" s="138"/>
      <c r="E1893" s="138"/>
      <c r="F1893" s="138"/>
      <c r="G1893" s="138"/>
      <c r="H1893" s="138"/>
    </row>
    <row r="1894" spans="3:8" x14ac:dyDescent="0.2">
      <c r="C1894" s="138"/>
      <c r="E1894" s="138"/>
      <c r="F1894" s="138"/>
      <c r="G1894" s="138"/>
      <c r="H1894" s="138"/>
    </row>
    <row r="1895" spans="3:8" x14ac:dyDescent="0.2">
      <c r="C1895" s="138"/>
      <c r="E1895" s="138"/>
      <c r="F1895" s="138"/>
      <c r="G1895" s="138"/>
      <c r="H1895" s="138"/>
    </row>
    <row r="1896" spans="3:8" x14ac:dyDescent="0.2">
      <c r="C1896" s="138"/>
      <c r="E1896" s="138"/>
      <c r="F1896" s="138"/>
      <c r="G1896" s="138"/>
      <c r="H1896" s="138"/>
    </row>
    <row r="1897" spans="3:8" x14ac:dyDescent="0.2">
      <c r="C1897" s="138"/>
      <c r="E1897" s="138"/>
      <c r="F1897" s="138"/>
      <c r="G1897" s="138"/>
      <c r="H1897" s="138"/>
    </row>
    <row r="1898" spans="3:8" x14ac:dyDescent="0.2">
      <c r="C1898" s="138"/>
      <c r="E1898" s="138"/>
      <c r="F1898" s="138"/>
      <c r="G1898" s="138"/>
      <c r="H1898" s="138"/>
    </row>
    <row r="1899" spans="3:8" x14ac:dyDescent="0.2">
      <c r="C1899" s="138"/>
      <c r="E1899" s="138"/>
      <c r="F1899" s="138"/>
      <c r="G1899" s="138"/>
      <c r="H1899" s="138"/>
    </row>
    <row r="1900" spans="3:8" x14ac:dyDescent="0.2">
      <c r="C1900" s="138"/>
      <c r="E1900" s="138"/>
      <c r="F1900" s="138"/>
      <c r="G1900" s="138"/>
      <c r="H1900" s="138"/>
    </row>
    <row r="1901" spans="3:8" x14ac:dyDescent="0.2">
      <c r="C1901" s="138"/>
      <c r="E1901" s="138"/>
      <c r="F1901" s="138"/>
      <c r="G1901" s="138"/>
      <c r="H1901" s="138"/>
    </row>
    <row r="1902" spans="3:8" x14ac:dyDescent="0.2">
      <c r="C1902" s="138"/>
      <c r="E1902" s="138"/>
      <c r="F1902" s="138"/>
      <c r="G1902" s="138"/>
      <c r="H1902" s="138"/>
    </row>
    <row r="1903" spans="3:8" x14ac:dyDescent="0.2">
      <c r="C1903" s="138"/>
      <c r="E1903" s="138"/>
      <c r="F1903" s="138"/>
      <c r="G1903" s="138"/>
      <c r="H1903" s="138"/>
    </row>
    <row r="1904" spans="3:8" x14ac:dyDescent="0.2">
      <c r="C1904" s="138"/>
      <c r="E1904" s="138"/>
      <c r="F1904" s="138"/>
      <c r="G1904" s="138"/>
      <c r="H1904" s="138"/>
    </row>
    <row r="1905" spans="3:8" x14ac:dyDescent="0.2">
      <c r="C1905" s="138"/>
      <c r="E1905" s="138"/>
      <c r="F1905" s="138"/>
      <c r="G1905" s="138"/>
      <c r="H1905" s="138"/>
    </row>
    <row r="1906" spans="3:8" x14ac:dyDescent="0.2">
      <c r="C1906" s="138"/>
      <c r="E1906" s="138"/>
      <c r="F1906" s="138"/>
      <c r="G1906" s="138"/>
      <c r="H1906" s="138"/>
    </row>
    <row r="1907" spans="3:8" x14ac:dyDescent="0.2">
      <c r="C1907" s="138"/>
      <c r="E1907" s="138"/>
      <c r="F1907" s="138"/>
      <c r="G1907" s="138"/>
      <c r="H1907" s="138"/>
    </row>
    <row r="1908" spans="3:8" x14ac:dyDescent="0.2">
      <c r="C1908" s="138"/>
      <c r="E1908" s="138"/>
      <c r="F1908" s="138"/>
      <c r="G1908" s="138"/>
      <c r="H1908" s="138"/>
    </row>
    <row r="1909" spans="3:8" x14ac:dyDescent="0.2">
      <c r="C1909" s="138"/>
      <c r="E1909" s="138"/>
      <c r="F1909" s="138"/>
      <c r="G1909" s="138"/>
      <c r="H1909" s="138"/>
    </row>
    <row r="1910" spans="3:8" x14ac:dyDescent="0.2">
      <c r="C1910" s="138"/>
      <c r="E1910" s="138"/>
      <c r="F1910" s="138"/>
      <c r="G1910" s="138"/>
      <c r="H1910" s="138"/>
    </row>
    <row r="1911" spans="3:8" x14ac:dyDescent="0.2">
      <c r="C1911" s="138"/>
      <c r="E1911" s="138"/>
      <c r="F1911" s="138"/>
      <c r="G1911" s="138"/>
      <c r="H1911" s="138"/>
    </row>
    <row r="1912" spans="3:8" x14ac:dyDescent="0.2">
      <c r="C1912" s="138"/>
      <c r="E1912" s="138"/>
      <c r="F1912" s="138"/>
      <c r="G1912" s="138"/>
      <c r="H1912" s="138"/>
    </row>
    <row r="1913" spans="3:8" x14ac:dyDescent="0.2">
      <c r="C1913" s="138"/>
      <c r="E1913" s="138"/>
      <c r="F1913" s="138"/>
      <c r="G1913" s="138"/>
      <c r="H1913" s="138"/>
    </row>
    <row r="1914" spans="3:8" x14ac:dyDescent="0.2">
      <c r="C1914" s="138"/>
      <c r="E1914" s="138"/>
      <c r="F1914" s="138"/>
      <c r="G1914" s="138"/>
      <c r="H1914" s="138"/>
    </row>
    <row r="1915" spans="3:8" x14ac:dyDescent="0.2">
      <c r="C1915" s="138"/>
      <c r="E1915" s="138"/>
      <c r="F1915" s="138"/>
      <c r="G1915" s="138"/>
      <c r="H1915" s="138"/>
    </row>
    <row r="1916" spans="3:8" x14ac:dyDescent="0.2">
      <c r="C1916" s="138"/>
      <c r="E1916" s="138"/>
      <c r="F1916" s="138"/>
      <c r="G1916" s="138"/>
      <c r="H1916" s="138"/>
    </row>
    <row r="1917" spans="3:8" x14ac:dyDescent="0.2">
      <c r="C1917" s="138"/>
      <c r="E1917" s="138"/>
      <c r="F1917" s="138"/>
      <c r="G1917" s="138"/>
      <c r="H1917" s="138"/>
    </row>
    <row r="1918" spans="3:8" x14ac:dyDescent="0.2">
      <c r="C1918" s="138"/>
      <c r="E1918" s="138"/>
      <c r="F1918" s="138"/>
      <c r="G1918" s="138"/>
      <c r="H1918" s="138"/>
    </row>
    <row r="1919" spans="3:8" x14ac:dyDescent="0.2">
      <c r="C1919" s="138"/>
      <c r="E1919" s="138"/>
      <c r="F1919" s="138"/>
      <c r="G1919" s="138"/>
      <c r="H1919" s="138"/>
    </row>
    <row r="1920" spans="3:8" x14ac:dyDescent="0.2">
      <c r="C1920" s="138"/>
      <c r="E1920" s="138"/>
      <c r="F1920" s="138"/>
      <c r="G1920" s="138"/>
      <c r="H1920" s="138"/>
    </row>
    <row r="1921" spans="3:8" x14ac:dyDescent="0.2">
      <c r="C1921" s="138"/>
      <c r="E1921" s="138"/>
      <c r="F1921" s="138"/>
      <c r="G1921" s="138"/>
      <c r="H1921" s="138"/>
    </row>
    <row r="1922" spans="3:8" x14ac:dyDescent="0.2">
      <c r="C1922" s="138"/>
      <c r="E1922" s="138"/>
      <c r="F1922" s="138"/>
      <c r="G1922" s="138"/>
      <c r="H1922" s="138"/>
    </row>
    <row r="1923" spans="3:8" x14ac:dyDescent="0.2">
      <c r="C1923" s="138"/>
      <c r="E1923" s="138"/>
      <c r="F1923" s="138"/>
      <c r="G1923" s="138"/>
      <c r="H1923" s="138"/>
    </row>
    <row r="1924" spans="3:8" x14ac:dyDescent="0.2">
      <c r="C1924" s="138"/>
      <c r="E1924" s="138"/>
      <c r="F1924" s="138"/>
      <c r="G1924" s="138"/>
      <c r="H1924" s="138"/>
    </row>
    <row r="1925" spans="3:8" x14ac:dyDescent="0.2">
      <c r="C1925" s="138"/>
      <c r="E1925" s="138"/>
      <c r="F1925" s="138"/>
      <c r="G1925" s="138"/>
      <c r="H1925" s="138"/>
    </row>
    <row r="1926" spans="3:8" x14ac:dyDescent="0.2">
      <c r="C1926" s="138"/>
      <c r="E1926" s="138"/>
      <c r="F1926" s="138"/>
      <c r="G1926" s="138"/>
      <c r="H1926" s="138"/>
    </row>
    <row r="1927" spans="3:8" x14ac:dyDescent="0.2">
      <c r="C1927" s="138"/>
      <c r="E1927" s="138"/>
      <c r="F1927" s="138"/>
      <c r="G1927" s="138"/>
      <c r="H1927" s="138"/>
    </row>
    <row r="1928" spans="3:8" x14ac:dyDescent="0.2">
      <c r="C1928" s="138"/>
      <c r="E1928" s="138"/>
      <c r="F1928" s="138"/>
      <c r="G1928" s="138"/>
      <c r="H1928" s="138"/>
    </row>
    <row r="1929" spans="3:8" x14ac:dyDescent="0.2">
      <c r="C1929" s="138"/>
      <c r="E1929" s="138"/>
      <c r="F1929" s="138"/>
      <c r="G1929" s="138"/>
      <c r="H1929" s="138"/>
    </row>
    <row r="1930" spans="3:8" x14ac:dyDescent="0.2">
      <c r="C1930" s="138"/>
      <c r="E1930" s="138"/>
      <c r="F1930" s="138"/>
      <c r="G1930" s="138"/>
      <c r="H1930" s="138"/>
    </row>
    <row r="1931" spans="3:8" x14ac:dyDescent="0.2">
      <c r="C1931" s="138"/>
      <c r="E1931" s="138"/>
      <c r="F1931" s="138"/>
      <c r="G1931" s="138"/>
      <c r="H1931" s="138"/>
    </row>
    <row r="1932" spans="3:8" x14ac:dyDescent="0.2">
      <c r="C1932" s="138"/>
      <c r="E1932" s="138"/>
      <c r="F1932" s="138"/>
      <c r="G1932" s="138"/>
      <c r="H1932" s="138"/>
    </row>
    <row r="1933" spans="3:8" x14ac:dyDescent="0.2">
      <c r="C1933" s="138"/>
      <c r="E1933" s="138"/>
      <c r="F1933" s="138"/>
      <c r="G1933" s="138"/>
      <c r="H1933" s="138"/>
    </row>
    <row r="1934" spans="3:8" x14ac:dyDescent="0.2">
      <c r="C1934" s="138"/>
      <c r="E1934" s="138"/>
      <c r="F1934" s="138"/>
      <c r="G1934" s="138"/>
      <c r="H1934" s="138"/>
    </row>
    <row r="1935" spans="3:8" x14ac:dyDescent="0.2">
      <c r="C1935" s="138"/>
      <c r="E1935" s="138"/>
      <c r="F1935" s="138"/>
      <c r="G1935" s="138"/>
      <c r="H1935" s="138"/>
    </row>
    <row r="1936" spans="3:8" x14ac:dyDescent="0.2">
      <c r="C1936" s="138"/>
      <c r="E1936" s="138"/>
      <c r="F1936" s="138"/>
      <c r="G1936" s="138"/>
      <c r="H1936" s="138"/>
    </row>
    <row r="1937" spans="3:8" x14ac:dyDescent="0.2">
      <c r="C1937" s="138"/>
      <c r="E1937" s="138"/>
      <c r="F1937" s="138"/>
      <c r="G1937" s="138"/>
      <c r="H1937" s="138"/>
    </row>
    <row r="1938" spans="3:8" x14ac:dyDescent="0.2">
      <c r="C1938" s="138"/>
      <c r="E1938" s="138"/>
      <c r="F1938" s="138"/>
      <c r="G1938" s="138"/>
      <c r="H1938" s="138"/>
    </row>
    <row r="1939" spans="3:8" x14ac:dyDescent="0.2">
      <c r="C1939" s="138"/>
      <c r="E1939" s="138"/>
      <c r="F1939" s="138"/>
      <c r="G1939" s="138"/>
      <c r="H1939" s="138"/>
    </row>
    <row r="1940" spans="3:8" x14ac:dyDescent="0.2">
      <c r="C1940" s="138"/>
      <c r="E1940" s="138"/>
      <c r="F1940" s="138"/>
      <c r="G1940" s="138"/>
      <c r="H1940" s="138"/>
    </row>
    <row r="1941" spans="3:8" x14ac:dyDescent="0.2">
      <c r="C1941" s="138"/>
      <c r="E1941" s="138"/>
      <c r="F1941" s="138"/>
      <c r="G1941" s="138"/>
      <c r="H1941" s="138"/>
    </row>
    <row r="1942" spans="3:8" x14ac:dyDescent="0.2">
      <c r="C1942" s="138"/>
      <c r="E1942" s="138"/>
      <c r="F1942" s="138"/>
      <c r="G1942" s="138"/>
      <c r="H1942" s="138"/>
    </row>
    <row r="1943" spans="3:8" x14ac:dyDescent="0.2">
      <c r="C1943" s="138"/>
      <c r="E1943" s="138"/>
      <c r="F1943" s="138"/>
      <c r="G1943" s="138"/>
      <c r="H1943" s="138"/>
    </row>
    <row r="1944" spans="3:8" x14ac:dyDescent="0.2">
      <c r="C1944" s="138"/>
      <c r="E1944" s="138"/>
      <c r="F1944" s="138"/>
      <c r="G1944" s="138"/>
      <c r="H1944" s="138"/>
    </row>
    <row r="1945" spans="3:8" x14ac:dyDescent="0.2">
      <c r="C1945" s="138"/>
      <c r="E1945" s="138"/>
      <c r="F1945" s="138"/>
      <c r="G1945" s="138"/>
      <c r="H1945" s="138"/>
    </row>
    <row r="1946" spans="3:8" x14ac:dyDescent="0.2">
      <c r="C1946" s="138"/>
      <c r="E1946" s="138"/>
      <c r="F1946" s="138"/>
      <c r="G1946" s="138"/>
      <c r="H1946" s="138"/>
    </row>
    <row r="1947" spans="3:8" x14ac:dyDescent="0.2">
      <c r="C1947" s="138"/>
      <c r="E1947" s="138"/>
      <c r="F1947" s="138"/>
      <c r="G1947" s="138"/>
      <c r="H1947" s="138"/>
    </row>
    <row r="1948" spans="3:8" x14ac:dyDescent="0.2">
      <c r="C1948" s="138"/>
      <c r="E1948" s="138"/>
      <c r="F1948" s="138"/>
      <c r="G1948" s="138"/>
      <c r="H1948" s="138"/>
    </row>
    <row r="1949" spans="3:8" x14ac:dyDescent="0.2">
      <c r="C1949" s="138"/>
      <c r="E1949" s="138"/>
      <c r="F1949" s="138"/>
      <c r="G1949" s="138"/>
      <c r="H1949" s="138"/>
    </row>
    <row r="1950" spans="3:8" x14ac:dyDescent="0.2">
      <c r="C1950" s="138"/>
      <c r="E1950" s="138"/>
      <c r="F1950" s="138"/>
      <c r="G1950" s="138"/>
      <c r="H1950" s="138"/>
    </row>
    <row r="1951" spans="3:8" x14ac:dyDescent="0.2">
      <c r="C1951" s="138"/>
      <c r="E1951" s="138"/>
      <c r="F1951" s="138"/>
      <c r="G1951" s="138"/>
      <c r="H1951" s="138"/>
    </row>
    <row r="1952" spans="3:8" x14ac:dyDescent="0.2">
      <c r="C1952" s="138"/>
      <c r="E1952" s="138"/>
      <c r="F1952" s="138"/>
      <c r="G1952" s="138"/>
      <c r="H1952" s="138"/>
    </row>
    <row r="1953" spans="3:8" x14ac:dyDescent="0.2">
      <c r="C1953" s="138"/>
      <c r="E1953" s="138"/>
      <c r="F1953" s="138"/>
      <c r="G1953" s="138"/>
      <c r="H1953" s="138"/>
    </row>
    <row r="1954" spans="3:8" x14ac:dyDescent="0.2">
      <c r="C1954" s="138"/>
      <c r="E1954" s="138"/>
      <c r="F1954" s="138"/>
      <c r="G1954" s="138"/>
      <c r="H1954" s="138"/>
    </row>
    <row r="1955" spans="3:8" x14ac:dyDescent="0.2">
      <c r="C1955" s="138"/>
      <c r="E1955" s="138"/>
      <c r="F1955" s="138"/>
      <c r="G1955" s="138"/>
      <c r="H1955" s="138"/>
    </row>
    <row r="1956" spans="3:8" x14ac:dyDescent="0.2">
      <c r="C1956" s="138"/>
      <c r="E1956" s="138"/>
      <c r="F1956" s="138"/>
      <c r="G1956" s="138"/>
      <c r="H1956" s="138"/>
    </row>
    <row r="1957" spans="3:8" x14ac:dyDescent="0.2">
      <c r="C1957" s="138"/>
      <c r="E1957" s="138"/>
      <c r="F1957" s="138"/>
      <c r="G1957" s="138"/>
      <c r="H1957" s="138"/>
    </row>
    <row r="1958" spans="3:8" x14ac:dyDescent="0.2">
      <c r="C1958" s="138"/>
      <c r="E1958" s="138"/>
      <c r="F1958" s="138"/>
      <c r="G1958" s="138"/>
      <c r="H1958" s="138"/>
    </row>
    <row r="1959" spans="3:8" x14ac:dyDescent="0.2">
      <c r="C1959" s="138"/>
      <c r="E1959" s="138"/>
      <c r="F1959" s="138"/>
      <c r="G1959" s="138"/>
      <c r="H1959" s="138"/>
    </row>
    <row r="1960" spans="3:8" x14ac:dyDescent="0.2">
      <c r="C1960" s="138"/>
      <c r="E1960" s="138"/>
      <c r="F1960" s="138"/>
      <c r="G1960" s="138"/>
      <c r="H1960" s="138"/>
    </row>
    <row r="1961" spans="3:8" x14ac:dyDescent="0.2">
      <c r="C1961" s="138"/>
      <c r="E1961" s="138"/>
      <c r="F1961" s="138"/>
      <c r="G1961" s="138"/>
      <c r="H1961" s="138"/>
    </row>
    <row r="1962" spans="3:8" x14ac:dyDescent="0.2">
      <c r="C1962" s="138"/>
      <c r="E1962" s="138"/>
      <c r="F1962" s="138"/>
      <c r="G1962" s="138"/>
      <c r="H1962" s="138"/>
    </row>
    <row r="1963" spans="3:8" x14ac:dyDescent="0.2">
      <c r="C1963" s="138"/>
      <c r="E1963" s="138"/>
      <c r="F1963" s="138"/>
      <c r="G1963" s="138"/>
      <c r="H1963" s="138"/>
    </row>
    <row r="1964" spans="3:8" x14ac:dyDescent="0.2">
      <c r="C1964" s="138"/>
      <c r="E1964" s="138"/>
      <c r="F1964" s="138"/>
      <c r="G1964" s="138"/>
      <c r="H1964" s="138"/>
    </row>
    <row r="1965" spans="3:8" x14ac:dyDescent="0.2">
      <c r="C1965" s="138"/>
      <c r="E1965" s="138"/>
      <c r="F1965" s="138"/>
      <c r="G1965" s="138"/>
      <c r="H1965" s="138"/>
    </row>
    <row r="1966" spans="3:8" x14ac:dyDescent="0.2">
      <c r="C1966" s="138"/>
      <c r="E1966" s="138"/>
      <c r="F1966" s="138"/>
      <c r="G1966" s="138"/>
      <c r="H1966" s="138"/>
    </row>
    <row r="1967" spans="3:8" x14ac:dyDescent="0.2">
      <c r="C1967" s="138"/>
      <c r="E1967" s="138"/>
      <c r="F1967" s="138"/>
      <c r="G1967" s="138"/>
      <c r="H1967" s="138"/>
    </row>
    <row r="1968" spans="3:8" x14ac:dyDescent="0.2">
      <c r="C1968" s="138"/>
      <c r="E1968" s="138"/>
      <c r="F1968" s="138"/>
      <c r="G1968" s="138"/>
      <c r="H1968" s="138"/>
    </row>
    <row r="1969" spans="3:8" x14ac:dyDescent="0.2">
      <c r="C1969" s="138"/>
      <c r="E1969" s="138"/>
      <c r="F1969" s="138"/>
      <c r="G1969" s="138"/>
      <c r="H1969" s="138"/>
    </row>
    <row r="1970" spans="3:8" x14ac:dyDescent="0.2">
      <c r="C1970" s="138"/>
      <c r="E1970" s="138"/>
      <c r="F1970" s="138"/>
      <c r="G1970" s="138"/>
      <c r="H1970" s="138"/>
    </row>
    <row r="1971" spans="3:8" x14ac:dyDescent="0.2">
      <c r="C1971" s="138"/>
      <c r="E1971" s="138"/>
      <c r="F1971" s="138"/>
      <c r="G1971" s="138"/>
      <c r="H1971" s="138"/>
    </row>
    <row r="1972" spans="3:8" x14ac:dyDescent="0.2">
      <c r="C1972" s="138"/>
      <c r="E1972" s="138"/>
      <c r="F1972" s="138"/>
      <c r="G1972" s="138"/>
      <c r="H1972" s="138"/>
    </row>
    <row r="1973" spans="3:8" x14ac:dyDescent="0.2">
      <c r="C1973" s="138"/>
      <c r="E1973" s="138"/>
      <c r="F1973" s="138"/>
      <c r="G1973" s="138"/>
      <c r="H1973" s="138"/>
    </row>
    <row r="1974" spans="3:8" x14ac:dyDescent="0.2">
      <c r="C1974" s="138"/>
      <c r="E1974" s="138"/>
      <c r="F1974" s="138"/>
      <c r="G1974" s="138"/>
      <c r="H1974" s="138"/>
    </row>
    <row r="1975" spans="3:8" x14ac:dyDescent="0.2">
      <c r="C1975" s="138"/>
      <c r="E1975" s="138"/>
      <c r="F1975" s="138"/>
      <c r="G1975" s="138"/>
      <c r="H1975" s="138"/>
    </row>
    <row r="1976" spans="3:8" x14ac:dyDescent="0.2">
      <c r="C1976" s="138"/>
      <c r="E1976" s="138"/>
      <c r="F1976" s="138"/>
      <c r="G1976" s="138"/>
      <c r="H1976" s="138"/>
    </row>
    <row r="1977" spans="3:8" x14ac:dyDescent="0.2">
      <c r="C1977" s="138"/>
      <c r="E1977" s="138"/>
      <c r="F1977" s="138"/>
      <c r="G1977" s="138"/>
      <c r="H1977" s="138"/>
    </row>
    <row r="1978" spans="3:8" x14ac:dyDescent="0.2">
      <c r="C1978" s="138"/>
      <c r="E1978" s="138"/>
      <c r="F1978" s="138"/>
      <c r="G1978" s="138"/>
      <c r="H1978" s="138"/>
    </row>
    <row r="1979" spans="3:8" x14ac:dyDescent="0.2">
      <c r="C1979" s="138"/>
      <c r="E1979" s="138"/>
      <c r="F1979" s="138"/>
      <c r="G1979" s="138"/>
      <c r="H1979" s="138"/>
    </row>
    <row r="1980" spans="3:8" x14ac:dyDescent="0.2">
      <c r="C1980" s="138"/>
      <c r="E1980" s="138"/>
      <c r="F1980" s="138"/>
      <c r="G1980" s="138"/>
      <c r="H1980" s="138"/>
    </row>
    <row r="1981" spans="3:8" x14ac:dyDescent="0.2">
      <c r="C1981" s="138"/>
      <c r="E1981" s="138"/>
      <c r="F1981" s="138"/>
      <c r="G1981" s="138"/>
      <c r="H1981" s="138"/>
    </row>
    <row r="1982" spans="3:8" x14ac:dyDescent="0.2">
      <c r="C1982" s="138"/>
      <c r="E1982" s="138"/>
      <c r="F1982" s="138"/>
      <c r="G1982" s="138"/>
      <c r="H1982" s="138"/>
    </row>
    <row r="1983" spans="3:8" x14ac:dyDescent="0.2">
      <c r="C1983" s="138"/>
      <c r="E1983" s="138"/>
      <c r="F1983" s="138"/>
      <c r="G1983" s="138"/>
      <c r="H1983" s="138"/>
    </row>
    <row r="1984" spans="3:8" x14ac:dyDescent="0.2">
      <c r="C1984" s="138"/>
      <c r="E1984" s="138"/>
      <c r="F1984" s="138"/>
      <c r="G1984" s="138"/>
      <c r="H1984" s="138"/>
    </row>
    <row r="1985" spans="3:8" x14ac:dyDescent="0.2">
      <c r="C1985" s="138"/>
      <c r="E1985" s="138"/>
      <c r="F1985" s="138"/>
      <c r="G1985" s="138"/>
      <c r="H1985" s="138"/>
    </row>
    <row r="1986" spans="3:8" x14ac:dyDescent="0.2">
      <c r="C1986" s="138"/>
      <c r="E1986" s="138"/>
      <c r="F1986" s="138"/>
      <c r="G1986" s="138"/>
      <c r="H1986" s="138"/>
    </row>
    <row r="1987" spans="3:8" x14ac:dyDescent="0.2">
      <c r="C1987" s="138"/>
      <c r="E1987" s="138"/>
      <c r="F1987" s="138"/>
      <c r="G1987" s="138"/>
      <c r="H1987" s="138"/>
    </row>
    <row r="1988" spans="3:8" x14ac:dyDescent="0.2">
      <c r="C1988" s="138"/>
      <c r="E1988" s="138"/>
      <c r="F1988" s="138"/>
      <c r="G1988" s="138"/>
      <c r="H1988" s="138"/>
    </row>
    <row r="1989" spans="3:8" x14ac:dyDescent="0.2">
      <c r="C1989" s="138"/>
      <c r="E1989" s="138"/>
      <c r="F1989" s="138"/>
      <c r="G1989" s="138"/>
      <c r="H1989" s="138"/>
    </row>
    <row r="1990" spans="3:8" x14ac:dyDescent="0.2">
      <c r="C1990" s="138"/>
      <c r="E1990" s="138"/>
      <c r="F1990" s="138"/>
      <c r="G1990" s="138"/>
      <c r="H1990" s="138"/>
    </row>
    <row r="1991" spans="3:8" x14ac:dyDescent="0.2">
      <c r="C1991" s="138"/>
      <c r="E1991" s="138"/>
      <c r="F1991" s="138"/>
      <c r="G1991" s="138"/>
      <c r="H1991" s="138"/>
    </row>
    <row r="1992" spans="3:8" x14ac:dyDescent="0.2">
      <c r="C1992" s="138"/>
      <c r="E1992" s="138"/>
      <c r="F1992" s="138"/>
      <c r="G1992" s="138"/>
      <c r="H1992" s="138"/>
    </row>
    <row r="1993" spans="3:8" x14ac:dyDescent="0.2">
      <c r="C1993" s="138"/>
      <c r="E1993" s="138"/>
      <c r="F1993" s="138"/>
      <c r="G1993" s="138"/>
      <c r="H1993" s="138"/>
    </row>
    <row r="1994" spans="3:8" x14ac:dyDescent="0.2">
      <c r="C1994" s="138"/>
      <c r="E1994" s="138"/>
      <c r="F1994" s="138"/>
      <c r="G1994" s="138"/>
      <c r="H1994" s="138"/>
    </row>
    <row r="1995" spans="3:8" x14ac:dyDescent="0.2">
      <c r="C1995" s="138"/>
      <c r="E1995" s="138"/>
      <c r="F1995" s="138"/>
      <c r="G1995" s="138"/>
      <c r="H1995" s="138"/>
    </row>
    <row r="1996" spans="3:8" x14ac:dyDescent="0.2">
      <c r="C1996" s="138"/>
      <c r="E1996" s="138"/>
      <c r="F1996" s="138"/>
      <c r="G1996" s="138"/>
      <c r="H1996" s="138"/>
    </row>
    <row r="1997" spans="3:8" x14ac:dyDescent="0.2">
      <c r="C1997" s="138"/>
      <c r="E1997" s="138"/>
      <c r="F1997" s="138"/>
      <c r="G1997" s="138"/>
      <c r="H1997" s="138"/>
    </row>
    <row r="1998" spans="3:8" x14ac:dyDescent="0.2">
      <c r="C1998" s="138"/>
      <c r="E1998" s="138"/>
      <c r="F1998" s="138"/>
      <c r="G1998" s="138"/>
      <c r="H1998" s="138"/>
    </row>
    <row r="1999" spans="3:8" x14ac:dyDescent="0.2">
      <c r="C1999" s="138"/>
      <c r="E1999" s="138"/>
      <c r="F1999" s="138"/>
      <c r="G1999" s="138"/>
      <c r="H1999" s="138"/>
    </row>
    <row r="2000" spans="3:8" x14ac:dyDescent="0.2">
      <c r="C2000" s="138"/>
      <c r="E2000" s="138"/>
      <c r="F2000" s="138"/>
      <c r="G2000" s="138"/>
      <c r="H2000" s="138"/>
    </row>
    <row r="2001" spans="3:8" x14ac:dyDescent="0.2">
      <c r="C2001" s="138"/>
      <c r="E2001" s="138"/>
      <c r="F2001" s="138"/>
      <c r="G2001" s="138"/>
      <c r="H2001" s="138"/>
    </row>
    <row r="2002" spans="3:8" x14ac:dyDescent="0.2">
      <c r="C2002" s="138"/>
      <c r="E2002" s="138"/>
      <c r="F2002" s="138"/>
      <c r="G2002" s="138"/>
      <c r="H2002" s="138"/>
    </row>
    <row r="2003" spans="3:8" x14ac:dyDescent="0.2">
      <c r="C2003" s="138"/>
      <c r="E2003" s="138"/>
      <c r="F2003" s="138"/>
      <c r="G2003" s="138"/>
      <c r="H2003" s="138"/>
    </row>
    <row r="2004" spans="3:8" x14ac:dyDescent="0.2">
      <c r="C2004" s="138"/>
      <c r="E2004" s="138"/>
      <c r="F2004" s="138"/>
      <c r="G2004" s="138"/>
      <c r="H2004" s="138"/>
    </row>
    <row r="2005" spans="3:8" x14ac:dyDescent="0.2">
      <c r="C2005" s="138"/>
      <c r="E2005" s="138"/>
      <c r="F2005" s="138"/>
      <c r="G2005" s="138"/>
      <c r="H2005" s="138"/>
    </row>
    <row r="2006" spans="3:8" x14ac:dyDescent="0.2">
      <c r="C2006" s="138"/>
      <c r="E2006" s="138"/>
      <c r="F2006" s="138"/>
      <c r="G2006" s="138"/>
      <c r="H2006" s="138"/>
    </row>
    <row r="2007" spans="3:8" x14ac:dyDescent="0.2">
      <c r="C2007" s="138"/>
      <c r="E2007" s="138"/>
      <c r="F2007" s="138"/>
      <c r="G2007" s="138"/>
      <c r="H2007" s="138"/>
    </row>
    <row r="2008" spans="3:8" x14ac:dyDescent="0.2">
      <c r="C2008" s="138"/>
      <c r="E2008" s="138"/>
      <c r="F2008" s="138"/>
      <c r="G2008" s="138"/>
      <c r="H2008" s="138"/>
    </row>
    <row r="2009" spans="3:8" x14ac:dyDescent="0.2">
      <c r="C2009" s="138"/>
      <c r="E2009" s="138"/>
      <c r="F2009" s="138"/>
      <c r="G2009" s="138"/>
      <c r="H2009" s="138"/>
    </row>
    <row r="2010" spans="3:8" x14ac:dyDescent="0.2">
      <c r="C2010" s="138"/>
      <c r="E2010" s="138"/>
      <c r="F2010" s="138"/>
      <c r="G2010" s="138"/>
      <c r="H2010" s="138"/>
    </row>
    <row r="2011" spans="3:8" x14ac:dyDescent="0.2">
      <c r="C2011" s="138"/>
      <c r="E2011" s="138"/>
      <c r="F2011" s="138"/>
      <c r="G2011" s="138"/>
      <c r="H2011" s="138"/>
    </row>
    <row r="2012" spans="3:8" x14ac:dyDescent="0.2">
      <c r="C2012" s="138"/>
      <c r="E2012" s="138"/>
      <c r="F2012" s="138"/>
      <c r="G2012" s="138"/>
      <c r="H2012" s="138"/>
    </row>
    <row r="2013" spans="3:8" x14ac:dyDescent="0.2">
      <c r="C2013" s="138"/>
      <c r="E2013" s="138"/>
      <c r="F2013" s="138"/>
      <c r="G2013" s="138"/>
      <c r="H2013" s="138"/>
    </row>
    <row r="2014" spans="3:8" x14ac:dyDescent="0.2">
      <c r="C2014" s="138"/>
      <c r="E2014" s="138"/>
      <c r="F2014" s="138"/>
      <c r="G2014" s="138"/>
      <c r="H2014" s="138"/>
    </row>
    <row r="2015" spans="3:8" x14ac:dyDescent="0.2">
      <c r="C2015" s="138"/>
      <c r="E2015" s="138"/>
      <c r="F2015" s="138"/>
      <c r="G2015" s="138"/>
      <c r="H2015" s="138"/>
    </row>
    <row r="2016" spans="3:8" x14ac:dyDescent="0.2">
      <c r="C2016" s="138"/>
      <c r="E2016" s="138"/>
      <c r="F2016" s="138"/>
      <c r="G2016" s="138"/>
      <c r="H2016" s="138"/>
    </row>
    <row r="2017" spans="3:8" x14ac:dyDescent="0.2">
      <c r="C2017" s="138"/>
      <c r="E2017" s="138"/>
      <c r="F2017" s="138"/>
      <c r="G2017" s="138"/>
      <c r="H2017" s="138"/>
    </row>
    <row r="2018" spans="3:8" x14ac:dyDescent="0.2">
      <c r="C2018" s="140"/>
      <c r="E2018" s="140"/>
      <c r="F2018" s="140"/>
      <c r="G2018" s="140"/>
      <c r="H2018" s="140"/>
    </row>
    <row r="2019" spans="3:8" x14ac:dyDescent="0.2">
      <c r="C2019" s="138"/>
      <c r="E2019" s="138"/>
      <c r="F2019" s="138"/>
      <c r="G2019" s="138"/>
      <c r="H2019" s="138"/>
    </row>
    <row r="2020" spans="3:8" x14ac:dyDescent="0.2">
      <c r="C2020" s="138"/>
      <c r="E2020" s="138"/>
      <c r="F2020" s="138"/>
      <c r="G2020" s="138"/>
      <c r="H2020" s="138"/>
    </row>
    <row r="2021" spans="3:8" x14ac:dyDescent="0.2">
      <c r="C2021" s="138"/>
      <c r="E2021" s="138"/>
      <c r="F2021" s="138"/>
      <c r="G2021" s="138"/>
      <c r="H2021" s="138"/>
    </row>
    <row r="2022" spans="3:8" x14ac:dyDescent="0.2">
      <c r="C2022" s="138"/>
      <c r="E2022" s="138"/>
      <c r="F2022" s="138"/>
      <c r="G2022" s="138"/>
      <c r="H2022" s="138"/>
    </row>
    <row r="2023" spans="3:8" x14ac:dyDescent="0.2">
      <c r="C2023" s="138"/>
      <c r="E2023" s="138"/>
      <c r="F2023" s="138"/>
      <c r="G2023" s="138"/>
      <c r="H2023" s="138"/>
    </row>
    <row r="2024" spans="3:8" x14ac:dyDescent="0.2">
      <c r="C2024" s="138"/>
      <c r="E2024" s="138"/>
      <c r="F2024" s="138"/>
      <c r="G2024" s="138"/>
      <c r="H2024" s="138"/>
    </row>
    <row r="2025" spans="3:8" x14ac:dyDescent="0.2">
      <c r="C2025" s="138"/>
      <c r="E2025" s="138"/>
      <c r="F2025" s="138"/>
      <c r="G2025" s="138"/>
      <c r="H2025" s="138"/>
    </row>
    <row r="2026" spans="3:8" x14ac:dyDescent="0.2">
      <c r="C2026" s="138"/>
      <c r="E2026" s="138"/>
      <c r="F2026" s="138"/>
      <c r="G2026" s="138"/>
      <c r="H2026" s="138"/>
    </row>
    <row r="2027" spans="3:8" x14ac:dyDescent="0.2">
      <c r="C2027" s="138"/>
      <c r="E2027" s="138"/>
      <c r="F2027" s="138"/>
      <c r="G2027" s="138"/>
      <c r="H2027" s="138"/>
    </row>
    <row r="2028" spans="3:8" x14ac:dyDescent="0.2">
      <c r="C2028" s="138"/>
      <c r="E2028" s="138"/>
      <c r="F2028" s="138"/>
      <c r="G2028" s="138"/>
      <c r="H2028" s="138"/>
    </row>
    <row r="2029" spans="3:8" x14ac:dyDescent="0.2">
      <c r="C2029" s="138"/>
      <c r="E2029" s="138"/>
      <c r="F2029" s="138"/>
      <c r="G2029" s="138"/>
      <c r="H2029" s="138"/>
    </row>
    <row r="2030" spans="3:8" x14ac:dyDescent="0.2">
      <c r="C2030" s="138"/>
      <c r="E2030" s="138"/>
      <c r="F2030" s="138"/>
      <c r="G2030" s="138"/>
      <c r="H2030" s="138"/>
    </row>
    <row r="2031" spans="3:8" x14ac:dyDescent="0.2">
      <c r="C2031" s="138"/>
      <c r="E2031" s="138"/>
      <c r="F2031" s="138"/>
      <c r="G2031" s="138"/>
      <c r="H2031" s="138"/>
    </row>
    <row r="2032" spans="3:8" x14ac:dyDescent="0.2">
      <c r="C2032" s="138"/>
      <c r="E2032" s="138"/>
      <c r="F2032" s="138"/>
      <c r="G2032" s="138"/>
      <c r="H2032" s="138"/>
    </row>
    <row r="2033" spans="3:8" x14ac:dyDescent="0.2">
      <c r="C2033" s="138"/>
      <c r="E2033" s="138"/>
      <c r="F2033" s="138"/>
      <c r="G2033" s="138"/>
      <c r="H2033" s="138"/>
    </row>
    <row r="2034" spans="3:8" x14ac:dyDescent="0.2">
      <c r="C2034" s="138"/>
      <c r="E2034" s="138"/>
      <c r="F2034" s="138"/>
      <c r="G2034" s="138"/>
      <c r="H2034" s="138"/>
    </row>
    <row r="2035" spans="3:8" x14ac:dyDescent="0.2">
      <c r="C2035" s="138"/>
      <c r="E2035" s="138"/>
      <c r="F2035" s="138"/>
      <c r="G2035" s="138"/>
      <c r="H2035" s="138"/>
    </row>
    <row r="2036" spans="3:8" x14ac:dyDescent="0.2">
      <c r="C2036" s="138"/>
      <c r="E2036" s="138"/>
      <c r="F2036" s="138"/>
      <c r="G2036" s="138"/>
      <c r="H2036" s="138"/>
    </row>
    <row r="2037" spans="3:8" x14ac:dyDescent="0.2">
      <c r="C2037" s="138"/>
      <c r="E2037" s="138"/>
      <c r="F2037" s="138"/>
      <c r="G2037" s="138"/>
      <c r="H2037" s="138"/>
    </row>
    <row r="2038" spans="3:8" x14ac:dyDescent="0.2">
      <c r="C2038" s="138"/>
      <c r="E2038" s="138"/>
      <c r="F2038" s="138"/>
      <c r="G2038" s="138"/>
      <c r="H2038" s="138"/>
    </row>
    <row r="2039" spans="3:8" x14ac:dyDescent="0.2">
      <c r="C2039" s="138"/>
      <c r="E2039" s="138"/>
      <c r="F2039" s="138"/>
      <c r="G2039" s="138"/>
      <c r="H2039" s="138"/>
    </row>
    <row r="2040" spans="3:8" x14ac:dyDescent="0.2">
      <c r="C2040" s="138"/>
      <c r="E2040" s="138"/>
      <c r="F2040" s="138"/>
      <c r="G2040" s="138"/>
      <c r="H2040" s="138"/>
    </row>
    <row r="2041" spans="3:8" x14ac:dyDescent="0.2">
      <c r="C2041" s="138"/>
      <c r="E2041" s="138"/>
      <c r="F2041" s="138"/>
      <c r="G2041" s="138"/>
      <c r="H2041" s="138"/>
    </row>
    <row r="2042" spans="3:8" x14ac:dyDescent="0.2">
      <c r="C2042" s="138"/>
      <c r="E2042" s="138"/>
      <c r="F2042" s="138"/>
      <c r="G2042" s="138"/>
      <c r="H2042" s="138"/>
    </row>
    <row r="2043" spans="3:8" x14ac:dyDescent="0.2">
      <c r="C2043" s="138"/>
      <c r="E2043" s="138"/>
      <c r="F2043" s="138"/>
      <c r="G2043" s="138"/>
      <c r="H2043" s="138"/>
    </row>
    <row r="2044" spans="3:8" x14ac:dyDescent="0.2">
      <c r="C2044" s="138"/>
      <c r="E2044" s="138"/>
      <c r="F2044" s="138"/>
      <c r="G2044" s="138"/>
      <c r="H2044" s="138"/>
    </row>
    <row r="2045" spans="3:8" x14ac:dyDescent="0.2">
      <c r="C2045" s="138"/>
      <c r="E2045" s="138"/>
      <c r="F2045" s="138"/>
      <c r="G2045" s="138"/>
      <c r="H2045" s="138"/>
    </row>
    <row r="2046" spans="3:8" x14ac:dyDescent="0.2">
      <c r="C2046" s="138"/>
      <c r="E2046" s="138"/>
      <c r="F2046" s="138"/>
      <c r="G2046" s="138"/>
      <c r="H2046" s="138"/>
    </row>
    <row r="2047" spans="3:8" x14ac:dyDescent="0.2">
      <c r="C2047" s="138"/>
      <c r="E2047" s="138"/>
      <c r="F2047" s="138"/>
      <c r="G2047" s="138"/>
      <c r="H2047" s="138"/>
    </row>
    <row r="2048" spans="3:8" x14ac:dyDescent="0.2">
      <c r="C2048" s="138"/>
      <c r="E2048" s="138"/>
      <c r="F2048" s="138"/>
      <c r="G2048" s="138"/>
      <c r="H2048" s="138"/>
    </row>
    <row r="2049" spans="3:8" x14ac:dyDescent="0.2">
      <c r="C2049" s="138"/>
      <c r="E2049" s="138"/>
      <c r="F2049" s="138"/>
      <c r="G2049" s="138"/>
      <c r="H2049" s="138"/>
    </row>
    <row r="2050" spans="3:8" x14ac:dyDescent="0.2">
      <c r="C2050" s="138"/>
      <c r="E2050" s="138"/>
      <c r="F2050" s="138"/>
      <c r="G2050" s="138"/>
      <c r="H2050" s="138"/>
    </row>
    <row r="2051" spans="3:8" x14ac:dyDescent="0.2">
      <c r="C2051" s="138"/>
      <c r="E2051" s="138"/>
      <c r="F2051" s="138"/>
      <c r="G2051" s="138"/>
      <c r="H2051" s="138"/>
    </row>
    <row r="2052" spans="3:8" x14ac:dyDescent="0.2">
      <c r="C2052" s="138"/>
      <c r="E2052" s="138"/>
      <c r="F2052" s="138"/>
      <c r="G2052" s="138"/>
      <c r="H2052" s="138"/>
    </row>
    <row r="2053" spans="3:8" x14ac:dyDescent="0.2">
      <c r="C2053" s="138"/>
      <c r="E2053" s="138"/>
      <c r="F2053" s="138"/>
      <c r="G2053" s="138"/>
      <c r="H2053" s="138"/>
    </row>
    <row r="2054" spans="3:8" x14ac:dyDescent="0.2">
      <c r="C2054" s="138"/>
      <c r="E2054" s="138"/>
      <c r="F2054" s="138"/>
      <c r="G2054" s="138"/>
      <c r="H2054" s="138"/>
    </row>
    <row r="2055" spans="3:8" x14ac:dyDescent="0.2">
      <c r="C2055" s="138"/>
      <c r="E2055" s="138"/>
      <c r="F2055" s="138"/>
      <c r="G2055" s="138"/>
      <c r="H2055" s="138"/>
    </row>
    <row r="2056" spans="3:8" x14ac:dyDescent="0.2">
      <c r="C2056" s="138"/>
      <c r="E2056" s="138"/>
      <c r="F2056" s="138"/>
      <c r="G2056" s="138"/>
      <c r="H2056" s="138"/>
    </row>
    <row r="2057" spans="3:8" x14ac:dyDescent="0.2">
      <c r="C2057" s="138"/>
      <c r="E2057" s="138"/>
      <c r="F2057" s="138"/>
      <c r="G2057" s="138"/>
      <c r="H2057" s="138"/>
    </row>
    <row r="2058" spans="3:8" x14ac:dyDescent="0.2">
      <c r="C2058" s="138"/>
      <c r="E2058" s="138"/>
      <c r="F2058" s="138"/>
      <c r="G2058" s="138"/>
      <c r="H2058" s="138"/>
    </row>
    <row r="2059" spans="3:8" x14ac:dyDescent="0.2">
      <c r="C2059" s="138"/>
      <c r="E2059" s="138"/>
      <c r="F2059" s="138"/>
      <c r="G2059" s="138"/>
      <c r="H2059" s="138"/>
    </row>
    <row r="2060" spans="3:8" x14ac:dyDescent="0.2">
      <c r="C2060" s="138"/>
      <c r="E2060" s="138"/>
      <c r="F2060" s="138"/>
      <c r="G2060" s="138"/>
      <c r="H2060" s="138"/>
    </row>
    <row r="2061" spans="3:8" x14ac:dyDescent="0.2">
      <c r="C2061" s="138"/>
      <c r="E2061" s="138"/>
      <c r="F2061" s="138"/>
      <c r="G2061" s="138"/>
      <c r="H2061" s="138"/>
    </row>
    <row r="2062" spans="3:8" x14ac:dyDescent="0.2">
      <c r="C2062" s="138"/>
      <c r="E2062" s="138"/>
      <c r="F2062" s="138"/>
      <c r="G2062" s="138"/>
      <c r="H2062" s="138"/>
    </row>
    <row r="2063" spans="3:8" x14ac:dyDescent="0.2">
      <c r="C2063" s="138"/>
      <c r="E2063" s="138"/>
      <c r="F2063" s="138"/>
      <c r="G2063" s="138"/>
      <c r="H2063" s="138"/>
    </row>
    <row r="2064" spans="3:8" x14ac:dyDescent="0.2">
      <c r="C2064" s="138"/>
      <c r="E2064" s="138"/>
      <c r="F2064" s="138"/>
      <c r="G2064" s="138"/>
      <c r="H2064" s="138"/>
    </row>
    <row r="2065" spans="3:8" x14ac:dyDescent="0.2">
      <c r="C2065" s="138"/>
      <c r="E2065" s="138"/>
      <c r="F2065" s="138"/>
      <c r="G2065" s="138"/>
      <c r="H2065" s="138"/>
    </row>
    <row r="2066" spans="3:8" x14ac:dyDescent="0.2">
      <c r="C2066" s="138"/>
      <c r="E2066" s="138"/>
      <c r="F2066" s="138"/>
      <c r="G2066" s="138"/>
      <c r="H2066" s="138"/>
    </row>
    <row r="2067" spans="3:8" x14ac:dyDescent="0.2">
      <c r="C2067" s="138"/>
      <c r="E2067" s="138"/>
      <c r="F2067" s="138"/>
      <c r="G2067" s="138"/>
      <c r="H2067" s="138"/>
    </row>
    <row r="2068" spans="3:8" x14ac:dyDescent="0.2">
      <c r="C2068" s="138"/>
      <c r="E2068" s="138"/>
      <c r="F2068" s="138"/>
      <c r="G2068" s="138"/>
      <c r="H2068" s="138"/>
    </row>
    <row r="2069" spans="3:8" x14ac:dyDescent="0.2">
      <c r="C2069" s="138"/>
      <c r="E2069" s="138"/>
      <c r="F2069" s="138"/>
      <c r="G2069" s="138"/>
      <c r="H2069" s="138"/>
    </row>
    <row r="2070" spans="3:8" x14ac:dyDescent="0.2">
      <c r="C2070" s="138"/>
      <c r="E2070" s="138"/>
      <c r="F2070" s="138"/>
      <c r="G2070" s="138"/>
      <c r="H2070" s="138"/>
    </row>
    <row r="2071" spans="3:8" x14ac:dyDescent="0.2">
      <c r="C2071" s="138"/>
      <c r="E2071" s="138"/>
      <c r="F2071" s="138"/>
      <c r="G2071" s="138"/>
      <c r="H2071" s="138"/>
    </row>
    <row r="2072" spans="3:8" x14ac:dyDescent="0.2">
      <c r="C2072" s="138"/>
      <c r="E2072" s="138"/>
      <c r="F2072" s="138"/>
      <c r="G2072" s="138"/>
      <c r="H2072" s="138"/>
    </row>
    <row r="2073" spans="3:8" x14ac:dyDescent="0.2">
      <c r="C2073" s="138"/>
      <c r="E2073" s="138"/>
      <c r="F2073" s="138"/>
      <c r="G2073" s="138"/>
      <c r="H2073" s="138"/>
    </row>
    <row r="2074" spans="3:8" x14ac:dyDescent="0.2">
      <c r="C2074" s="138"/>
      <c r="E2074" s="138"/>
      <c r="F2074" s="138"/>
      <c r="G2074" s="138"/>
      <c r="H2074" s="138"/>
    </row>
    <row r="2075" spans="3:8" x14ac:dyDescent="0.2">
      <c r="C2075" s="138"/>
      <c r="E2075" s="138"/>
      <c r="F2075" s="138"/>
      <c r="G2075" s="138"/>
      <c r="H2075" s="138"/>
    </row>
    <row r="2076" spans="3:8" x14ac:dyDescent="0.2">
      <c r="C2076" s="138"/>
      <c r="E2076" s="138"/>
      <c r="F2076" s="138"/>
      <c r="G2076" s="138"/>
      <c r="H2076" s="138"/>
    </row>
    <row r="2077" spans="3:8" x14ac:dyDescent="0.2">
      <c r="C2077" s="138"/>
      <c r="E2077" s="138"/>
      <c r="F2077" s="138"/>
      <c r="G2077" s="138"/>
      <c r="H2077" s="138"/>
    </row>
    <row r="2078" spans="3:8" x14ac:dyDescent="0.2">
      <c r="C2078" s="138"/>
      <c r="E2078" s="138"/>
      <c r="F2078" s="138"/>
      <c r="G2078" s="138"/>
      <c r="H2078" s="138"/>
    </row>
    <row r="2079" spans="3:8" x14ac:dyDescent="0.2">
      <c r="C2079" s="138"/>
      <c r="E2079" s="138"/>
      <c r="F2079" s="138"/>
      <c r="G2079" s="138"/>
      <c r="H2079" s="138"/>
    </row>
    <row r="2080" spans="3:8" x14ac:dyDescent="0.2">
      <c r="C2080" s="138"/>
      <c r="E2080" s="138"/>
      <c r="F2080" s="138"/>
      <c r="G2080" s="138"/>
      <c r="H2080" s="138"/>
    </row>
    <row r="2081" spans="3:8" x14ac:dyDescent="0.2">
      <c r="C2081" s="138"/>
      <c r="E2081" s="138"/>
      <c r="F2081" s="138"/>
      <c r="G2081" s="138"/>
      <c r="H2081" s="138"/>
    </row>
    <row r="2082" spans="3:8" x14ac:dyDescent="0.2">
      <c r="C2082" s="138"/>
      <c r="E2082" s="138"/>
      <c r="F2082" s="138"/>
      <c r="G2082" s="138"/>
      <c r="H2082" s="138"/>
    </row>
    <row r="2083" spans="3:8" x14ac:dyDescent="0.2">
      <c r="C2083" s="138"/>
      <c r="E2083" s="138"/>
      <c r="F2083" s="138"/>
      <c r="G2083" s="138"/>
      <c r="H2083" s="138"/>
    </row>
    <row r="2084" spans="3:8" x14ac:dyDescent="0.2">
      <c r="C2084" s="138"/>
      <c r="E2084" s="138"/>
      <c r="F2084" s="138"/>
      <c r="G2084" s="138"/>
      <c r="H2084" s="138"/>
    </row>
    <row r="2085" spans="3:8" x14ac:dyDescent="0.2">
      <c r="C2085" s="138"/>
      <c r="E2085" s="138"/>
      <c r="F2085" s="138"/>
      <c r="G2085" s="138"/>
      <c r="H2085" s="138"/>
    </row>
    <row r="2086" spans="3:8" x14ac:dyDescent="0.2">
      <c r="C2086" s="138"/>
      <c r="E2086" s="138"/>
      <c r="F2086" s="138"/>
      <c r="G2086" s="138"/>
      <c r="H2086" s="138"/>
    </row>
    <row r="2087" spans="3:8" x14ac:dyDescent="0.2">
      <c r="C2087" s="138"/>
      <c r="E2087" s="138"/>
      <c r="F2087" s="138"/>
      <c r="G2087" s="138"/>
      <c r="H2087" s="138"/>
    </row>
    <row r="2088" spans="3:8" x14ac:dyDescent="0.2">
      <c r="C2088" s="138"/>
      <c r="E2088" s="138"/>
      <c r="F2088" s="138"/>
      <c r="G2088" s="138"/>
      <c r="H2088" s="138"/>
    </row>
    <row r="2089" spans="3:8" x14ac:dyDescent="0.2">
      <c r="C2089" s="138"/>
      <c r="E2089" s="138"/>
      <c r="F2089" s="138"/>
      <c r="G2089" s="138"/>
      <c r="H2089" s="138"/>
    </row>
    <row r="2090" spans="3:8" x14ac:dyDescent="0.2">
      <c r="C2090" s="138"/>
      <c r="E2090" s="138"/>
      <c r="F2090" s="138"/>
      <c r="G2090" s="138"/>
      <c r="H2090" s="138"/>
    </row>
    <row r="2091" spans="3:8" x14ac:dyDescent="0.2">
      <c r="C2091" s="138"/>
      <c r="E2091" s="138"/>
      <c r="F2091" s="138"/>
      <c r="G2091" s="138"/>
      <c r="H2091" s="138"/>
    </row>
    <row r="2092" spans="3:8" x14ac:dyDescent="0.2">
      <c r="C2092" s="138"/>
      <c r="E2092" s="138"/>
      <c r="F2092" s="138"/>
      <c r="G2092" s="138"/>
      <c r="H2092" s="138"/>
    </row>
    <row r="2093" spans="3:8" x14ac:dyDescent="0.2">
      <c r="C2093" s="138"/>
      <c r="E2093" s="138"/>
      <c r="F2093" s="138"/>
      <c r="G2093" s="138"/>
      <c r="H2093" s="138"/>
    </row>
    <row r="2094" spans="3:8" x14ac:dyDescent="0.2">
      <c r="C2094" s="138"/>
      <c r="E2094" s="138"/>
      <c r="F2094" s="138"/>
      <c r="G2094" s="138"/>
      <c r="H2094" s="138"/>
    </row>
    <row r="2095" spans="3:8" x14ac:dyDescent="0.2">
      <c r="C2095" s="138"/>
      <c r="E2095" s="138"/>
      <c r="F2095" s="138"/>
      <c r="G2095" s="138"/>
      <c r="H2095" s="138"/>
    </row>
    <row r="2096" spans="3:8" x14ac:dyDescent="0.2">
      <c r="C2096" s="138"/>
      <c r="E2096" s="138"/>
      <c r="F2096" s="138"/>
      <c r="G2096" s="138"/>
      <c r="H2096" s="138"/>
    </row>
    <row r="2097" spans="3:8" x14ac:dyDescent="0.2">
      <c r="C2097" s="138"/>
      <c r="E2097" s="138"/>
      <c r="F2097" s="138"/>
      <c r="G2097" s="138"/>
      <c r="H2097" s="138"/>
    </row>
    <row r="2098" spans="3:8" x14ac:dyDescent="0.2">
      <c r="C2098" s="138"/>
      <c r="E2098" s="138"/>
      <c r="F2098" s="138"/>
      <c r="G2098" s="138"/>
      <c r="H2098" s="138"/>
    </row>
    <row r="2099" spans="3:8" x14ac:dyDescent="0.2">
      <c r="C2099" s="138"/>
      <c r="E2099" s="138"/>
      <c r="F2099" s="138"/>
      <c r="G2099" s="138"/>
      <c r="H2099" s="138"/>
    </row>
    <row r="2100" spans="3:8" x14ac:dyDescent="0.2">
      <c r="C2100" s="138"/>
      <c r="E2100" s="138"/>
      <c r="F2100" s="138"/>
      <c r="G2100" s="138"/>
      <c r="H2100" s="138"/>
    </row>
    <row r="2101" spans="3:8" x14ac:dyDescent="0.2">
      <c r="C2101" s="138"/>
      <c r="E2101" s="138"/>
      <c r="F2101" s="138"/>
      <c r="G2101" s="138"/>
      <c r="H2101" s="138"/>
    </row>
    <row r="2102" spans="3:8" x14ac:dyDescent="0.2">
      <c r="C2102" s="138"/>
      <c r="E2102" s="138"/>
      <c r="F2102" s="138"/>
      <c r="G2102" s="138"/>
      <c r="H2102" s="138"/>
    </row>
    <row r="2103" spans="3:8" x14ac:dyDescent="0.2">
      <c r="C2103" s="138"/>
      <c r="E2103" s="138"/>
      <c r="F2103" s="138"/>
      <c r="G2103" s="138"/>
      <c r="H2103" s="138"/>
    </row>
    <row r="2104" spans="3:8" x14ac:dyDescent="0.2">
      <c r="C2104" s="138"/>
      <c r="E2104" s="138"/>
      <c r="F2104" s="138"/>
      <c r="G2104" s="138"/>
      <c r="H2104" s="138"/>
    </row>
    <row r="2105" spans="3:8" x14ac:dyDescent="0.2">
      <c r="C2105" s="138"/>
      <c r="E2105" s="138"/>
      <c r="F2105" s="138"/>
      <c r="G2105" s="138"/>
      <c r="H2105" s="138"/>
    </row>
    <row r="2106" spans="3:8" x14ac:dyDescent="0.2">
      <c r="C2106" s="138"/>
      <c r="E2106" s="138"/>
      <c r="F2106" s="138"/>
      <c r="G2106" s="138"/>
      <c r="H2106" s="138"/>
    </row>
    <row r="2107" spans="3:8" x14ac:dyDescent="0.2">
      <c r="C2107" s="138"/>
      <c r="E2107" s="138"/>
      <c r="F2107" s="138"/>
      <c r="G2107" s="138"/>
      <c r="H2107" s="138"/>
    </row>
    <row r="2108" spans="3:8" x14ac:dyDescent="0.2">
      <c r="C2108" s="138"/>
      <c r="E2108" s="138"/>
      <c r="F2108" s="138"/>
      <c r="G2108" s="138"/>
      <c r="H2108" s="138"/>
    </row>
    <row r="2109" spans="3:8" x14ac:dyDescent="0.2">
      <c r="C2109" s="138"/>
      <c r="E2109" s="138"/>
      <c r="F2109" s="138"/>
      <c r="G2109" s="138"/>
      <c r="H2109" s="138"/>
    </row>
    <row r="2110" spans="3:8" x14ac:dyDescent="0.2">
      <c r="C2110" s="138"/>
      <c r="E2110" s="138"/>
      <c r="F2110" s="138"/>
      <c r="G2110" s="138"/>
      <c r="H2110" s="138"/>
    </row>
    <row r="2111" spans="3:8" x14ac:dyDescent="0.2">
      <c r="C2111" s="138"/>
      <c r="E2111" s="138"/>
      <c r="F2111" s="138"/>
      <c r="G2111" s="138"/>
      <c r="H2111" s="138"/>
    </row>
    <row r="2112" spans="3:8" x14ac:dyDescent="0.2">
      <c r="C2112" s="138"/>
      <c r="E2112" s="138"/>
      <c r="F2112" s="138"/>
      <c r="G2112" s="138"/>
      <c r="H2112" s="138"/>
    </row>
    <row r="2113" spans="3:8" x14ac:dyDescent="0.2">
      <c r="C2113" s="138"/>
      <c r="E2113" s="138"/>
      <c r="F2113" s="138"/>
      <c r="G2113" s="138"/>
      <c r="H2113" s="138"/>
    </row>
    <row r="2114" spans="3:8" x14ac:dyDescent="0.2">
      <c r="C2114" s="138"/>
      <c r="E2114" s="138"/>
      <c r="F2114" s="138"/>
      <c r="G2114" s="138"/>
      <c r="H2114" s="138"/>
    </row>
    <row r="2115" spans="3:8" x14ac:dyDescent="0.2">
      <c r="C2115" s="138"/>
      <c r="E2115" s="138"/>
      <c r="F2115" s="138"/>
      <c r="G2115" s="138"/>
      <c r="H2115" s="138"/>
    </row>
    <row r="2116" spans="3:8" x14ac:dyDescent="0.2">
      <c r="C2116" s="138"/>
      <c r="E2116" s="138"/>
      <c r="F2116" s="138"/>
      <c r="G2116" s="138"/>
      <c r="H2116" s="138"/>
    </row>
    <row r="2117" spans="3:8" x14ac:dyDescent="0.2">
      <c r="C2117" s="138"/>
      <c r="E2117" s="138"/>
      <c r="F2117" s="138"/>
      <c r="G2117" s="138"/>
      <c r="H2117" s="138"/>
    </row>
    <row r="2118" spans="3:8" x14ac:dyDescent="0.2">
      <c r="C2118" s="138"/>
      <c r="E2118" s="138"/>
      <c r="F2118" s="138"/>
      <c r="G2118" s="138"/>
      <c r="H2118" s="138"/>
    </row>
    <row r="2119" spans="3:8" x14ac:dyDescent="0.2">
      <c r="C2119" s="138"/>
      <c r="E2119" s="138"/>
      <c r="F2119" s="138"/>
      <c r="G2119" s="138"/>
      <c r="H2119" s="138"/>
    </row>
    <row r="2120" spans="3:8" x14ac:dyDescent="0.2">
      <c r="C2120" s="138"/>
      <c r="D2120" s="138"/>
      <c r="E2120" s="138"/>
      <c r="F2120" s="138"/>
      <c r="G2120" s="138"/>
      <c r="H2120" s="138"/>
    </row>
    <row r="2121" spans="3:8" x14ac:dyDescent="0.2">
      <c r="C2121" s="138"/>
      <c r="D2121" s="138"/>
      <c r="E2121" s="138"/>
      <c r="F2121" s="138"/>
      <c r="G2121" s="138"/>
      <c r="H2121" s="138"/>
    </row>
    <row r="2122" spans="3:8" x14ac:dyDescent="0.2">
      <c r="C2122" s="138"/>
      <c r="D2122" s="138"/>
      <c r="E2122" s="138"/>
      <c r="F2122" s="138"/>
      <c r="G2122" s="138"/>
      <c r="H2122" s="138"/>
    </row>
    <row r="2123" spans="3:8" x14ac:dyDescent="0.2">
      <c r="C2123" s="138"/>
      <c r="D2123" s="138"/>
      <c r="E2123" s="138"/>
      <c r="F2123" s="138"/>
      <c r="G2123" s="138"/>
      <c r="H2123" s="138"/>
    </row>
    <row r="2124" spans="3:8" x14ac:dyDescent="0.2">
      <c r="C2124" s="138"/>
      <c r="D2124" s="138"/>
      <c r="E2124" s="138"/>
      <c r="F2124" s="138"/>
      <c r="G2124" s="138"/>
      <c r="H2124" s="138"/>
    </row>
    <row r="2125" spans="3:8" x14ac:dyDescent="0.2">
      <c r="C2125" s="138"/>
      <c r="D2125" s="138"/>
      <c r="E2125" s="138"/>
      <c r="F2125" s="138"/>
      <c r="G2125" s="138"/>
      <c r="H2125" s="138"/>
    </row>
    <row r="2126" spans="3:8" x14ac:dyDescent="0.2">
      <c r="C2126" s="138"/>
      <c r="D2126" s="138"/>
      <c r="E2126" s="138"/>
      <c r="F2126" s="138"/>
      <c r="G2126" s="138"/>
      <c r="H2126" s="138"/>
    </row>
    <row r="2127" spans="3:8" x14ac:dyDescent="0.2">
      <c r="C2127" s="138"/>
      <c r="D2127" s="138"/>
      <c r="E2127" s="138"/>
      <c r="F2127" s="138"/>
      <c r="G2127" s="138"/>
      <c r="H2127" s="138"/>
    </row>
    <row r="2128" spans="3:8" x14ac:dyDescent="0.2">
      <c r="C2128" s="138"/>
      <c r="D2128" s="138"/>
      <c r="E2128" s="138"/>
      <c r="F2128" s="138"/>
      <c r="G2128" s="138"/>
      <c r="H2128" s="138"/>
    </row>
    <row r="2129" spans="3:8" x14ac:dyDescent="0.2">
      <c r="C2129" s="138"/>
      <c r="D2129" s="138"/>
      <c r="E2129" s="138"/>
      <c r="F2129" s="138"/>
      <c r="G2129" s="138"/>
      <c r="H2129" s="138"/>
    </row>
    <row r="2130" spans="3:8" x14ac:dyDescent="0.2">
      <c r="C2130" s="138"/>
      <c r="D2130" s="138"/>
      <c r="E2130" s="138"/>
      <c r="F2130" s="138"/>
      <c r="G2130" s="138"/>
      <c r="H2130" s="138"/>
    </row>
    <row r="2131" spans="3:8" x14ac:dyDescent="0.2">
      <c r="C2131" s="138"/>
      <c r="D2131" s="138"/>
      <c r="E2131" s="138"/>
      <c r="F2131" s="138"/>
      <c r="G2131" s="138"/>
      <c r="H2131" s="138"/>
    </row>
    <row r="2132" spans="3:8" x14ac:dyDescent="0.2">
      <c r="C2132" s="138"/>
      <c r="D2132" s="138"/>
      <c r="E2132" s="138"/>
      <c r="F2132" s="138"/>
      <c r="G2132" s="138"/>
      <c r="H2132" s="138"/>
    </row>
    <row r="2133" spans="3:8" x14ac:dyDescent="0.2">
      <c r="C2133" s="138"/>
      <c r="D2133" s="138"/>
      <c r="E2133" s="138"/>
      <c r="F2133" s="138"/>
      <c r="G2133" s="138"/>
      <c r="H2133" s="138"/>
    </row>
    <row r="2134" spans="3:8" x14ac:dyDescent="0.2">
      <c r="C2134" s="138"/>
      <c r="D2134" s="138"/>
      <c r="E2134" s="138"/>
      <c r="F2134" s="138"/>
      <c r="G2134" s="138"/>
      <c r="H2134" s="138"/>
    </row>
    <row r="2135" spans="3:8" x14ac:dyDescent="0.2">
      <c r="C2135" s="138"/>
      <c r="D2135" s="138"/>
      <c r="E2135" s="138"/>
      <c r="F2135" s="138"/>
      <c r="G2135" s="138"/>
      <c r="H2135" s="138"/>
    </row>
    <row r="2136" spans="3:8" x14ac:dyDescent="0.2">
      <c r="C2136" s="138"/>
      <c r="D2136" s="138"/>
      <c r="E2136" s="138"/>
      <c r="F2136" s="138"/>
      <c r="G2136" s="138"/>
      <c r="H2136" s="138"/>
    </row>
    <row r="2137" spans="3:8" x14ac:dyDescent="0.2">
      <c r="C2137" s="138"/>
      <c r="D2137" s="138"/>
      <c r="E2137" s="138"/>
      <c r="F2137" s="138"/>
      <c r="G2137" s="138"/>
      <c r="H2137" s="138"/>
    </row>
    <row r="2138" spans="3:8" x14ac:dyDescent="0.2">
      <c r="C2138" s="138"/>
      <c r="D2138" s="138"/>
      <c r="E2138" s="138"/>
      <c r="F2138" s="138"/>
      <c r="G2138" s="138"/>
      <c r="H2138" s="138"/>
    </row>
    <row r="2139" spans="3:8" x14ac:dyDescent="0.2">
      <c r="C2139" s="138"/>
      <c r="D2139" s="138"/>
      <c r="E2139" s="138"/>
      <c r="F2139" s="138"/>
      <c r="G2139" s="138"/>
      <c r="H2139" s="138"/>
    </row>
    <row r="2140" spans="3:8" x14ac:dyDescent="0.2">
      <c r="C2140" s="138"/>
      <c r="D2140" s="138"/>
      <c r="E2140" s="138"/>
      <c r="F2140" s="138"/>
      <c r="G2140" s="138"/>
      <c r="H2140" s="138"/>
    </row>
    <row r="2141" spans="3:8" x14ac:dyDescent="0.2">
      <c r="C2141" s="138"/>
      <c r="D2141" s="138"/>
      <c r="E2141" s="138"/>
      <c r="F2141" s="138"/>
      <c r="G2141" s="138"/>
      <c r="H2141" s="138"/>
    </row>
    <row r="2142" spans="3:8" x14ac:dyDescent="0.2">
      <c r="C2142" s="138"/>
      <c r="D2142" s="138"/>
      <c r="E2142" s="138"/>
      <c r="F2142" s="138"/>
      <c r="G2142" s="138"/>
      <c r="H2142" s="138"/>
    </row>
    <row r="2143" spans="3:8" x14ac:dyDescent="0.2">
      <c r="C2143" s="138"/>
      <c r="D2143" s="138"/>
      <c r="E2143" s="138"/>
      <c r="F2143" s="138"/>
      <c r="G2143" s="138"/>
      <c r="H2143" s="138"/>
    </row>
    <row r="2144" spans="3:8" x14ac:dyDescent="0.2">
      <c r="C2144" s="138"/>
      <c r="D2144" s="138"/>
      <c r="E2144" s="138"/>
      <c r="F2144" s="138"/>
      <c r="G2144" s="138"/>
      <c r="H2144" s="138"/>
    </row>
    <row r="2145" spans="3:8" x14ac:dyDescent="0.2">
      <c r="C2145" s="138"/>
      <c r="D2145" s="138"/>
      <c r="E2145" s="138"/>
      <c r="F2145" s="138"/>
      <c r="G2145" s="138"/>
      <c r="H2145" s="138"/>
    </row>
    <row r="2146" spans="3:8" x14ac:dyDescent="0.2">
      <c r="C2146" s="138"/>
      <c r="D2146" s="138"/>
      <c r="E2146" s="138"/>
      <c r="F2146" s="138"/>
      <c r="G2146" s="138"/>
      <c r="H2146" s="138"/>
    </row>
    <row r="2147" spans="3:8" x14ac:dyDescent="0.2">
      <c r="C2147" s="138"/>
      <c r="D2147" s="138"/>
      <c r="E2147" s="138"/>
      <c r="F2147" s="138"/>
      <c r="G2147" s="138"/>
      <c r="H2147" s="138"/>
    </row>
    <row r="2148" spans="3:8" x14ac:dyDescent="0.2">
      <c r="C2148" s="138"/>
      <c r="D2148" s="138"/>
      <c r="E2148" s="138"/>
      <c r="F2148" s="138"/>
      <c r="G2148" s="138"/>
      <c r="H2148" s="138"/>
    </row>
    <row r="2149" spans="3:8" x14ac:dyDescent="0.2">
      <c r="C2149" s="138"/>
      <c r="D2149" s="138"/>
      <c r="E2149" s="138"/>
      <c r="F2149" s="138"/>
      <c r="G2149" s="138"/>
      <c r="H2149" s="138"/>
    </row>
    <row r="2150" spans="3:8" x14ac:dyDescent="0.2">
      <c r="C2150" s="138"/>
      <c r="D2150" s="138"/>
      <c r="E2150" s="138"/>
      <c r="F2150" s="138"/>
      <c r="G2150" s="138"/>
      <c r="H2150" s="138"/>
    </row>
    <row r="2151" spans="3:8" x14ac:dyDescent="0.2">
      <c r="C2151" s="138"/>
      <c r="D2151" s="138"/>
      <c r="E2151" s="138"/>
      <c r="F2151" s="138"/>
      <c r="G2151" s="138"/>
      <c r="H2151" s="138"/>
    </row>
    <row r="2152" spans="3:8" x14ac:dyDescent="0.2">
      <c r="C2152" s="138"/>
      <c r="D2152" s="138"/>
      <c r="E2152" s="138"/>
      <c r="F2152" s="138"/>
      <c r="G2152" s="138"/>
      <c r="H2152" s="138"/>
    </row>
    <row r="2153" spans="3:8" x14ac:dyDescent="0.2">
      <c r="C2153" s="138"/>
      <c r="D2153" s="138"/>
      <c r="E2153" s="138"/>
      <c r="F2153" s="138"/>
      <c r="G2153" s="138"/>
      <c r="H2153" s="138"/>
    </row>
    <row r="2154" spans="3:8" x14ac:dyDescent="0.2">
      <c r="C2154" s="138"/>
      <c r="D2154" s="138"/>
      <c r="E2154" s="138"/>
      <c r="F2154" s="138"/>
      <c r="G2154" s="138"/>
      <c r="H2154" s="138"/>
    </row>
    <row r="2155" spans="3:8" x14ac:dyDescent="0.2">
      <c r="C2155" s="138"/>
      <c r="D2155" s="138"/>
      <c r="E2155" s="138"/>
      <c r="F2155" s="138"/>
      <c r="G2155" s="138"/>
      <c r="H2155" s="138"/>
    </row>
    <row r="2156" spans="3:8" x14ac:dyDescent="0.2">
      <c r="C2156" s="138"/>
      <c r="D2156" s="138"/>
      <c r="E2156" s="138"/>
      <c r="F2156" s="138"/>
      <c r="G2156" s="138"/>
      <c r="H2156" s="138"/>
    </row>
    <row r="2157" spans="3:8" x14ac:dyDescent="0.2">
      <c r="C2157" s="138"/>
      <c r="D2157" s="138"/>
      <c r="E2157" s="138"/>
      <c r="F2157" s="138"/>
      <c r="G2157" s="138"/>
      <c r="H2157" s="138"/>
    </row>
    <row r="2158" spans="3:8" x14ac:dyDescent="0.2">
      <c r="C2158" s="138"/>
      <c r="D2158" s="138"/>
      <c r="E2158" s="138"/>
      <c r="F2158" s="138"/>
      <c r="G2158" s="138"/>
      <c r="H2158" s="138"/>
    </row>
    <row r="2159" spans="3:8" x14ac:dyDescent="0.2">
      <c r="C2159" s="138"/>
      <c r="D2159" s="138"/>
      <c r="E2159" s="138"/>
      <c r="F2159" s="138"/>
      <c r="G2159" s="138"/>
      <c r="H2159" s="138"/>
    </row>
    <row r="2160" spans="3:8" x14ac:dyDescent="0.2">
      <c r="C2160" s="138"/>
      <c r="D2160" s="138"/>
      <c r="E2160" s="138"/>
      <c r="F2160" s="138"/>
      <c r="G2160" s="138"/>
      <c r="H2160" s="138"/>
    </row>
    <row r="2161" spans="3:8" x14ac:dyDescent="0.2">
      <c r="C2161" s="138"/>
      <c r="D2161" s="138"/>
      <c r="E2161" s="138"/>
      <c r="F2161" s="138"/>
      <c r="G2161" s="138"/>
      <c r="H2161" s="138"/>
    </row>
    <row r="2162" spans="3:8" x14ac:dyDescent="0.2">
      <c r="C2162" s="138"/>
      <c r="D2162" s="138"/>
      <c r="E2162" s="138"/>
      <c r="F2162" s="138"/>
      <c r="G2162" s="138"/>
      <c r="H2162" s="138"/>
    </row>
    <row r="2163" spans="3:8" x14ac:dyDescent="0.2">
      <c r="C2163" s="138"/>
      <c r="D2163" s="138"/>
      <c r="E2163" s="138"/>
      <c r="F2163" s="138"/>
      <c r="G2163" s="138"/>
      <c r="H2163" s="138"/>
    </row>
    <row r="2164" spans="3:8" x14ac:dyDescent="0.2">
      <c r="C2164" s="138"/>
      <c r="D2164" s="138"/>
      <c r="E2164" s="138"/>
      <c r="F2164" s="138"/>
      <c r="G2164" s="138"/>
      <c r="H2164" s="138"/>
    </row>
    <row r="2165" spans="3:8" x14ac:dyDescent="0.2">
      <c r="C2165" s="138"/>
      <c r="D2165" s="138"/>
      <c r="E2165" s="138"/>
      <c r="F2165" s="138"/>
      <c r="G2165" s="138"/>
      <c r="H2165" s="138"/>
    </row>
    <row r="2166" spans="3:8" x14ac:dyDescent="0.2">
      <c r="C2166" s="138"/>
      <c r="D2166" s="138"/>
      <c r="E2166" s="138"/>
      <c r="F2166" s="138"/>
      <c r="G2166" s="138"/>
      <c r="H2166" s="138"/>
    </row>
    <row r="2167" spans="3:8" x14ac:dyDescent="0.2">
      <c r="C2167" s="138"/>
      <c r="D2167" s="138"/>
      <c r="E2167" s="138"/>
      <c r="F2167" s="138"/>
      <c r="G2167" s="138"/>
      <c r="H2167" s="138"/>
    </row>
    <row r="2168" spans="3:8" x14ac:dyDescent="0.2">
      <c r="C2168" s="138"/>
      <c r="D2168" s="138"/>
      <c r="E2168" s="138"/>
      <c r="F2168" s="138"/>
      <c r="G2168" s="138"/>
      <c r="H2168" s="138"/>
    </row>
    <row r="2169" spans="3:8" x14ac:dyDescent="0.2">
      <c r="C2169" s="138"/>
      <c r="D2169" s="138"/>
      <c r="E2169" s="138"/>
      <c r="F2169" s="138"/>
      <c r="G2169" s="138"/>
      <c r="H2169" s="138"/>
    </row>
    <row r="2170" spans="3:8" x14ac:dyDescent="0.2">
      <c r="C2170" s="138"/>
      <c r="D2170" s="138"/>
      <c r="E2170" s="138"/>
      <c r="F2170" s="138"/>
      <c r="G2170" s="138"/>
      <c r="H2170" s="138"/>
    </row>
    <row r="2171" spans="3:8" x14ac:dyDescent="0.2">
      <c r="C2171" s="138"/>
      <c r="D2171" s="138"/>
      <c r="E2171" s="138"/>
      <c r="F2171" s="138"/>
      <c r="G2171" s="138"/>
      <c r="H2171" s="138"/>
    </row>
    <row r="2172" spans="3:8" x14ac:dyDescent="0.2">
      <c r="C2172" s="138"/>
      <c r="D2172" s="138"/>
      <c r="E2172" s="138"/>
      <c r="F2172" s="138"/>
      <c r="G2172" s="138"/>
      <c r="H2172" s="138"/>
    </row>
    <row r="2173" spans="3:8" x14ac:dyDescent="0.2">
      <c r="C2173" s="138"/>
      <c r="D2173" s="138"/>
      <c r="E2173" s="138"/>
      <c r="F2173" s="138"/>
      <c r="G2173" s="138"/>
      <c r="H2173" s="138"/>
    </row>
    <row r="2174" spans="3:8" x14ac:dyDescent="0.2">
      <c r="C2174" s="138"/>
      <c r="D2174" s="138"/>
      <c r="E2174" s="138"/>
      <c r="F2174" s="138"/>
      <c r="G2174" s="138"/>
      <c r="H2174" s="138"/>
    </row>
    <row r="2175" spans="3:8" x14ac:dyDescent="0.2">
      <c r="C2175" s="138"/>
      <c r="D2175" s="138"/>
      <c r="E2175" s="138"/>
      <c r="F2175" s="138"/>
      <c r="G2175" s="138"/>
      <c r="H2175" s="138"/>
    </row>
    <row r="2176" spans="3:8" x14ac:dyDescent="0.2">
      <c r="C2176" s="138"/>
      <c r="D2176" s="138"/>
      <c r="E2176" s="138"/>
      <c r="F2176" s="138"/>
      <c r="G2176" s="138"/>
      <c r="H2176" s="138"/>
    </row>
    <row r="2177" spans="3:8" x14ac:dyDescent="0.2">
      <c r="C2177" s="138"/>
      <c r="D2177" s="138"/>
      <c r="E2177" s="138"/>
      <c r="F2177" s="138"/>
      <c r="G2177" s="138"/>
      <c r="H2177" s="138"/>
    </row>
    <row r="2178" spans="3:8" x14ac:dyDescent="0.2">
      <c r="C2178" s="138"/>
      <c r="D2178" s="138"/>
      <c r="E2178" s="138"/>
      <c r="F2178" s="138"/>
      <c r="G2178" s="138"/>
      <c r="H2178" s="138"/>
    </row>
    <row r="2179" spans="3:8" x14ac:dyDescent="0.2">
      <c r="C2179" s="138"/>
      <c r="D2179" s="138"/>
      <c r="E2179" s="138"/>
      <c r="F2179" s="138"/>
      <c r="G2179" s="138"/>
      <c r="H2179" s="138"/>
    </row>
    <row r="2180" spans="3:8" x14ac:dyDescent="0.2">
      <c r="C2180" s="138"/>
      <c r="D2180" s="138"/>
      <c r="E2180" s="138"/>
      <c r="F2180" s="138"/>
      <c r="G2180" s="138"/>
      <c r="H2180" s="138"/>
    </row>
    <row r="2181" spans="3:8" x14ac:dyDescent="0.2">
      <c r="C2181" s="138"/>
      <c r="D2181" s="138"/>
      <c r="E2181" s="138"/>
      <c r="F2181" s="138"/>
      <c r="G2181" s="138"/>
      <c r="H2181" s="138"/>
    </row>
    <row r="2182" spans="3:8" x14ac:dyDescent="0.2">
      <c r="C2182" s="138"/>
      <c r="D2182" s="138"/>
      <c r="E2182" s="138"/>
      <c r="F2182" s="138"/>
      <c r="G2182" s="138"/>
      <c r="H2182" s="138"/>
    </row>
    <row r="2183" spans="3:8" x14ac:dyDescent="0.2">
      <c r="C2183" s="138"/>
      <c r="D2183" s="138"/>
      <c r="E2183" s="138"/>
      <c r="F2183" s="138"/>
      <c r="G2183" s="138"/>
      <c r="H2183" s="138"/>
    </row>
    <row r="2184" spans="3:8" x14ac:dyDescent="0.2">
      <c r="C2184" s="138"/>
      <c r="D2184" s="138"/>
      <c r="E2184" s="138"/>
      <c r="F2184" s="138"/>
      <c r="G2184" s="138"/>
      <c r="H2184" s="138"/>
    </row>
    <row r="2185" spans="3:8" x14ac:dyDescent="0.2">
      <c r="C2185" s="138"/>
      <c r="D2185" s="138"/>
      <c r="E2185" s="138"/>
      <c r="F2185" s="138"/>
      <c r="G2185" s="138"/>
      <c r="H2185" s="138"/>
    </row>
    <row r="2186" spans="3:8" x14ac:dyDescent="0.2">
      <c r="C2186" s="138"/>
      <c r="D2186" s="138"/>
      <c r="E2186" s="138"/>
      <c r="F2186" s="138"/>
      <c r="G2186" s="138"/>
      <c r="H2186" s="138"/>
    </row>
    <row r="2187" spans="3:8" x14ac:dyDescent="0.2">
      <c r="C2187" s="138"/>
      <c r="D2187" s="138"/>
      <c r="E2187" s="138"/>
      <c r="F2187" s="138"/>
      <c r="G2187" s="138"/>
      <c r="H2187" s="138"/>
    </row>
    <row r="2188" spans="3:8" x14ac:dyDescent="0.2">
      <c r="C2188" s="138"/>
      <c r="D2188" s="138"/>
      <c r="E2188" s="138"/>
      <c r="F2188" s="138"/>
      <c r="G2188" s="138"/>
      <c r="H2188" s="138"/>
    </row>
    <row r="2189" spans="3:8" x14ac:dyDescent="0.2">
      <c r="C2189" s="138"/>
      <c r="D2189" s="138"/>
      <c r="E2189" s="138"/>
      <c r="F2189" s="138"/>
      <c r="G2189" s="138"/>
      <c r="H2189" s="138"/>
    </row>
    <row r="2190" spans="3:8" x14ac:dyDescent="0.2">
      <c r="C2190" s="138"/>
      <c r="D2190" s="138"/>
      <c r="E2190" s="138"/>
      <c r="F2190" s="138"/>
      <c r="G2190" s="138"/>
      <c r="H2190" s="138"/>
    </row>
    <row r="2191" spans="3:8" x14ac:dyDescent="0.2">
      <c r="C2191" s="138"/>
      <c r="D2191" s="138"/>
      <c r="E2191" s="138"/>
      <c r="F2191" s="138"/>
      <c r="G2191" s="138"/>
      <c r="H2191" s="138"/>
    </row>
    <row r="2192" spans="3:8" x14ac:dyDescent="0.2">
      <c r="C2192" s="138"/>
      <c r="D2192" s="138"/>
      <c r="E2192" s="138"/>
      <c r="F2192" s="138"/>
      <c r="G2192" s="138"/>
      <c r="H2192" s="138"/>
    </row>
    <row r="2193" spans="3:8" x14ac:dyDescent="0.2">
      <c r="C2193" s="138"/>
      <c r="D2193" s="138"/>
      <c r="E2193" s="138"/>
      <c r="F2193" s="138"/>
      <c r="G2193" s="138"/>
      <c r="H2193" s="138"/>
    </row>
    <row r="2194" spans="3:8" x14ac:dyDescent="0.2">
      <c r="C2194" s="138"/>
      <c r="D2194" s="138"/>
      <c r="E2194" s="138"/>
      <c r="F2194" s="138"/>
      <c r="G2194" s="138"/>
      <c r="H2194" s="138"/>
    </row>
    <row r="2195" spans="3:8" x14ac:dyDescent="0.2">
      <c r="C2195" s="138"/>
      <c r="D2195" s="138"/>
      <c r="E2195" s="138"/>
      <c r="F2195" s="138"/>
      <c r="G2195" s="138"/>
      <c r="H2195" s="138"/>
    </row>
    <row r="2196" spans="3:8" x14ac:dyDescent="0.2">
      <c r="C2196" s="138"/>
      <c r="D2196" s="138"/>
      <c r="E2196" s="138"/>
      <c r="F2196" s="138"/>
      <c r="G2196" s="138"/>
      <c r="H2196" s="138"/>
    </row>
    <row r="2197" spans="3:8" x14ac:dyDescent="0.2">
      <c r="C2197" s="138"/>
      <c r="D2197" s="138"/>
      <c r="E2197" s="138"/>
      <c r="F2197" s="138"/>
      <c r="G2197" s="138"/>
      <c r="H2197" s="138"/>
    </row>
    <row r="2198" spans="3:8" x14ac:dyDescent="0.2">
      <c r="C2198" s="138"/>
      <c r="D2198" s="138"/>
      <c r="E2198" s="138"/>
      <c r="F2198" s="138"/>
      <c r="G2198" s="138"/>
      <c r="H2198" s="138"/>
    </row>
    <row r="2199" spans="3:8" x14ac:dyDescent="0.2">
      <c r="C2199" s="138"/>
      <c r="D2199" s="138"/>
      <c r="E2199" s="138"/>
      <c r="F2199" s="138"/>
      <c r="G2199" s="138"/>
      <c r="H2199" s="138"/>
    </row>
    <row r="2200" spans="3:8" x14ac:dyDescent="0.2">
      <c r="C2200" s="138"/>
      <c r="D2200" s="138"/>
      <c r="E2200" s="138"/>
      <c r="F2200" s="138"/>
      <c r="G2200" s="138"/>
      <c r="H2200" s="138"/>
    </row>
    <row r="2201" spans="3:8" x14ac:dyDescent="0.2">
      <c r="C2201" s="138"/>
      <c r="D2201" s="138"/>
      <c r="E2201" s="138"/>
      <c r="F2201" s="138"/>
      <c r="G2201" s="138"/>
      <c r="H2201" s="138"/>
    </row>
    <row r="2202" spans="3:8" x14ac:dyDescent="0.2">
      <c r="C2202" s="138"/>
      <c r="D2202" s="138"/>
      <c r="E2202" s="138"/>
      <c r="F2202" s="138"/>
      <c r="G2202" s="138"/>
      <c r="H2202" s="138"/>
    </row>
    <row r="2203" spans="3:8" x14ac:dyDescent="0.2">
      <c r="C2203" s="138"/>
      <c r="D2203" s="138"/>
      <c r="E2203" s="138"/>
      <c r="F2203" s="138"/>
      <c r="G2203" s="138"/>
      <c r="H2203" s="138"/>
    </row>
    <row r="2204" spans="3:8" x14ac:dyDescent="0.2">
      <c r="C2204" s="138"/>
      <c r="D2204" s="138"/>
      <c r="E2204" s="138"/>
      <c r="F2204" s="138"/>
      <c r="G2204" s="138"/>
      <c r="H2204" s="138"/>
    </row>
    <row r="2205" spans="3:8" x14ac:dyDescent="0.2">
      <c r="C2205" s="138"/>
      <c r="D2205" s="138"/>
      <c r="E2205" s="138"/>
      <c r="F2205" s="138"/>
      <c r="G2205" s="138"/>
      <c r="H2205" s="138"/>
    </row>
    <row r="2206" spans="3:8" x14ac:dyDescent="0.2">
      <c r="C2206" s="138"/>
      <c r="D2206" s="138"/>
      <c r="E2206" s="138"/>
      <c r="F2206" s="138"/>
      <c r="G2206" s="138"/>
      <c r="H2206" s="138"/>
    </row>
    <row r="2207" spans="3:8" x14ac:dyDescent="0.2">
      <c r="C2207" s="138"/>
      <c r="D2207" s="138"/>
      <c r="E2207" s="138"/>
      <c r="F2207" s="138"/>
      <c r="G2207" s="138"/>
      <c r="H2207" s="138"/>
    </row>
    <row r="2208" spans="3:8" x14ac:dyDescent="0.2">
      <c r="C2208" s="138"/>
      <c r="D2208" s="138"/>
      <c r="E2208" s="138"/>
      <c r="F2208" s="138"/>
      <c r="G2208" s="138"/>
      <c r="H2208" s="138"/>
    </row>
    <row r="2209" spans="3:8" x14ac:dyDescent="0.2">
      <c r="C2209" s="138"/>
      <c r="D2209" s="138"/>
      <c r="E2209" s="138"/>
      <c r="F2209" s="138"/>
      <c r="G2209" s="138"/>
      <c r="H2209" s="138"/>
    </row>
    <row r="2210" spans="3:8" x14ac:dyDescent="0.2">
      <c r="C2210" s="138"/>
      <c r="D2210" s="138"/>
      <c r="E2210" s="138"/>
      <c r="F2210" s="138"/>
      <c r="G2210" s="138"/>
      <c r="H2210" s="138"/>
    </row>
    <row r="2211" spans="3:8" x14ac:dyDescent="0.2">
      <c r="C2211" s="138"/>
      <c r="D2211" s="138"/>
      <c r="E2211" s="138"/>
      <c r="F2211" s="138"/>
      <c r="G2211" s="138"/>
      <c r="H2211" s="138"/>
    </row>
    <row r="2212" spans="3:8" x14ac:dyDescent="0.2">
      <c r="C2212" s="138"/>
      <c r="D2212" s="138"/>
      <c r="E2212" s="138"/>
      <c r="F2212" s="138"/>
      <c r="G2212" s="138"/>
      <c r="H2212" s="138"/>
    </row>
    <row r="2213" spans="3:8" x14ac:dyDescent="0.2">
      <c r="C2213" s="138"/>
      <c r="D2213" s="138"/>
      <c r="E2213" s="138"/>
      <c r="F2213" s="138"/>
      <c r="G2213" s="138"/>
      <c r="H2213" s="138"/>
    </row>
    <row r="2214" spans="3:8" x14ac:dyDescent="0.2">
      <c r="C2214" s="138"/>
      <c r="D2214" s="138"/>
      <c r="E2214" s="138"/>
      <c r="F2214" s="138"/>
      <c r="G2214" s="138"/>
      <c r="H2214" s="138"/>
    </row>
    <row r="2215" spans="3:8" x14ac:dyDescent="0.2">
      <c r="C2215" s="138"/>
      <c r="D2215" s="138"/>
      <c r="E2215" s="138"/>
      <c r="F2215" s="138"/>
      <c r="G2215" s="138"/>
      <c r="H2215" s="138"/>
    </row>
    <row r="2216" spans="3:8" x14ac:dyDescent="0.2">
      <c r="C2216" s="138"/>
      <c r="D2216" s="138"/>
      <c r="E2216" s="138"/>
      <c r="F2216" s="138"/>
      <c r="G2216" s="138"/>
      <c r="H2216" s="138"/>
    </row>
    <row r="2217" spans="3:8" x14ac:dyDescent="0.2">
      <c r="C2217" s="138"/>
      <c r="D2217" s="138"/>
      <c r="E2217" s="138"/>
      <c r="F2217" s="138"/>
      <c r="G2217" s="138"/>
      <c r="H2217" s="138"/>
    </row>
    <row r="2218" spans="3:8" x14ac:dyDescent="0.2">
      <c r="C2218" s="138"/>
      <c r="D2218" s="138"/>
      <c r="E2218" s="138"/>
      <c r="F2218" s="138"/>
      <c r="G2218" s="138"/>
      <c r="H2218" s="138"/>
    </row>
    <row r="2219" spans="3:8" x14ac:dyDescent="0.2">
      <c r="C2219" s="138"/>
      <c r="D2219" s="138"/>
      <c r="E2219" s="138"/>
      <c r="F2219" s="138"/>
      <c r="G2219" s="138"/>
      <c r="H2219" s="138"/>
    </row>
    <row r="2220" spans="3:8" x14ac:dyDescent="0.2">
      <c r="C2220" s="138"/>
      <c r="E2220" s="138"/>
      <c r="F2220" s="138"/>
      <c r="G2220" s="138"/>
      <c r="H2220" s="138"/>
    </row>
    <row r="2221" spans="3:8" x14ac:dyDescent="0.2">
      <c r="C2221" s="138"/>
      <c r="E2221" s="138"/>
      <c r="F2221" s="138"/>
      <c r="G2221" s="138"/>
      <c r="H2221" s="138"/>
    </row>
    <row r="2222" spans="3:8" x14ac:dyDescent="0.2">
      <c r="C2222" s="138"/>
      <c r="E2222" s="138"/>
      <c r="F2222" s="138"/>
      <c r="G2222" s="138"/>
      <c r="H2222" s="138"/>
    </row>
    <row r="2223" spans="3:8" x14ac:dyDescent="0.2">
      <c r="C2223" s="138"/>
      <c r="E2223" s="138"/>
      <c r="F2223" s="138"/>
      <c r="G2223" s="138"/>
      <c r="H2223" s="138"/>
    </row>
    <row r="2224" spans="3:8" x14ac:dyDescent="0.2">
      <c r="C2224" s="138"/>
      <c r="E2224" s="138"/>
      <c r="F2224" s="138"/>
      <c r="G2224" s="138"/>
      <c r="H2224" s="138"/>
    </row>
    <row r="2225" spans="3:8" x14ac:dyDescent="0.2">
      <c r="C2225" s="138"/>
      <c r="E2225" s="138"/>
      <c r="F2225" s="138"/>
      <c r="G2225" s="138"/>
      <c r="H2225" s="138"/>
    </row>
    <row r="2226" spans="3:8" x14ac:dyDescent="0.2">
      <c r="C2226" s="138"/>
      <c r="E2226" s="138"/>
      <c r="F2226" s="138"/>
      <c r="G2226" s="138"/>
      <c r="H2226" s="138"/>
    </row>
    <row r="2227" spans="3:8" x14ac:dyDescent="0.2">
      <c r="C2227" s="138"/>
      <c r="E2227" s="138"/>
      <c r="F2227" s="138"/>
      <c r="G2227" s="138"/>
      <c r="H2227" s="138"/>
    </row>
    <row r="2228" spans="3:8" x14ac:dyDescent="0.2">
      <c r="C2228" s="138"/>
      <c r="E2228" s="138"/>
      <c r="F2228" s="138"/>
      <c r="G2228" s="138"/>
      <c r="H2228" s="138"/>
    </row>
    <row r="2229" spans="3:8" x14ac:dyDescent="0.2">
      <c r="C2229" s="138"/>
      <c r="E2229" s="138"/>
      <c r="F2229" s="138"/>
      <c r="G2229" s="138"/>
      <c r="H2229" s="138"/>
    </row>
    <row r="2230" spans="3:8" x14ac:dyDescent="0.2">
      <c r="C2230" s="138"/>
      <c r="E2230" s="138"/>
      <c r="F2230" s="138"/>
      <c r="G2230" s="138"/>
      <c r="H2230" s="138"/>
    </row>
    <row r="2231" spans="3:8" x14ac:dyDescent="0.2">
      <c r="C2231" s="138"/>
      <c r="E2231" s="138"/>
      <c r="F2231" s="138"/>
      <c r="G2231" s="138"/>
      <c r="H2231" s="138"/>
    </row>
    <row r="2232" spans="3:8" x14ac:dyDescent="0.2">
      <c r="C2232" s="138"/>
      <c r="E2232" s="138"/>
      <c r="F2232" s="138"/>
      <c r="G2232" s="138"/>
      <c r="H2232" s="138"/>
    </row>
    <row r="2233" spans="3:8" x14ac:dyDescent="0.2">
      <c r="C2233" s="138"/>
      <c r="E2233" s="138"/>
      <c r="F2233" s="138"/>
      <c r="G2233" s="138"/>
      <c r="H2233" s="138"/>
    </row>
    <row r="2234" spans="3:8" x14ac:dyDescent="0.2">
      <c r="C2234" s="138"/>
      <c r="E2234" s="138"/>
      <c r="F2234" s="138"/>
      <c r="G2234" s="138"/>
      <c r="H2234" s="138"/>
    </row>
    <row r="2235" spans="3:8" x14ac:dyDescent="0.2">
      <c r="C2235" s="138"/>
      <c r="E2235" s="138"/>
      <c r="F2235" s="138"/>
      <c r="G2235" s="138"/>
      <c r="H2235" s="138"/>
    </row>
    <row r="2236" spans="3:8" x14ac:dyDescent="0.2">
      <c r="C2236" s="138"/>
      <c r="E2236" s="138"/>
      <c r="F2236" s="138"/>
      <c r="G2236" s="138"/>
      <c r="H2236" s="138"/>
    </row>
    <row r="2237" spans="3:8" x14ac:dyDescent="0.2">
      <c r="C2237" s="138"/>
      <c r="E2237" s="138"/>
      <c r="F2237" s="138"/>
      <c r="G2237" s="138"/>
      <c r="H2237" s="138"/>
    </row>
    <row r="2238" spans="3:8" x14ac:dyDescent="0.2">
      <c r="C2238" s="138"/>
      <c r="E2238" s="138"/>
      <c r="F2238" s="138"/>
      <c r="G2238" s="138"/>
      <c r="H2238" s="138"/>
    </row>
    <row r="2239" spans="3:8" x14ac:dyDescent="0.2">
      <c r="C2239" s="138"/>
      <c r="E2239" s="138"/>
      <c r="F2239" s="138"/>
      <c r="G2239" s="138"/>
      <c r="H2239" s="138"/>
    </row>
    <row r="2240" spans="3:8" x14ac:dyDescent="0.2">
      <c r="C2240" s="138"/>
      <c r="E2240" s="138"/>
      <c r="F2240" s="138"/>
      <c r="G2240" s="138"/>
      <c r="H2240" s="138"/>
    </row>
    <row r="2241" spans="3:8" x14ac:dyDescent="0.2">
      <c r="C2241" s="138"/>
      <c r="E2241" s="138"/>
      <c r="F2241" s="138"/>
      <c r="G2241" s="138"/>
      <c r="H2241" s="138"/>
    </row>
    <row r="2242" spans="3:8" x14ac:dyDescent="0.2">
      <c r="C2242" s="138"/>
      <c r="E2242" s="138"/>
      <c r="F2242" s="138"/>
      <c r="G2242" s="138"/>
      <c r="H2242" s="138"/>
    </row>
    <row r="2243" spans="3:8" x14ac:dyDescent="0.2">
      <c r="C2243" s="138"/>
      <c r="E2243" s="138"/>
      <c r="F2243" s="138"/>
      <c r="G2243" s="138"/>
      <c r="H2243" s="138"/>
    </row>
    <row r="2244" spans="3:8" x14ac:dyDescent="0.2">
      <c r="C2244" s="138"/>
      <c r="E2244" s="138"/>
      <c r="F2244" s="138"/>
      <c r="G2244" s="138"/>
      <c r="H2244" s="138"/>
    </row>
    <row r="2245" spans="3:8" x14ac:dyDescent="0.2">
      <c r="C2245" s="138"/>
      <c r="E2245" s="138"/>
      <c r="F2245" s="138"/>
      <c r="G2245" s="138"/>
      <c r="H2245" s="138"/>
    </row>
    <row r="2246" spans="3:8" x14ac:dyDescent="0.2">
      <c r="C2246" s="138"/>
      <c r="E2246" s="138"/>
      <c r="F2246" s="138"/>
      <c r="G2246" s="138"/>
      <c r="H2246" s="138"/>
    </row>
    <row r="2247" spans="3:8" x14ac:dyDescent="0.2">
      <c r="C2247" s="138"/>
      <c r="E2247" s="138"/>
      <c r="F2247" s="138"/>
      <c r="G2247" s="138"/>
      <c r="H2247" s="138"/>
    </row>
    <row r="2248" spans="3:8" x14ac:dyDescent="0.2">
      <c r="C2248" s="138"/>
      <c r="E2248" s="138"/>
      <c r="F2248" s="138"/>
      <c r="G2248" s="138"/>
      <c r="H2248" s="138"/>
    </row>
    <row r="2249" spans="3:8" x14ac:dyDescent="0.2">
      <c r="C2249" s="138"/>
      <c r="E2249" s="138"/>
      <c r="F2249" s="138"/>
      <c r="G2249" s="138"/>
      <c r="H2249" s="138"/>
    </row>
    <row r="2250" spans="3:8" x14ac:dyDescent="0.2">
      <c r="C2250" s="138"/>
      <c r="E2250" s="138"/>
      <c r="F2250" s="138"/>
      <c r="G2250" s="138"/>
      <c r="H2250" s="138"/>
    </row>
    <row r="2251" spans="3:8" x14ac:dyDescent="0.2">
      <c r="C2251" s="138"/>
      <c r="E2251" s="138"/>
      <c r="F2251" s="138"/>
      <c r="G2251" s="138"/>
      <c r="H2251" s="138"/>
    </row>
    <row r="2252" spans="3:8" x14ac:dyDescent="0.2">
      <c r="C2252" s="138"/>
      <c r="E2252" s="138"/>
      <c r="F2252" s="138"/>
      <c r="G2252" s="138"/>
      <c r="H2252" s="138"/>
    </row>
    <row r="2253" spans="3:8" x14ac:dyDescent="0.2">
      <c r="C2253" s="138"/>
      <c r="E2253" s="138"/>
      <c r="F2253" s="138"/>
      <c r="G2253" s="138"/>
      <c r="H2253" s="138"/>
    </row>
    <row r="2254" spans="3:8" x14ac:dyDescent="0.2">
      <c r="C2254" s="138"/>
      <c r="E2254" s="138"/>
      <c r="F2254" s="138"/>
      <c r="G2254" s="138"/>
      <c r="H2254" s="138"/>
    </row>
    <row r="2255" spans="3:8" x14ac:dyDescent="0.2">
      <c r="C2255" s="138"/>
      <c r="E2255" s="138"/>
      <c r="F2255" s="138"/>
      <c r="G2255" s="138"/>
      <c r="H2255" s="138"/>
    </row>
    <row r="2256" spans="3:8" x14ac:dyDescent="0.2">
      <c r="C2256" s="138"/>
      <c r="E2256" s="138"/>
      <c r="F2256" s="138"/>
      <c r="G2256" s="138"/>
      <c r="H2256" s="138"/>
    </row>
    <row r="2257" spans="3:8" x14ac:dyDescent="0.2">
      <c r="C2257" s="138"/>
      <c r="E2257" s="138"/>
      <c r="F2257" s="138"/>
      <c r="G2257" s="138"/>
      <c r="H2257" s="138"/>
    </row>
    <row r="2258" spans="3:8" x14ac:dyDescent="0.2">
      <c r="C2258" s="138"/>
      <c r="E2258" s="138"/>
      <c r="F2258" s="138"/>
      <c r="G2258" s="138"/>
      <c r="H2258" s="138"/>
    </row>
    <row r="2259" spans="3:8" x14ac:dyDescent="0.2">
      <c r="C2259" s="138"/>
      <c r="E2259" s="138"/>
      <c r="F2259" s="138"/>
      <c r="G2259" s="138"/>
      <c r="H2259" s="138"/>
    </row>
    <row r="2260" spans="3:8" x14ac:dyDescent="0.2">
      <c r="C2260" s="138"/>
      <c r="E2260" s="138"/>
      <c r="F2260" s="138"/>
      <c r="G2260" s="138"/>
      <c r="H2260" s="138"/>
    </row>
    <row r="2261" spans="3:8" x14ac:dyDescent="0.2">
      <c r="C2261" s="138"/>
      <c r="E2261" s="138"/>
      <c r="F2261" s="138"/>
      <c r="G2261" s="138"/>
      <c r="H2261" s="138"/>
    </row>
    <row r="2262" spans="3:8" x14ac:dyDescent="0.2">
      <c r="C2262" s="138"/>
      <c r="E2262" s="138"/>
      <c r="F2262" s="138"/>
      <c r="G2262" s="138"/>
      <c r="H2262" s="138"/>
    </row>
    <row r="2263" spans="3:8" x14ac:dyDescent="0.2">
      <c r="C2263" s="138"/>
      <c r="E2263" s="138"/>
      <c r="F2263" s="138"/>
      <c r="G2263" s="138"/>
      <c r="H2263" s="138"/>
    </row>
    <row r="2264" spans="3:8" x14ac:dyDescent="0.2">
      <c r="C2264" s="138"/>
      <c r="E2264" s="138"/>
      <c r="F2264" s="138"/>
      <c r="G2264" s="138"/>
      <c r="H2264" s="138"/>
    </row>
    <row r="2265" spans="3:8" x14ac:dyDescent="0.2">
      <c r="C2265" s="138"/>
      <c r="E2265" s="138"/>
      <c r="F2265" s="138"/>
      <c r="G2265" s="138"/>
      <c r="H2265" s="138"/>
    </row>
    <row r="2266" spans="3:8" x14ac:dyDescent="0.2">
      <c r="C2266" s="138"/>
      <c r="E2266" s="138"/>
      <c r="F2266" s="138"/>
      <c r="G2266" s="138"/>
      <c r="H2266" s="138"/>
    </row>
    <row r="2267" spans="3:8" x14ac:dyDescent="0.2">
      <c r="C2267" s="138"/>
      <c r="E2267" s="138"/>
      <c r="F2267" s="138"/>
      <c r="G2267" s="138"/>
      <c r="H2267" s="138"/>
    </row>
    <row r="2268" spans="3:8" x14ac:dyDescent="0.2">
      <c r="C2268" s="138"/>
      <c r="E2268" s="138"/>
      <c r="F2268" s="138"/>
      <c r="G2268" s="138"/>
      <c r="H2268" s="138"/>
    </row>
    <row r="2269" spans="3:8" x14ac:dyDescent="0.2">
      <c r="C2269" s="138"/>
      <c r="E2269" s="138"/>
      <c r="F2269" s="138"/>
      <c r="G2269" s="138"/>
      <c r="H2269" s="138"/>
    </row>
    <row r="2270" spans="3:8" x14ac:dyDescent="0.2">
      <c r="C2270" s="138"/>
      <c r="E2270" s="138"/>
      <c r="F2270" s="138"/>
      <c r="G2270" s="138"/>
      <c r="H2270" s="138"/>
    </row>
    <row r="2271" spans="3:8" x14ac:dyDescent="0.2">
      <c r="C2271" s="138"/>
      <c r="E2271" s="138"/>
      <c r="F2271" s="138"/>
      <c r="G2271" s="138"/>
      <c r="H2271" s="138"/>
    </row>
    <row r="2272" spans="3:8" x14ac:dyDescent="0.2">
      <c r="C2272" s="138"/>
      <c r="E2272" s="138"/>
      <c r="F2272" s="138"/>
      <c r="G2272" s="138"/>
      <c r="H2272" s="138"/>
    </row>
    <row r="2273" spans="3:8" x14ac:dyDescent="0.2">
      <c r="C2273" s="138"/>
      <c r="E2273" s="138"/>
      <c r="F2273" s="138"/>
      <c r="G2273" s="138"/>
      <c r="H2273" s="138"/>
    </row>
    <row r="2274" spans="3:8" x14ac:dyDescent="0.2">
      <c r="C2274" s="138"/>
      <c r="E2274" s="138"/>
      <c r="F2274" s="138"/>
      <c r="G2274" s="138"/>
      <c r="H2274" s="138"/>
    </row>
    <row r="2275" spans="3:8" x14ac:dyDescent="0.2">
      <c r="C2275" s="138"/>
      <c r="E2275" s="138"/>
      <c r="F2275" s="138"/>
      <c r="G2275" s="138"/>
      <c r="H2275" s="138"/>
    </row>
    <row r="2276" spans="3:8" x14ac:dyDescent="0.2">
      <c r="C2276" s="138"/>
      <c r="E2276" s="138"/>
      <c r="F2276" s="138"/>
      <c r="G2276" s="138"/>
      <c r="H2276" s="138"/>
    </row>
    <row r="2277" spans="3:8" x14ac:dyDescent="0.2">
      <c r="C2277" s="138"/>
      <c r="E2277" s="138"/>
      <c r="F2277" s="138"/>
      <c r="G2277" s="138"/>
      <c r="H2277" s="138"/>
    </row>
    <row r="2278" spans="3:8" x14ac:dyDescent="0.2">
      <c r="C2278" s="138"/>
      <c r="E2278" s="138"/>
      <c r="F2278" s="138"/>
      <c r="G2278" s="138"/>
      <c r="H2278" s="138"/>
    </row>
    <row r="2279" spans="3:8" x14ac:dyDescent="0.2">
      <c r="C2279" s="138"/>
      <c r="E2279" s="138"/>
      <c r="F2279" s="138"/>
      <c r="G2279" s="138"/>
      <c r="H2279" s="138"/>
    </row>
    <row r="2280" spans="3:8" x14ac:dyDescent="0.2">
      <c r="C2280" s="138"/>
      <c r="E2280" s="138"/>
      <c r="F2280" s="138"/>
      <c r="G2280" s="138"/>
      <c r="H2280" s="138"/>
    </row>
    <row r="2281" spans="3:8" x14ac:dyDescent="0.2">
      <c r="C2281" s="138"/>
      <c r="E2281" s="138"/>
      <c r="F2281" s="138"/>
      <c r="G2281" s="138"/>
      <c r="H2281" s="138"/>
    </row>
    <row r="2282" spans="3:8" x14ac:dyDescent="0.2">
      <c r="C2282" s="138"/>
      <c r="E2282" s="138"/>
      <c r="F2282" s="138"/>
      <c r="G2282" s="138"/>
      <c r="H2282" s="138"/>
    </row>
    <row r="2283" spans="3:8" x14ac:dyDescent="0.2">
      <c r="C2283" s="138"/>
      <c r="E2283" s="138"/>
      <c r="F2283" s="138"/>
      <c r="G2283" s="138"/>
      <c r="H2283" s="138"/>
    </row>
    <row r="2284" spans="3:8" x14ac:dyDescent="0.2">
      <c r="C2284" s="138"/>
      <c r="E2284" s="138"/>
      <c r="F2284" s="138"/>
      <c r="G2284" s="138"/>
      <c r="H2284" s="138"/>
    </row>
    <row r="2285" spans="3:8" x14ac:dyDescent="0.2">
      <c r="C2285" s="138"/>
      <c r="E2285" s="138"/>
      <c r="F2285" s="138"/>
      <c r="G2285" s="138"/>
      <c r="H2285" s="138"/>
    </row>
    <row r="2286" spans="3:8" x14ac:dyDescent="0.2">
      <c r="C2286" s="138"/>
      <c r="E2286" s="138"/>
      <c r="F2286" s="138"/>
      <c r="G2286" s="138"/>
      <c r="H2286" s="138"/>
    </row>
    <row r="2287" spans="3:8" x14ac:dyDescent="0.2">
      <c r="C2287" s="138"/>
      <c r="E2287" s="138"/>
      <c r="F2287" s="138"/>
      <c r="G2287" s="138"/>
      <c r="H2287" s="138"/>
    </row>
    <row r="2288" spans="3:8" x14ac:dyDescent="0.2">
      <c r="C2288" s="138"/>
      <c r="E2288" s="138"/>
      <c r="F2288" s="138"/>
      <c r="G2288" s="138"/>
      <c r="H2288" s="138"/>
    </row>
    <row r="2289" spans="3:8" x14ac:dyDescent="0.2">
      <c r="C2289" s="138"/>
      <c r="E2289" s="138"/>
      <c r="F2289" s="138"/>
      <c r="G2289" s="138"/>
      <c r="H2289" s="138"/>
    </row>
    <row r="2290" spans="3:8" x14ac:dyDescent="0.2">
      <c r="C2290" s="138"/>
      <c r="E2290" s="138"/>
      <c r="F2290" s="138"/>
      <c r="G2290" s="138"/>
      <c r="H2290" s="138"/>
    </row>
    <row r="2291" spans="3:8" x14ac:dyDescent="0.2">
      <c r="C2291" s="138"/>
      <c r="E2291" s="138"/>
      <c r="F2291" s="138"/>
      <c r="G2291" s="138"/>
      <c r="H2291" s="138"/>
    </row>
    <row r="2292" spans="3:8" x14ac:dyDescent="0.2">
      <c r="C2292" s="138"/>
      <c r="E2292" s="138"/>
      <c r="F2292" s="138"/>
      <c r="G2292" s="138"/>
      <c r="H2292" s="138"/>
    </row>
    <row r="2293" spans="3:8" x14ac:dyDescent="0.2">
      <c r="C2293" s="138"/>
      <c r="E2293" s="138"/>
      <c r="F2293" s="138"/>
      <c r="G2293" s="138"/>
      <c r="H2293" s="138"/>
    </row>
    <row r="2294" spans="3:8" x14ac:dyDescent="0.2">
      <c r="C2294" s="138"/>
      <c r="E2294" s="138"/>
      <c r="F2294" s="138"/>
      <c r="G2294" s="138"/>
      <c r="H2294" s="138"/>
    </row>
    <row r="2295" spans="3:8" x14ac:dyDescent="0.2">
      <c r="C2295" s="138"/>
      <c r="E2295" s="138"/>
      <c r="F2295" s="138"/>
      <c r="G2295" s="138"/>
      <c r="H2295" s="138"/>
    </row>
    <row r="2296" spans="3:8" x14ac:dyDescent="0.2">
      <c r="C2296" s="138"/>
      <c r="E2296" s="138"/>
      <c r="F2296" s="138"/>
      <c r="G2296" s="138"/>
      <c r="H2296" s="138"/>
    </row>
    <row r="2297" spans="3:8" x14ac:dyDescent="0.2">
      <c r="C2297" s="138"/>
      <c r="E2297" s="138"/>
      <c r="F2297" s="138"/>
      <c r="G2297" s="138"/>
      <c r="H2297" s="138"/>
    </row>
    <row r="2298" spans="3:8" x14ac:dyDescent="0.2">
      <c r="C2298" s="138"/>
      <c r="E2298" s="138"/>
      <c r="F2298" s="138"/>
      <c r="G2298" s="138"/>
      <c r="H2298" s="138"/>
    </row>
    <row r="2299" spans="3:8" x14ac:dyDescent="0.2">
      <c r="C2299" s="138"/>
      <c r="E2299" s="138"/>
      <c r="F2299" s="138"/>
      <c r="G2299" s="138"/>
      <c r="H2299" s="138"/>
    </row>
    <row r="2300" spans="3:8" x14ac:dyDescent="0.2">
      <c r="C2300" s="138"/>
      <c r="E2300" s="138"/>
      <c r="F2300" s="138"/>
      <c r="G2300" s="138"/>
      <c r="H2300" s="138"/>
    </row>
    <row r="2301" spans="3:8" x14ac:dyDescent="0.2">
      <c r="C2301" s="138"/>
      <c r="E2301" s="138"/>
      <c r="F2301" s="138"/>
      <c r="G2301" s="138"/>
      <c r="H2301" s="138"/>
    </row>
    <row r="2302" spans="3:8" x14ac:dyDescent="0.2">
      <c r="C2302" s="138"/>
      <c r="E2302" s="138"/>
      <c r="F2302" s="138"/>
      <c r="G2302" s="138"/>
      <c r="H2302" s="138"/>
    </row>
    <row r="2303" spans="3:8" x14ac:dyDescent="0.2">
      <c r="C2303" s="138"/>
      <c r="E2303" s="138"/>
      <c r="F2303" s="138"/>
      <c r="G2303" s="138"/>
      <c r="H2303" s="138"/>
    </row>
    <row r="2304" spans="3:8" x14ac:dyDescent="0.2">
      <c r="C2304" s="138"/>
      <c r="E2304" s="138"/>
      <c r="F2304" s="138"/>
      <c r="G2304" s="138"/>
      <c r="H2304" s="138"/>
    </row>
    <row r="2305" spans="3:8" x14ac:dyDescent="0.2">
      <c r="C2305" s="138"/>
      <c r="E2305" s="138"/>
      <c r="F2305" s="138"/>
      <c r="G2305" s="138"/>
      <c r="H2305" s="138"/>
    </row>
    <row r="2306" spans="3:8" x14ac:dyDescent="0.2">
      <c r="C2306" s="138"/>
      <c r="E2306" s="138"/>
      <c r="F2306" s="138"/>
      <c r="G2306" s="138"/>
      <c r="H2306" s="138"/>
    </row>
    <row r="2307" spans="3:8" x14ac:dyDescent="0.2">
      <c r="C2307" s="138"/>
      <c r="E2307" s="138"/>
      <c r="F2307" s="138"/>
      <c r="G2307" s="138"/>
      <c r="H2307" s="138"/>
    </row>
    <row r="2308" spans="3:8" x14ac:dyDescent="0.2">
      <c r="C2308" s="138"/>
      <c r="E2308" s="138"/>
      <c r="F2308" s="138"/>
      <c r="G2308" s="138"/>
      <c r="H2308" s="138"/>
    </row>
    <row r="2309" spans="3:8" x14ac:dyDescent="0.2">
      <c r="C2309" s="138"/>
      <c r="E2309" s="138"/>
      <c r="F2309" s="138"/>
      <c r="G2309" s="138"/>
      <c r="H2309" s="138"/>
    </row>
    <row r="2310" spans="3:8" x14ac:dyDescent="0.2">
      <c r="C2310" s="138"/>
      <c r="E2310" s="138"/>
      <c r="F2310" s="138"/>
      <c r="G2310" s="138"/>
      <c r="H2310" s="138"/>
    </row>
    <row r="2311" spans="3:8" x14ac:dyDescent="0.2">
      <c r="C2311" s="138"/>
      <c r="E2311" s="138"/>
      <c r="F2311" s="138"/>
      <c r="G2311" s="138"/>
      <c r="H2311" s="138"/>
    </row>
    <row r="2312" spans="3:8" x14ac:dyDescent="0.2">
      <c r="C2312" s="138"/>
      <c r="E2312" s="138"/>
      <c r="F2312" s="138"/>
      <c r="G2312" s="138"/>
      <c r="H2312" s="138"/>
    </row>
    <row r="2313" spans="3:8" x14ac:dyDescent="0.2">
      <c r="C2313" s="138"/>
      <c r="E2313" s="138"/>
      <c r="F2313" s="138"/>
      <c r="G2313" s="138"/>
      <c r="H2313" s="138"/>
    </row>
    <row r="2314" spans="3:8" x14ac:dyDescent="0.2">
      <c r="C2314" s="138"/>
      <c r="E2314" s="138"/>
      <c r="F2314" s="138"/>
      <c r="G2314" s="138"/>
      <c r="H2314" s="138"/>
    </row>
    <row r="2315" spans="3:8" x14ac:dyDescent="0.2">
      <c r="C2315" s="138"/>
      <c r="E2315" s="138"/>
      <c r="F2315" s="138"/>
      <c r="G2315" s="138"/>
      <c r="H2315" s="138"/>
    </row>
    <row r="2316" spans="3:8" x14ac:dyDescent="0.2">
      <c r="C2316" s="138"/>
      <c r="E2316" s="138"/>
      <c r="F2316" s="138"/>
      <c r="G2316" s="138"/>
      <c r="H2316" s="138"/>
    </row>
    <row r="2317" spans="3:8" x14ac:dyDescent="0.2">
      <c r="C2317" s="138"/>
      <c r="E2317" s="138"/>
      <c r="F2317" s="138"/>
      <c r="G2317" s="138"/>
      <c r="H2317" s="138"/>
    </row>
    <row r="2318" spans="3:8" x14ac:dyDescent="0.2">
      <c r="C2318" s="138"/>
      <c r="E2318" s="138"/>
      <c r="F2318" s="138"/>
      <c r="G2318" s="138"/>
      <c r="H2318" s="138"/>
    </row>
    <row r="2319" spans="3:8" x14ac:dyDescent="0.2">
      <c r="C2319" s="138"/>
      <c r="E2319" s="138"/>
      <c r="F2319" s="138"/>
      <c r="G2319" s="138"/>
      <c r="H2319" s="138"/>
    </row>
    <row r="2320" spans="3:8" x14ac:dyDescent="0.2">
      <c r="C2320" s="138"/>
      <c r="E2320" s="138"/>
      <c r="F2320" s="138"/>
      <c r="G2320" s="138"/>
      <c r="H2320" s="138"/>
    </row>
    <row r="2321" spans="3:8" x14ac:dyDescent="0.2">
      <c r="C2321" s="138"/>
      <c r="E2321" s="138"/>
      <c r="F2321" s="138"/>
      <c r="G2321" s="138"/>
      <c r="H2321" s="138"/>
    </row>
    <row r="2322" spans="3:8" x14ac:dyDescent="0.2">
      <c r="C2322" s="138"/>
      <c r="E2322" s="138"/>
      <c r="F2322" s="138"/>
      <c r="G2322" s="138"/>
      <c r="H2322" s="138"/>
    </row>
    <row r="2323" spans="3:8" x14ac:dyDescent="0.2">
      <c r="C2323" s="138"/>
      <c r="E2323" s="138"/>
      <c r="F2323" s="138"/>
      <c r="G2323" s="138"/>
      <c r="H2323" s="138"/>
    </row>
    <row r="2324" spans="3:8" x14ac:dyDescent="0.2">
      <c r="C2324" s="138"/>
      <c r="E2324" s="138"/>
      <c r="F2324" s="138"/>
      <c r="G2324" s="138"/>
      <c r="H2324" s="138"/>
    </row>
    <row r="2325" spans="3:8" x14ac:dyDescent="0.2">
      <c r="C2325" s="138"/>
      <c r="E2325" s="138"/>
      <c r="F2325" s="138"/>
      <c r="G2325" s="138"/>
      <c r="H2325" s="138"/>
    </row>
    <row r="2326" spans="3:8" x14ac:dyDescent="0.2">
      <c r="C2326" s="138"/>
      <c r="E2326" s="138"/>
      <c r="F2326" s="138"/>
      <c r="G2326" s="138"/>
      <c r="H2326" s="138"/>
    </row>
    <row r="2327" spans="3:8" x14ac:dyDescent="0.2">
      <c r="C2327" s="138"/>
      <c r="E2327" s="138"/>
      <c r="F2327" s="138"/>
      <c r="G2327" s="138"/>
      <c r="H2327" s="138"/>
    </row>
    <row r="2328" spans="3:8" x14ac:dyDescent="0.2">
      <c r="C2328" s="138"/>
      <c r="E2328" s="138"/>
      <c r="F2328" s="138"/>
      <c r="G2328" s="138"/>
      <c r="H2328" s="138"/>
    </row>
    <row r="2329" spans="3:8" x14ac:dyDescent="0.2">
      <c r="C2329" s="138"/>
      <c r="E2329" s="138"/>
      <c r="F2329" s="138"/>
      <c r="G2329" s="138"/>
      <c r="H2329" s="138"/>
    </row>
    <row r="2330" spans="3:8" x14ac:dyDescent="0.2">
      <c r="C2330" s="138"/>
      <c r="E2330" s="138"/>
      <c r="F2330" s="138"/>
      <c r="G2330" s="138"/>
      <c r="H2330" s="138"/>
    </row>
    <row r="2331" spans="3:8" x14ac:dyDescent="0.2">
      <c r="C2331" s="138"/>
      <c r="E2331" s="138"/>
      <c r="F2331" s="138"/>
      <c r="G2331" s="138"/>
      <c r="H2331" s="138"/>
    </row>
    <row r="2332" spans="3:8" x14ac:dyDescent="0.2">
      <c r="C2332" s="138"/>
      <c r="E2332" s="138"/>
      <c r="F2332" s="138"/>
      <c r="G2332" s="138"/>
      <c r="H2332" s="138"/>
    </row>
    <row r="2333" spans="3:8" x14ac:dyDescent="0.2">
      <c r="C2333" s="138"/>
      <c r="E2333" s="138"/>
      <c r="F2333" s="138"/>
      <c r="G2333" s="138"/>
      <c r="H2333" s="138"/>
    </row>
    <row r="2334" spans="3:8" x14ac:dyDescent="0.2">
      <c r="C2334" s="138"/>
      <c r="E2334" s="138"/>
      <c r="F2334" s="138"/>
      <c r="G2334" s="138"/>
      <c r="H2334" s="138"/>
    </row>
    <row r="2335" spans="3:8" x14ac:dyDescent="0.2">
      <c r="C2335" s="138"/>
      <c r="E2335" s="138"/>
      <c r="F2335" s="138"/>
      <c r="G2335" s="138"/>
      <c r="H2335" s="138"/>
    </row>
    <row r="2336" spans="3:8" x14ac:dyDescent="0.2">
      <c r="C2336" s="138"/>
      <c r="E2336" s="138"/>
      <c r="F2336" s="138"/>
      <c r="G2336" s="138"/>
      <c r="H2336" s="138"/>
    </row>
    <row r="2337" spans="3:8" x14ac:dyDescent="0.2">
      <c r="C2337" s="138"/>
      <c r="E2337" s="138"/>
      <c r="F2337" s="138"/>
      <c r="G2337" s="138"/>
      <c r="H2337" s="138"/>
    </row>
    <row r="2338" spans="3:8" x14ac:dyDescent="0.2">
      <c r="C2338" s="138"/>
      <c r="E2338" s="138"/>
      <c r="F2338" s="138"/>
      <c r="G2338" s="138"/>
      <c r="H2338" s="138"/>
    </row>
    <row r="2339" spans="3:8" x14ac:dyDescent="0.2">
      <c r="C2339" s="138"/>
      <c r="E2339" s="138"/>
      <c r="F2339" s="138"/>
      <c r="G2339" s="138"/>
      <c r="H2339" s="138"/>
    </row>
    <row r="2340" spans="3:8" x14ac:dyDescent="0.2">
      <c r="C2340" s="138"/>
      <c r="E2340" s="138"/>
      <c r="F2340" s="138"/>
      <c r="G2340" s="138"/>
      <c r="H2340" s="138"/>
    </row>
    <row r="2341" spans="3:8" x14ac:dyDescent="0.2">
      <c r="C2341" s="138"/>
      <c r="E2341" s="138"/>
      <c r="F2341" s="138"/>
      <c r="G2341" s="138"/>
      <c r="H2341" s="138"/>
    </row>
    <row r="2342" spans="3:8" x14ac:dyDescent="0.2">
      <c r="C2342" s="138"/>
      <c r="E2342" s="138"/>
      <c r="F2342" s="138"/>
      <c r="G2342" s="138"/>
      <c r="H2342" s="138"/>
    </row>
    <row r="2343" spans="3:8" x14ac:dyDescent="0.2">
      <c r="C2343" s="138"/>
      <c r="E2343" s="138"/>
      <c r="F2343" s="138"/>
      <c r="G2343" s="138"/>
      <c r="H2343" s="138"/>
    </row>
    <row r="2344" spans="3:8" x14ac:dyDescent="0.2">
      <c r="C2344" s="138"/>
      <c r="E2344" s="138"/>
      <c r="F2344" s="138"/>
      <c r="G2344" s="138"/>
      <c r="H2344" s="138"/>
    </row>
    <row r="2345" spans="3:8" x14ac:dyDescent="0.2">
      <c r="C2345" s="138"/>
      <c r="E2345" s="138"/>
      <c r="F2345" s="138"/>
      <c r="G2345" s="138"/>
      <c r="H2345" s="138"/>
    </row>
    <row r="2346" spans="3:8" x14ac:dyDescent="0.2">
      <c r="C2346" s="138"/>
      <c r="E2346" s="138"/>
      <c r="F2346" s="138"/>
      <c r="G2346" s="138"/>
      <c r="H2346" s="138"/>
    </row>
    <row r="2347" spans="3:8" x14ac:dyDescent="0.2">
      <c r="C2347" s="138"/>
      <c r="E2347" s="138"/>
      <c r="F2347" s="138"/>
      <c r="G2347" s="138"/>
      <c r="H2347" s="138"/>
    </row>
    <row r="2348" spans="3:8" x14ac:dyDescent="0.2">
      <c r="C2348" s="138"/>
      <c r="E2348" s="138"/>
      <c r="F2348" s="138"/>
      <c r="G2348" s="138"/>
      <c r="H2348" s="138"/>
    </row>
    <row r="2349" spans="3:8" x14ac:dyDescent="0.2">
      <c r="C2349" s="138"/>
      <c r="E2349" s="138"/>
      <c r="F2349" s="138"/>
      <c r="G2349" s="138"/>
      <c r="H2349" s="138"/>
    </row>
    <row r="2350" spans="3:8" x14ac:dyDescent="0.2">
      <c r="C2350" s="138"/>
      <c r="E2350" s="138"/>
      <c r="F2350" s="138"/>
      <c r="G2350" s="138"/>
      <c r="H2350" s="138"/>
    </row>
    <row r="2351" spans="3:8" x14ac:dyDescent="0.2">
      <c r="C2351" s="138"/>
      <c r="E2351" s="138"/>
      <c r="F2351" s="138"/>
      <c r="G2351" s="138"/>
      <c r="H2351" s="138"/>
    </row>
    <row r="2352" spans="3:8" x14ac:dyDescent="0.2">
      <c r="C2352" s="138"/>
      <c r="E2352" s="138"/>
      <c r="F2352" s="138"/>
      <c r="G2352" s="138"/>
      <c r="H2352" s="138"/>
    </row>
    <row r="2353" spans="3:8" x14ac:dyDescent="0.2">
      <c r="C2353" s="138"/>
      <c r="E2353" s="138"/>
      <c r="F2353" s="138"/>
      <c r="G2353" s="138"/>
      <c r="H2353" s="138"/>
    </row>
    <row r="2354" spans="3:8" x14ac:dyDescent="0.2">
      <c r="C2354" s="138"/>
      <c r="E2354" s="138"/>
      <c r="F2354" s="138"/>
      <c r="G2354" s="138"/>
      <c r="H2354" s="138"/>
    </row>
    <row r="2355" spans="3:8" x14ac:dyDescent="0.2">
      <c r="C2355" s="138"/>
      <c r="E2355" s="138"/>
      <c r="F2355" s="138"/>
      <c r="G2355" s="138"/>
      <c r="H2355" s="138"/>
    </row>
    <row r="2356" spans="3:8" x14ac:dyDescent="0.2">
      <c r="C2356" s="138"/>
      <c r="E2356" s="138"/>
      <c r="F2356" s="138"/>
      <c r="G2356" s="138"/>
      <c r="H2356" s="138"/>
    </row>
    <row r="2357" spans="3:8" x14ac:dyDescent="0.2">
      <c r="C2357" s="138"/>
      <c r="E2357" s="138"/>
      <c r="F2357" s="138"/>
      <c r="G2357" s="138"/>
      <c r="H2357" s="138"/>
    </row>
    <row r="2358" spans="3:8" x14ac:dyDescent="0.2">
      <c r="C2358" s="138"/>
      <c r="E2358" s="138"/>
      <c r="F2358" s="138"/>
      <c r="G2358" s="138"/>
      <c r="H2358" s="138"/>
    </row>
    <row r="2359" spans="3:8" x14ac:dyDescent="0.2">
      <c r="C2359" s="138"/>
      <c r="E2359" s="138"/>
      <c r="F2359" s="138"/>
      <c r="G2359" s="138"/>
      <c r="H2359" s="138"/>
    </row>
    <row r="2360" spans="3:8" x14ac:dyDescent="0.2">
      <c r="C2360" s="138"/>
      <c r="E2360" s="138"/>
      <c r="F2360" s="138"/>
      <c r="G2360" s="138"/>
      <c r="H2360" s="138"/>
    </row>
    <row r="2361" spans="3:8" x14ac:dyDescent="0.2">
      <c r="C2361" s="138"/>
      <c r="E2361" s="138"/>
      <c r="F2361" s="138"/>
      <c r="G2361" s="138"/>
      <c r="H2361" s="138"/>
    </row>
    <row r="2362" spans="3:8" x14ac:dyDescent="0.2">
      <c r="C2362" s="138"/>
      <c r="E2362" s="138"/>
      <c r="F2362" s="138"/>
      <c r="G2362" s="138"/>
      <c r="H2362" s="138"/>
    </row>
    <row r="2363" spans="3:8" x14ac:dyDescent="0.2">
      <c r="C2363" s="138"/>
      <c r="E2363" s="138"/>
      <c r="F2363" s="138"/>
      <c r="G2363" s="138"/>
      <c r="H2363" s="138"/>
    </row>
    <row r="2364" spans="3:8" x14ac:dyDescent="0.2">
      <c r="C2364" s="138"/>
      <c r="E2364" s="138"/>
      <c r="F2364" s="138"/>
      <c r="G2364" s="138"/>
      <c r="H2364" s="138"/>
    </row>
    <row r="2365" spans="3:8" x14ac:dyDescent="0.2">
      <c r="C2365" s="138"/>
      <c r="E2365" s="138"/>
      <c r="F2365" s="138"/>
      <c r="G2365" s="138"/>
      <c r="H2365" s="138"/>
    </row>
    <row r="2366" spans="3:8" x14ac:dyDescent="0.2">
      <c r="C2366" s="138"/>
      <c r="E2366" s="138"/>
      <c r="F2366" s="138"/>
      <c r="G2366" s="138"/>
      <c r="H2366" s="138"/>
    </row>
    <row r="2367" spans="3:8" x14ac:dyDescent="0.2">
      <c r="C2367" s="138"/>
      <c r="E2367" s="138"/>
      <c r="F2367" s="138"/>
      <c r="G2367" s="138"/>
      <c r="H2367" s="138"/>
    </row>
    <row r="2368" spans="3:8" x14ac:dyDescent="0.2">
      <c r="C2368" s="138"/>
      <c r="E2368" s="138"/>
      <c r="F2368" s="138"/>
      <c r="G2368" s="138"/>
      <c r="H2368" s="138"/>
    </row>
    <row r="2369" spans="3:8" x14ac:dyDescent="0.2">
      <c r="C2369" s="138"/>
      <c r="E2369" s="138"/>
      <c r="F2369" s="138"/>
      <c r="G2369" s="138"/>
      <c r="H2369" s="138"/>
    </row>
    <row r="2370" spans="3:8" x14ac:dyDescent="0.2">
      <c r="C2370" s="138"/>
      <c r="E2370" s="138"/>
      <c r="F2370" s="138"/>
      <c r="G2370" s="138"/>
      <c r="H2370" s="138"/>
    </row>
    <row r="2371" spans="3:8" x14ac:dyDescent="0.2">
      <c r="C2371" s="138"/>
      <c r="E2371" s="138"/>
      <c r="F2371" s="138"/>
      <c r="G2371" s="138"/>
      <c r="H2371" s="138"/>
    </row>
    <row r="2372" spans="3:8" x14ac:dyDescent="0.2">
      <c r="C2372" s="138"/>
      <c r="E2372" s="138"/>
      <c r="F2372" s="138"/>
      <c r="G2372" s="138"/>
      <c r="H2372" s="138"/>
    </row>
    <row r="2373" spans="3:8" x14ac:dyDescent="0.2">
      <c r="C2373" s="138"/>
      <c r="E2373" s="138"/>
      <c r="F2373" s="138"/>
      <c r="G2373" s="138"/>
      <c r="H2373" s="138"/>
    </row>
    <row r="2374" spans="3:8" x14ac:dyDescent="0.2">
      <c r="C2374" s="138"/>
      <c r="E2374" s="138"/>
      <c r="F2374" s="138"/>
      <c r="G2374" s="138"/>
      <c r="H2374" s="138"/>
    </row>
    <row r="2375" spans="3:8" x14ac:dyDescent="0.2">
      <c r="C2375" s="138"/>
      <c r="E2375" s="138"/>
      <c r="F2375" s="138"/>
      <c r="G2375" s="138"/>
      <c r="H2375" s="138"/>
    </row>
    <row r="2376" spans="3:8" x14ac:dyDescent="0.2">
      <c r="C2376" s="138"/>
      <c r="E2376" s="138"/>
      <c r="F2376" s="138"/>
      <c r="G2376" s="138"/>
      <c r="H2376" s="138"/>
    </row>
    <row r="2377" spans="3:8" x14ac:dyDescent="0.2">
      <c r="C2377" s="138"/>
      <c r="E2377" s="138"/>
      <c r="F2377" s="138"/>
      <c r="G2377" s="138"/>
      <c r="H2377" s="138"/>
    </row>
    <row r="2378" spans="3:8" x14ac:dyDescent="0.2">
      <c r="C2378" s="138"/>
      <c r="E2378" s="138"/>
      <c r="F2378" s="138"/>
      <c r="G2378" s="138"/>
      <c r="H2378" s="138"/>
    </row>
    <row r="2379" spans="3:8" x14ac:dyDescent="0.2">
      <c r="C2379" s="138"/>
      <c r="E2379" s="138"/>
      <c r="F2379" s="138"/>
      <c r="G2379" s="138"/>
      <c r="H2379" s="138"/>
    </row>
    <row r="2380" spans="3:8" x14ac:dyDescent="0.2">
      <c r="C2380" s="138"/>
      <c r="E2380" s="138"/>
      <c r="F2380" s="138"/>
      <c r="G2380" s="138"/>
      <c r="H2380" s="138"/>
    </row>
    <row r="2381" spans="3:8" x14ac:dyDescent="0.2">
      <c r="C2381" s="138"/>
      <c r="E2381" s="138"/>
      <c r="F2381" s="138"/>
      <c r="G2381" s="138"/>
      <c r="H2381" s="138"/>
    </row>
    <row r="2382" spans="3:8" x14ac:dyDescent="0.2">
      <c r="C2382" s="138"/>
      <c r="E2382" s="138"/>
      <c r="F2382" s="138"/>
      <c r="G2382" s="138"/>
      <c r="H2382" s="138"/>
    </row>
    <row r="2383" spans="3:8" x14ac:dyDescent="0.2">
      <c r="C2383" s="138"/>
      <c r="E2383" s="138"/>
      <c r="F2383" s="138"/>
      <c r="G2383" s="138"/>
      <c r="H2383" s="138"/>
    </row>
    <row r="2384" spans="3:8" x14ac:dyDescent="0.2">
      <c r="C2384" s="138"/>
      <c r="E2384" s="138"/>
      <c r="F2384" s="138"/>
      <c r="G2384" s="138"/>
      <c r="H2384" s="138"/>
    </row>
    <row r="2385" spans="3:8" x14ac:dyDescent="0.2">
      <c r="C2385" s="138"/>
      <c r="E2385" s="138"/>
      <c r="F2385" s="138"/>
      <c r="G2385" s="138"/>
      <c r="H2385" s="138"/>
    </row>
    <row r="2386" spans="3:8" x14ac:dyDescent="0.2">
      <c r="C2386" s="138"/>
      <c r="E2386" s="138"/>
      <c r="F2386" s="138"/>
      <c r="G2386" s="138"/>
      <c r="H2386" s="138"/>
    </row>
    <row r="2387" spans="3:8" x14ac:dyDescent="0.2">
      <c r="C2387" s="138"/>
      <c r="E2387" s="138"/>
      <c r="F2387" s="138"/>
      <c r="G2387" s="138"/>
      <c r="H2387" s="138"/>
    </row>
    <row r="2388" spans="3:8" x14ac:dyDescent="0.2">
      <c r="C2388" s="138"/>
      <c r="E2388" s="138"/>
      <c r="F2388" s="138"/>
      <c r="G2388" s="138"/>
      <c r="H2388" s="138"/>
    </row>
    <row r="2389" spans="3:8" x14ac:dyDescent="0.2">
      <c r="C2389" s="138"/>
      <c r="E2389" s="138"/>
      <c r="F2389" s="138"/>
      <c r="G2389" s="138"/>
      <c r="H2389" s="138"/>
    </row>
    <row r="2390" spans="3:8" x14ac:dyDescent="0.2">
      <c r="C2390" s="138"/>
      <c r="E2390" s="138"/>
      <c r="F2390" s="138"/>
      <c r="G2390" s="138"/>
      <c r="H2390" s="138"/>
    </row>
    <row r="2391" spans="3:8" x14ac:dyDescent="0.2">
      <c r="C2391" s="138"/>
      <c r="E2391" s="138"/>
      <c r="F2391" s="138"/>
      <c r="G2391" s="138"/>
      <c r="H2391" s="138"/>
    </row>
    <row r="2392" spans="3:8" x14ac:dyDescent="0.2">
      <c r="C2392" s="138"/>
      <c r="E2392" s="138"/>
      <c r="F2392" s="138"/>
      <c r="G2392" s="138"/>
      <c r="H2392" s="138"/>
    </row>
    <row r="2393" spans="3:8" x14ac:dyDescent="0.2">
      <c r="C2393" s="138"/>
      <c r="E2393" s="138"/>
      <c r="F2393" s="138"/>
      <c r="G2393" s="138"/>
      <c r="H2393" s="138"/>
    </row>
    <row r="2394" spans="3:8" x14ac:dyDescent="0.2">
      <c r="C2394" s="138"/>
      <c r="E2394" s="138"/>
      <c r="F2394" s="138"/>
      <c r="G2394" s="138"/>
      <c r="H2394" s="138"/>
    </row>
    <row r="2395" spans="3:8" x14ac:dyDescent="0.2">
      <c r="C2395" s="138"/>
      <c r="E2395" s="138"/>
      <c r="F2395" s="138"/>
      <c r="G2395" s="138"/>
      <c r="H2395" s="138"/>
    </row>
    <row r="2396" spans="3:8" x14ac:dyDescent="0.2">
      <c r="C2396" s="138"/>
      <c r="E2396" s="138"/>
      <c r="F2396" s="138"/>
      <c r="G2396" s="138"/>
      <c r="H2396" s="138"/>
    </row>
    <row r="2397" spans="3:8" x14ac:dyDescent="0.2">
      <c r="C2397" s="138"/>
      <c r="E2397" s="138"/>
      <c r="F2397" s="138"/>
      <c r="G2397" s="138"/>
      <c r="H2397" s="138"/>
    </row>
    <row r="2398" spans="3:8" x14ac:dyDescent="0.2">
      <c r="C2398" s="138"/>
      <c r="E2398" s="138"/>
      <c r="F2398" s="138"/>
      <c r="G2398" s="138"/>
      <c r="H2398" s="138"/>
    </row>
    <row r="2399" spans="3:8" x14ac:dyDescent="0.2">
      <c r="C2399" s="138"/>
      <c r="E2399" s="138"/>
      <c r="F2399" s="138"/>
      <c r="G2399" s="138"/>
      <c r="H2399" s="138"/>
    </row>
    <row r="2400" spans="3:8" x14ac:dyDescent="0.2">
      <c r="C2400" s="138"/>
      <c r="E2400" s="138"/>
      <c r="F2400" s="138"/>
      <c r="G2400" s="138"/>
      <c r="H2400" s="138"/>
    </row>
    <row r="2401" spans="3:8" x14ac:dyDescent="0.2">
      <c r="C2401" s="138"/>
      <c r="E2401" s="138"/>
      <c r="F2401" s="138"/>
      <c r="G2401" s="138"/>
      <c r="H2401" s="138"/>
    </row>
    <row r="2402" spans="3:8" x14ac:dyDescent="0.2">
      <c r="C2402" s="138"/>
      <c r="E2402" s="138"/>
      <c r="F2402" s="138"/>
      <c r="G2402" s="138"/>
      <c r="H2402" s="138"/>
    </row>
    <row r="2403" spans="3:8" x14ac:dyDescent="0.2">
      <c r="C2403" s="138"/>
      <c r="E2403" s="138"/>
      <c r="F2403" s="138"/>
      <c r="G2403" s="138"/>
      <c r="H2403" s="138"/>
    </row>
    <row r="2404" spans="3:8" x14ac:dyDescent="0.2">
      <c r="C2404" s="138"/>
      <c r="E2404" s="138"/>
      <c r="F2404" s="138"/>
      <c r="G2404" s="138"/>
      <c r="H2404" s="138"/>
    </row>
    <row r="2405" spans="3:8" x14ac:dyDescent="0.2">
      <c r="C2405" s="138"/>
      <c r="E2405" s="138"/>
      <c r="F2405" s="138"/>
      <c r="G2405" s="138"/>
      <c r="H2405" s="138"/>
    </row>
    <row r="2406" spans="3:8" x14ac:dyDescent="0.2">
      <c r="C2406" s="138"/>
      <c r="E2406" s="138"/>
      <c r="F2406" s="138"/>
      <c r="G2406" s="138"/>
      <c r="H2406" s="138"/>
    </row>
    <row r="2407" spans="3:8" x14ac:dyDescent="0.2">
      <c r="C2407" s="138"/>
      <c r="E2407" s="138"/>
      <c r="F2407" s="138"/>
      <c r="G2407" s="138"/>
      <c r="H2407" s="138"/>
    </row>
    <row r="2408" spans="3:8" x14ac:dyDescent="0.2">
      <c r="C2408" s="138"/>
      <c r="E2408" s="138"/>
      <c r="F2408" s="138"/>
      <c r="G2408" s="138"/>
      <c r="H2408" s="138"/>
    </row>
    <row r="2409" spans="3:8" x14ac:dyDescent="0.2">
      <c r="C2409" s="138"/>
      <c r="E2409" s="138"/>
      <c r="F2409" s="138"/>
      <c r="G2409" s="138"/>
      <c r="H2409" s="138"/>
    </row>
    <row r="2410" spans="3:8" x14ac:dyDescent="0.2">
      <c r="C2410" s="138"/>
      <c r="E2410" s="138"/>
      <c r="F2410" s="138"/>
      <c r="G2410" s="138"/>
      <c r="H2410" s="138"/>
    </row>
    <row r="2411" spans="3:8" x14ac:dyDescent="0.2">
      <c r="C2411" s="138"/>
      <c r="E2411" s="138"/>
      <c r="F2411" s="138"/>
      <c r="G2411" s="138"/>
      <c r="H2411" s="138"/>
    </row>
    <row r="2412" spans="3:8" x14ac:dyDescent="0.2">
      <c r="C2412" s="138"/>
      <c r="E2412" s="138"/>
      <c r="F2412" s="138"/>
      <c r="G2412" s="138"/>
      <c r="H2412" s="138"/>
    </row>
    <row r="2413" spans="3:8" x14ac:dyDescent="0.2">
      <c r="C2413" s="138"/>
      <c r="E2413" s="138"/>
      <c r="F2413" s="138"/>
      <c r="G2413" s="138"/>
      <c r="H2413" s="138"/>
    </row>
    <row r="2414" spans="3:8" x14ac:dyDescent="0.2">
      <c r="C2414" s="138"/>
      <c r="E2414" s="138"/>
      <c r="F2414" s="138"/>
      <c r="G2414" s="138"/>
      <c r="H2414" s="138"/>
    </row>
    <row r="2415" spans="3:8" x14ac:dyDescent="0.2">
      <c r="C2415" s="138"/>
      <c r="E2415" s="138"/>
      <c r="F2415" s="138"/>
      <c r="G2415" s="138"/>
      <c r="H2415" s="138"/>
    </row>
    <row r="2416" spans="3:8" x14ac:dyDescent="0.2">
      <c r="C2416" s="138"/>
      <c r="E2416" s="138"/>
      <c r="F2416" s="138"/>
      <c r="G2416" s="138"/>
      <c r="H2416" s="138"/>
    </row>
    <row r="2417" spans="3:8" x14ac:dyDescent="0.2">
      <c r="C2417" s="138"/>
      <c r="E2417" s="138"/>
      <c r="F2417" s="138"/>
      <c r="G2417" s="138"/>
      <c r="H2417" s="138"/>
    </row>
    <row r="2418" spans="3:8" x14ac:dyDescent="0.2">
      <c r="C2418" s="138"/>
      <c r="E2418" s="138"/>
      <c r="F2418" s="138"/>
      <c r="G2418" s="138"/>
      <c r="H2418" s="138"/>
    </row>
    <row r="2419" spans="3:8" x14ac:dyDescent="0.2">
      <c r="C2419" s="138"/>
      <c r="E2419" s="138"/>
      <c r="F2419" s="138"/>
      <c r="G2419" s="138"/>
      <c r="H2419" s="138"/>
    </row>
    <row r="2420" spans="3:8" x14ac:dyDescent="0.2">
      <c r="C2420" s="138"/>
      <c r="E2420" s="138"/>
      <c r="F2420" s="138"/>
      <c r="G2420" s="138"/>
      <c r="H2420" s="138"/>
    </row>
    <row r="2421" spans="3:8" x14ac:dyDescent="0.2">
      <c r="C2421" s="138"/>
      <c r="E2421" s="138"/>
      <c r="F2421" s="138"/>
      <c r="G2421" s="138"/>
      <c r="H2421" s="138"/>
    </row>
    <row r="2422" spans="3:8" x14ac:dyDescent="0.2">
      <c r="C2422" s="138"/>
      <c r="E2422" s="138"/>
      <c r="F2422" s="138"/>
      <c r="G2422" s="138"/>
      <c r="H2422" s="138"/>
    </row>
    <row r="2423" spans="3:8" x14ac:dyDescent="0.2">
      <c r="C2423" s="138"/>
      <c r="E2423" s="138"/>
      <c r="F2423" s="138"/>
      <c r="G2423" s="138"/>
      <c r="H2423" s="138"/>
    </row>
    <row r="2424" spans="3:8" x14ac:dyDescent="0.2">
      <c r="C2424" s="138"/>
      <c r="E2424" s="138"/>
      <c r="F2424" s="138"/>
      <c r="G2424" s="138"/>
      <c r="H2424" s="138"/>
    </row>
    <row r="2425" spans="3:8" x14ac:dyDescent="0.2">
      <c r="C2425" s="138"/>
      <c r="E2425" s="138"/>
      <c r="F2425" s="138"/>
      <c r="G2425" s="138"/>
      <c r="H2425" s="138"/>
    </row>
    <row r="2426" spans="3:8" x14ac:dyDescent="0.2">
      <c r="C2426" s="138"/>
      <c r="E2426" s="138"/>
      <c r="F2426" s="138"/>
      <c r="G2426" s="138"/>
      <c r="H2426" s="138"/>
    </row>
    <row r="2427" spans="3:8" x14ac:dyDescent="0.2">
      <c r="C2427" s="138"/>
      <c r="E2427" s="138"/>
      <c r="F2427" s="138"/>
      <c r="G2427" s="138"/>
      <c r="H2427" s="138"/>
    </row>
    <row r="2428" spans="3:8" x14ac:dyDescent="0.2">
      <c r="C2428" s="138"/>
      <c r="E2428" s="138"/>
      <c r="F2428" s="138"/>
      <c r="G2428" s="138"/>
      <c r="H2428" s="138"/>
    </row>
    <row r="2429" spans="3:8" x14ac:dyDescent="0.2">
      <c r="C2429" s="138"/>
      <c r="E2429" s="138"/>
      <c r="F2429" s="138"/>
      <c r="G2429" s="138"/>
      <c r="H2429" s="138"/>
    </row>
    <row r="2430" spans="3:8" x14ac:dyDescent="0.2">
      <c r="C2430" s="138"/>
      <c r="E2430" s="138"/>
      <c r="F2430" s="138"/>
      <c r="G2430" s="138"/>
      <c r="H2430" s="138"/>
    </row>
    <row r="2431" spans="3:8" x14ac:dyDescent="0.2">
      <c r="C2431" s="138"/>
      <c r="E2431" s="138"/>
      <c r="F2431" s="138"/>
      <c r="G2431" s="138"/>
      <c r="H2431" s="138"/>
    </row>
    <row r="2432" spans="3:8" x14ac:dyDescent="0.2">
      <c r="C2432" s="138"/>
      <c r="E2432" s="138"/>
      <c r="F2432" s="138"/>
      <c r="G2432" s="138"/>
      <c r="H2432" s="138"/>
    </row>
    <row r="2433" spans="3:8" x14ac:dyDescent="0.2">
      <c r="C2433" s="138"/>
      <c r="E2433" s="138"/>
      <c r="F2433" s="138"/>
      <c r="G2433" s="138"/>
      <c r="H2433" s="138"/>
    </row>
    <row r="2434" spans="3:8" x14ac:dyDescent="0.2">
      <c r="C2434" s="138"/>
      <c r="E2434" s="138"/>
      <c r="F2434" s="138"/>
      <c r="G2434" s="138"/>
      <c r="H2434" s="138"/>
    </row>
    <row r="2435" spans="3:8" x14ac:dyDescent="0.2">
      <c r="C2435" s="138"/>
      <c r="E2435" s="138"/>
      <c r="F2435" s="138"/>
      <c r="G2435" s="138"/>
      <c r="H2435" s="138"/>
    </row>
    <row r="2436" spans="3:8" x14ac:dyDescent="0.2">
      <c r="C2436" s="138"/>
      <c r="E2436" s="138"/>
      <c r="F2436" s="138"/>
      <c r="G2436" s="138"/>
      <c r="H2436" s="138"/>
    </row>
    <row r="2437" spans="3:8" x14ac:dyDescent="0.2">
      <c r="C2437" s="138"/>
      <c r="E2437" s="138"/>
      <c r="F2437" s="138"/>
      <c r="G2437" s="138"/>
      <c r="H2437" s="138"/>
    </row>
    <row r="2438" spans="3:8" x14ac:dyDescent="0.2">
      <c r="C2438" s="138"/>
      <c r="E2438" s="138"/>
      <c r="F2438" s="138"/>
      <c r="G2438" s="138"/>
      <c r="H2438" s="138"/>
    </row>
    <row r="2439" spans="3:8" x14ac:dyDescent="0.2">
      <c r="C2439" s="138"/>
      <c r="E2439" s="138"/>
      <c r="F2439" s="138"/>
      <c r="G2439" s="138"/>
      <c r="H2439" s="138"/>
    </row>
    <row r="2440" spans="3:8" x14ac:dyDescent="0.2">
      <c r="C2440" s="138"/>
      <c r="E2440" s="138"/>
      <c r="F2440" s="138"/>
      <c r="G2440" s="138"/>
      <c r="H2440" s="138"/>
    </row>
    <row r="2441" spans="3:8" x14ac:dyDescent="0.2">
      <c r="C2441" s="138"/>
      <c r="E2441" s="138"/>
      <c r="F2441" s="138"/>
      <c r="G2441" s="138"/>
      <c r="H2441" s="138"/>
    </row>
    <row r="2442" spans="3:8" x14ac:dyDescent="0.2">
      <c r="C2442" s="138"/>
      <c r="E2442" s="138"/>
      <c r="F2442" s="138"/>
      <c r="G2442" s="138"/>
      <c r="H2442" s="138"/>
    </row>
    <row r="2443" spans="3:8" x14ac:dyDescent="0.2">
      <c r="C2443" s="138"/>
      <c r="E2443" s="138"/>
      <c r="F2443" s="138"/>
      <c r="G2443" s="138"/>
      <c r="H2443" s="138"/>
    </row>
    <row r="2444" spans="3:8" x14ac:dyDescent="0.2">
      <c r="C2444" s="138"/>
      <c r="E2444" s="138"/>
      <c r="F2444" s="138"/>
      <c r="G2444" s="138"/>
      <c r="H2444" s="138"/>
    </row>
    <row r="2445" spans="3:8" x14ac:dyDescent="0.2">
      <c r="C2445" s="138"/>
      <c r="E2445" s="138"/>
      <c r="F2445" s="138"/>
      <c r="G2445" s="138"/>
      <c r="H2445" s="138"/>
    </row>
    <row r="2446" spans="3:8" x14ac:dyDescent="0.2">
      <c r="C2446" s="138"/>
      <c r="E2446" s="138"/>
      <c r="F2446" s="138"/>
      <c r="G2446" s="138"/>
      <c r="H2446" s="138"/>
    </row>
    <row r="2447" spans="3:8" x14ac:dyDescent="0.2">
      <c r="C2447" s="138"/>
      <c r="E2447" s="138"/>
      <c r="F2447" s="138"/>
      <c r="G2447" s="138"/>
      <c r="H2447" s="138"/>
    </row>
    <row r="2448" spans="3:8" x14ac:dyDescent="0.2">
      <c r="C2448" s="138"/>
      <c r="E2448" s="138"/>
      <c r="F2448" s="138"/>
      <c r="G2448" s="138"/>
      <c r="H2448" s="138"/>
    </row>
    <row r="2449" spans="3:8" x14ac:dyDescent="0.2">
      <c r="C2449" s="138"/>
      <c r="E2449" s="138"/>
      <c r="F2449" s="138"/>
      <c r="G2449" s="138"/>
      <c r="H2449" s="138"/>
    </row>
    <row r="2450" spans="3:8" x14ac:dyDescent="0.2">
      <c r="C2450" s="138"/>
      <c r="E2450" s="138"/>
      <c r="F2450" s="138"/>
      <c r="G2450" s="138"/>
      <c r="H2450" s="138"/>
    </row>
    <row r="2451" spans="3:8" x14ac:dyDescent="0.2">
      <c r="C2451" s="138"/>
      <c r="E2451" s="138"/>
      <c r="F2451" s="138"/>
      <c r="G2451" s="138"/>
      <c r="H2451" s="138"/>
    </row>
    <row r="2452" spans="3:8" x14ac:dyDescent="0.2">
      <c r="C2452" s="138"/>
      <c r="E2452" s="138"/>
      <c r="F2452" s="138"/>
      <c r="G2452" s="138"/>
      <c r="H2452" s="138"/>
    </row>
    <row r="2453" spans="3:8" x14ac:dyDescent="0.2">
      <c r="C2453" s="138"/>
      <c r="E2453" s="138"/>
      <c r="F2453" s="138"/>
      <c r="G2453" s="138"/>
      <c r="H2453" s="138"/>
    </row>
    <row r="2454" spans="3:8" x14ac:dyDescent="0.2">
      <c r="C2454" s="138"/>
      <c r="E2454" s="138"/>
      <c r="F2454" s="138"/>
      <c r="G2454" s="138"/>
      <c r="H2454" s="138"/>
    </row>
    <row r="2455" spans="3:8" x14ac:dyDescent="0.2">
      <c r="C2455" s="138"/>
      <c r="E2455" s="138"/>
      <c r="F2455" s="138"/>
      <c r="G2455" s="138"/>
      <c r="H2455" s="138"/>
    </row>
    <row r="2456" spans="3:8" x14ac:dyDescent="0.2">
      <c r="C2456" s="138"/>
      <c r="E2456" s="138"/>
      <c r="F2456" s="138"/>
      <c r="G2456" s="138"/>
      <c r="H2456" s="138"/>
    </row>
    <row r="2457" spans="3:8" x14ac:dyDescent="0.2">
      <c r="C2457" s="138"/>
      <c r="E2457" s="138"/>
      <c r="F2457" s="138"/>
      <c r="G2457" s="138"/>
      <c r="H2457" s="138"/>
    </row>
    <row r="2458" spans="3:8" x14ac:dyDescent="0.2">
      <c r="C2458" s="138"/>
      <c r="E2458" s="138"/>
      <c r="F2458" s="138"/>
      <c r="G2458" s="138"/>
      <c r="H2458" s="138"/>
    </row>
    <row r="2459" spans="3:8" x14ac:dyDescent="0.2">
      <c r="C2459" s="138"/>
      <c r="E2459" s="138"/>
      <c r="F2459" s="138"/>
      <c r="G2459" s="138"/>
      <c r="H2459" s="138"/>
    </row>
    <row r="2460" spans="3:8" x14ac:dyDescent="0.2">
      <c r="C2460" s="138"/>
      <c r="E2460" s="138"/>
      <c r="F2460" s="138"/>
      <c r="G2460" s="138"/>
      <c r="H2460" s="138"/>
    </row>
    <row r="2461" spans="3:8" x14ac:dyDescent="0.2">
      <c r="C2461" s="138"/>
      <c r="E2461" s="138"/>
      <c r="F2461" s="138"/>
      <c r="G2461" s="138"/>
      <c r="H2461" s="138"/>
    </row>
    <row r="2462" spans="3:8" x14ac:dyDescent="0.2">
      <c r="C2462" s="138"/>
      <c r="E2462" s="138"/>
      <c r="F2462" s="138"/>
      <c r="G2462" s="138"/>
      <c r="H2462" s="138"/>
    </row>
    <row r="2463" spans="3:8" x14ac:dyDescent="0.2">
      <c r="C2463" s="138"/>
      <c r="E2463" s="138"/>
      <c r="F2463" s="138"/>
      <c r="G2463" s="138"/>
      <c r="H2463" s="138"/>
    </row>
    <row r="2464" spans="3:8" x14ac:dyDescent="0.2">
      <c r="C2464" s="138"/>
      <c r="E2464" s="138"/>
      <c r="F2464" s="138"/>
      <c r="G2464" s="138"/>
      <c r="H2464" s="138"/>
    </row>
    <row r="2465" spans="3:8" x14ac:dyDescent="0.2">
      <c r="C2465" s="138"/>
      <c r="E2465" s="138"/>
      <c r="F2465" s="138"/>
      <c r="G2465" s="138"/>
      <c r="H2465" s="138"/>
    </row>
    <row r="2466" spans="3:8" x14ac:dyDescent="0.2">
      <c r="C2466" s="138"/>
      <c r="E2466" s="138"/>
      <c r="F2466" s="138"/>
      <c r="G2466" s="138"/>
      <c r="H2466" s="138"/>
    </row>
    <row r="2467" spans="3:8" x14ac:dyDescent="0.2">
      <c r="C2467" s="138"/>
      <c r="E2467" s="138"/>
      <c r="F2467" s="138"/>
      <c r="G2467" s="138"/>
      <c r="H2467" s="138"/>
    </row>
    <row r="2468" spans="3:8" x14ac:dyDescent="0.2">
      <c r="C2468" s="138"/>
      <c r="E2468" s="138"/>
      <c r="F2468" s="138"/>
      <c r="G2468" s="138"/>
      <c r="H2468" s="138"/>
    </row>
    <row r="2469" spans="3:8" x14ac:dyDescent="0.2">
      <c r="C2469" s="138"/>
      <c r="E2469" s="138"/>
      <c r="F2469" s="138"/>
      <c r="G2469" s="138"/>
      <c r="H2469" s="138"/>
    </row>
    <row r="2470" spans="3:8" x14ac:dyDescent="0.2">
      <c r="C2470" s="138"/>
      <c r="E2470" s="138"/>
      <c r="F2470" s="138"/>
      <c r="G2470" s="138"/>
      <c r="H2470" s="138"/>
    </row>
    <row r="2471" spans="3:8" x14ac:dyDescent="0.2">
      <c r="C2471" s="138"/>
      <c r="E2471" s="138"/>
      <c r="F2471" s="138"/>
      <c r="G2471" s="138"/>
      <c r="H2471" s="138"/>
    </row>
    <row r="2472" spans="3:8" x14ac:dyDescent="0.2">
      <c r="C2472" s="138"/>
      <c r="E2472" s="138"/>
      <c r="F2472" s="138"/>
      <c r="G2472" s="138"/>
      <c r="H2472" s="138"/>
    </row>
    <row r="2473" spans="3:8" x14ac:dyDescent="0.2">
      <c r="C2473" s="138"/>
      <c r="E2473" s="138"/>
      <c r="F2473" s="138"/>
      <c r="G2473" s="138"/>
      <c r="H2473" s="138"/>
    </row>
    <row r="2474" spans="3:8" x14ac:dyDescent="0.2">
      <c r="C2474" s="138"/>
      <c r="E2474" s="138"/>
      <c r="F2474" s="138"/>
      <c r="G2474" s="138"/>
      <c r="H2474" s="138"/>
    </row>
    <row r="2475" spans="3:8" x14ac:dyDescent="0.2">
      <c r="C2475" s="138"/>
      <c r="E2475" s="138"/>
      <c r="F2475" s="138"/>
      <c r="G2475" s="138"/>
      <c r="H2475" s="138"/>
    </row>
    <row r="2476" spans="3:8" x14ac:dyDescent="0.2">
      <c r="C2476" s="138"/>
      <c r="E2476" s="138"/>
      <c r="F2476" s="138"/>
      <c r="G2476" s="138"/>
      <c r="H2476" s="138"/>
    </row>
    <row r="2477" spans="3:8" x14ac:dyDescent="0.2">
      <c r="C2477" s="138"/>
      <c r="E2477" s="138"/>
      <c r="F2477" s="138"/>
      <c r="G2477" s="138"/>
      <c r="H2477" s="138"/>
    </row>
    <row r="2478" spans="3:8" x14ac:dyDescent="0.2">
      <c r="C2478" s="138"/>
      <c r="E2478" s="138"/>
      <c r="F2478" s="138"/>
      <c r="G2478" s="138"/>
      <c r="H2478" s="138"/>
    </row>
    <row r="2479" spans="3:8" x14ac:dyDescent="0.2">
      <c r="C2479" s="138"/>
      <c r="E2479" s="138"/>
      <c r="F2479" s="138"/>
      <c r="G2479" s="138"/>
      <c r="H2479" s="138"/>
    </row>
    <row r="2480" spans="3:8" x14ac:dyDescent="0.2">
      <c r="C2480" s="138"/>
      <c r="E2480" s="138"/>
      <c r="F2480" s="138"/>
      <c r="G2480" s="138"/>
      <c r="H2480" s="138"/>
    </row>
    <row r="2481" spans="3:8" x14ac:dyDescent="0.2">
      <c r="C2481" s="138"/>
      <c r="E2481" s="138"/>
      <c r="F2481" s="138"/>
      <c r="G2481" s="138"/>
      <c r="H2481" s="138"/>
    </row>
    <row r="2482" spans="3:8" x14ac:dyDescent="0.2">
      <c r="C2482" s="138"/>
      <c r="E2482" s="138"/>
      <c r="F2482" s="138"/>
      <c r="G2482" s="138"/>
      <c r="H2482" s="138"/>
    </row>
    <row r="2483" spans="3:8" x14ac:dyDescent="0.2">
      <c r="C2483" s="138"/>
      <c r="E2483" s="138"/>
      <c r="F2483" s="138"/>
      <c r="G2483" s="138"/>
      <c r="H2483" s="138"/>
    </row>
    <row r="2484" spans="3:8" x14ac:dyDescent="0.2">
      <c r="C2484" s="138"/>
      <c r="E2484" s="138"/>
      <c r="F2484" s="138"/>
      <c r="G2484" s="138"/>
      <c r="H2484" s="138"/>
    </row>
    <row r="2485" spans="3:8" x14ac:dyDescent="0.2">
      <c r="C2485" s="138"/>
      <c r="E2485" s="138"/>
      <c r="F2485" s="138"/>
      <c r="G2485" s="138"/>
      <c r="H2485" s="138"/>
    </row>
    <row r="2486" spans="3:8" x14ac:dyDescent="0.2">
      <c r="C2486" s="138"/>
      <c r="E2486" s="138"/>
      <c r="F2486" s="138"/>
      <c r="G2486" s="138"/>
      <c r="H2486" s="138"/>
    </row>
    <row r="2487" spans="3:8" x14ac:dyDescent="0.2">
      <c r="C2487" s="138"/>
      <c r="E2487" s="138"/>
      <c r="F2487" s="138"/>
      <c r="G2487" s="138"/>
      <c r="H2487" s="138"/>
    </row>
    <row r="2488" spans="3:8" x14ac:dyDescent="0.2">
      <c r="C2488" s="138"/>
      <c r="E2488" s="138"/>
      <c r="F2488" s="138"/>
      <c r="G2488" s="138"/>
      <c r="H2488" s="138"/>
    </row>
    <row r="2489" spans="3:8" x14ac:dyDescent="0.2">
      <c r="C2489" s="138"/>
      <c r="E2489" s="138"/>
      <c r="F2489" s="138"/>
      <c r="G2489" s="138"/>
      <c r="H2489" s="138"/>
    </row>
    <row r="2490" spans="3:8" x14ac:dyDescent="0.2">
      <c r="C2490" s="138"/>
      <c r="E2490" s="138"/>
      <c r="F2490" s="138"/>
      <c r="G2490" s="138"/>
      <c r="H2490" s="138"/>
    </row>
    <row r="2491" spans="3:8" x14ac:dyDescent="0.2">
      <c r="C2491" s="138"/>
      <c r="E2491" s="138"/>
      <c r="F2491" s="138"/>
      <c r="G2491" s="138"/>
      <c r="H2491" s="138"/>
    </row>
    <row r="2492" spans="3:8" x14ac:dyDescent="0.2">
      <c r="C2492" s="138"/>
      <c r="E2492" s="138"/>
      <c r="F2492" s="138"/>
      <c r="G2492" s="138"/>
      <c r="H2492" s="138"/>
    </row>
    <row r="2493" spans="3:8" x14ac:dyDescent="0.2">
      <c r="C2493" s="138"/>
      <c r="E2493" s="138"/>
      <c r="F2493" s="138"/>
      <c r="G2493" s="138"/>
      <c r="H2493" s="138"/>
    </row>
    <row r="2494" spans="3:8" x14ac:dyDescent="0.2">
      <c r="C2494" s="138"/>
      <c r="E2494" s="138"/>
      <c r="F2494" s="138"/>
      <c r="G2494" s="138"/>
      <c r="H2494" s="138"/>
    </row>
    <row r="2495" spans="3:8" x14ac:dyDescent="0.2">
      <c r="C2495" s="138"/>
      <c r="E2495" s="138"/>
      <c r="F2495" s="138"/>
      <c r="G2495" s="138"/>
      <c r="H2495" s="138"/>
    </row>
    <row r="2496" spans="3:8" x14ac:dyDescent="0.2">
      <c r="C2496" s="138"/>
      <c r="E2496" s="138"/>
      <c r="F2496" s="138"/>
      <c r="G2496" s="138"/>
      <c r="H2496" s="138"/>
    </row>
    <row r="2497" spans="3:8" x14ac:dyDescent="0.2">
      <c r="C2497" s="138"/>
      <c r="E2497" s="138"/>
      <c r="F2497" s="138"/>
      <c r="G2497" s="138"/>
      <c r="H2497" s="138"/>
    </row>
    <row r="2498" spans="3:8" x14ac:dyDescent="0.2">
      <c r="C2498" s="138"/>
      <c r="E2498" s="138"/>
      <c r="F2498" s="138"/>
      <c r="G2498" s="138"/>
      <c r="H2498" s="138"/>
    </row>
    <row r="2499" spans="3:8" x14ac:dyDescent="0.2">
      <c r="C2499" s="138"/>
      <c r="E2499" s="138"/>
      <c r="F2499" s="138"/>
      <c r="G2499" s="138"/>
      <c r="H2499" s="138"/>
    </row>
    <row r="2500" spans="3:8" x14ac:dyDescent="0.2">
      <c r="C2500" s="138"/>
      <c r="E2500" s="138"/>
      <c r="F2500" s="138"/>
      <c r="G2500" s="138"/>
      <c r="H2500" s="138"/>
    </row>
    <row r="2501" spans="3:8" x14ac:dyDescent="0.2">
      <c r="C2501" s="138"/>
      <c r="E2501" s="138"/>
      <c r="F2501" s="138"/>
      <c r="G2501" s="138"/>
      <c r="H2501" s="138"/>
    </row>
    <row r="2502" spans="3:8" x14ac:dyDescent="0.2">
      <c r="C2502" s="138"/>
      <c r="E2502" s="138"/>
      <c r="F2502" s="138"/>
      <c r="G2502" s="138"/>
      <c r="H2502" s="138"/>
    </row>
    <row r="2503" spans="3:8" x14ac:dyDescent="0.2">
      <c r="C2503" s="138"/>
      <c r="E2503" s="138"/>
      <c r="F2503" s="138"/>
      <c r="G2503" s="138"/>
      <c r="H2503" s="138"/>
    </row>
    <row r="2504" spans="3:8" x14ac:dyDescent="0.2">
      <c r="C2504" s="138"/>
      <c r="E2504" s="138"/>
      <c r="F2504" s="138"/>
      <c r="G2504" s="138"/>
      <c r="H2504" s="138"/>
    </row>
    <row r="2505" spans="3:8" x14ac:dyDescent="0.2">
      <c r="C2505" s="138"/>
      <c r="E2505" s="138"/>
      <c r="F2505" s="138"/>
      <c r="G2505" s="138"/>
      <c r="H2505" s="138"/>
    </row>
    <row r="2506" spans="3:8" x14ac:dyDescent="0.2">
      <c r="C2506" s="138"/>
      <c r="E2506" s="138"/>
      <c r="F2506" s="138"/>
      <c r="G2506" s="138"/>
      <c r="H2506" s="138"/>
    </row>
    <row r="2507" spans="3:8" x14ac:dyDescent="0.2">
      <c r="C2507" s="138"/>
      <c r="E2507" s="138"/>
      <c r="F2507" s="138"/>
      <c r="G2507" s="138"/>
      <c r="H2507" s="138"/>
    </row>
    <row r="2508" spans="3:8" x14ac:dyDescent="0.2">
      <c r="C2508" s="138"/>
      <c r="E2508" s="138"/>
      <c r="F2508" s="138"/>
      <c r="G2508" s="138"/>
      <c r="H2508" s="138"/>
    </row>
    <row r="2509" spans="3:8" x14ac:dyDescent="0.2">
      <c r="C2509" s="138"/>
      <c r="E2509" s="138"/>
      <c r="F2509" s="138"/>
      <c r="G2509" s="138"/>
      <c r="H2509" s="138"/>
    </row>
    <row r="2510" spans="3:8" x14ac:dyDescent="0.2">
      <c r="C2510" s="138"/>
      <c r="E2510" s="138"/>
      <c r="F2510" s="138"/>
      <c r="G2510" s="138"/>
      <c r="H2510" s="138"/>
    </row>
    <row r="2511" spans="3:8" x14ac:dyDescent="0.2">
      <c r="C2511" s="138"/>
      <c r="E2511" s="138"/>
      <c r="F2511" s="138"/>
      <c r="G2511" s="138"/>
      <c r="H2511" s="138"/>
    </row>
    <row r="2512" spans="3:8" x14ac:dyDescent="0.2">
      <c r="C2512" s="138"/>
      <c r="E2512" s="138"/>
      <c r="F2512" s="138"/>
      <c r="G2512" s="138"/>
      <c r="H2512" s="138"/>
    </row>
    <row r="2513" spans="3:8" x14ac:dyDescent="0.2">
      <c r="C2513" s="138"/>
      <c r="E2513" s="138"/>
      <c r="F2513" s="138"/>
      <c r="G2513" s="138"/>
      <c r="H2513" s="138"/>
    </row>
    <row r="2514" spans="3:8" x14ac:dyDescent="0.2">
      <c r="C2514" s="138"/>
      <c r="E2514" s="138"/>
      <c r="F2514" s="138"/>
      <c r="G2514" s="138"/>
      <c r="H2514" s="138"/>
    </row>
    <row r="2515" spans="3:8" x14ac:dyDescent="0.2">
      <c r="C2515" s="138"/>
      <c r="E2515" s="138"/>
      <c r="F2515" s="138"/>
      <c r="G2515" s="138"/>
      <c r="H2515" s="138"/>
    </row>
    <row r="2516" spans="3:8" x14ac:dyDescent="0.2">
      <c r="C2516" s="138"/>
      <c r="E2516" s="138"/>
      <c r="F2516" s="138"/>
      <c r="G2516" s="138"/>
      <c r="H2516" s="138"/>
    </row>
    <row r="2517" spans="3:8" x14ac:dyDescent="0.2">
      <c r="C2517" s="138"/>
      <c r="E2517" s="138"/>
      <c r="F2517" s="138"/>
      <c r="G2517" s="138"/>
      <c r="H2517" s="138"/>
    </row>
    <row r="2518" spans="3:8" x14ac:dyDescent="0.2">
      <c r="C2518" s="138"/>
      <c r="E2518" s="138"/>
      <c r="F2518" s="138"/>
      <c r="G2518" s="138"/>
      <c r="H2518" s="138"/>
    </row>
    <row r="2519" spans="3:8" x14ac:dyDescent="0.2">
      <c r="C2519" s="138"/>
      <c r="E2519" s="138"/>
      <c r="F2519" s="138"/>
      <c r="G2519" s="138"/>
      <c r="H2519" s="138"/>
    </row>
    <row r="2520" spans="3:8" x14ac:dyDescent="0.2">
      <c r="C2520" s="138"/>
      <c r="E2520" s="138"/>
      <c r="F2520" s="138"/>
      <c r="G2520" s="138"/>
      <c r="H2520" s="138"/>
    </row>
    <row r="2521" spans="3:8" x14ac:dyDescent="0.2">
      <c r="C2521" s="138"/>
      <c r="E2521" s="138"/>
      <c r="F2521" s="138"/>
      <c r="G2521" s="138"/>
      <c r="H2521" s="138"/>
    </row>
    <row r="2522" spans="3:8" x14ac:dyDescent="0.2">
      <c r="C2522" s="138"/>
      <c r="E2522" s="138"/>
      <c r="F2522" s="138"/>
      <c r="G2522" s="138"/>
      <c r="H2522" s="138"/>
    </row>
    <row r="2523" spans="3:8" x14ac:dyDescent="0.2">
      <c r="C2523" s="138"/>
      <c r="E2523" s="138"/>
      <c r="F2523" s="138"/>
      <c r="G2523" s="138"/>
      <c r="H2523" s="138"/>
    </row>
    <row r="2524" spans="3:8" x14ac:dyDescent="0.2">
      <c r="C2524" s="138"/>
      <c r="E2524" s="138"/>
      <c r="F2524" s="138"/>
      <c r="G2524" s="138"/>
      <c r="H2524" s="138"/>
    </row>
    <row r="2525" spans="3:8" x14ac:dyDescent="0.2">
      <c r="C2525" s="138"/>
      <c r="E2525" s="138"/>
      <c r="F2525" s="138"/>
      <c r="G2525" s="138"/>
      <c r="H2525" s="138"/>
    </row>
    <row r="2526" spans="3:8" x14ac:dyDescent="0.2">
      <c r="C2526" s="138"/>
      <c r="E2526" s="138"/>
      <c r="F2526" s="138"/>
      <c r="G2526" s="138"/>
      <c r="H2526" s="138"/>
    </row>
    <row r="2527" spans="3:8" x14ac:dyDescent="0.2">
      <c r="C2527" s="138"/>
      <c r="E2527" s="138"/>
      <c r="F2527" s="138"/>
      <c r="G2527" s="138"/>
      <c r="H2527" s="138"/>
    </row>
    <row r="2528" spans="3:8" x14ac:dyDescent="0.2">
      <c r="C2528" s="138"/>
      <c r="E2528" s="138"/>
      <c r="F2528" s="138"/>
      <c r="G2528" s="138"/>
      <c r="H2528" s="138"/>
    </row>
    <row r="2529" spans="3:8" x14ac:dyDescent="0.2">
      <c r="C2529" s="138"/>
      <c r="E2529" s="138"/>
      <c r="F2529" s="138"/>
      <c r="G2529" s="138"/>
      <c r="H2529" s="138"/>
    </row>
    <row r="2530" spans="3:8" x14ac:dyDescent="0.2">
      <c r="C2530" s="138"/>
      <c r="E2530" s="138"/>
      <c r="F2530" s="138"/>
      <c r="G2530" s="138"/>
      <c r="H2530" s="138"/>
    </row>
    <row r="2531" spans="3:8" x14ac:dyDescent="0.2">
      <c r="C2531" s="138"/>
      <c r="E2531" s="138"/>
      <c r="F2531" s="138"/>
      <c r="G2531" s="138"/>
      <c r="H2531" s="138"/>
    </row>
    <row r="2532" spans="3:8" x14ac:dyDescent="0.2">
      <c r="C2532" s="138"/>
      <c r="E2532" s="138"/>
      <c r="F2532" s="138"/>
      <c r="G2532" s="138"/>
      <c r="H2532" s="138"/>
    </row>
    <row r="2533" spans="3:8" x14ac:dyDescent="0.2">
      <c r="C2533" s="138"/>
      <c r="E2533" s="138"/>
      <c r="F2533" s="138"/>
      <c r="G2533" s="138"/>
      <c r="H2533" s="138"/>
    </row>
    <row r="2534" spans="3:8" x14ac:dyDescent="0.2">
      <c r="C2534" s="138"/>
      <c r="E2534" s="138"/>
      <c r="F2534" s="138"/>
      <c r="G2534" s="138"/>
      <c r="H2534" s="138"/>
    </row>
    <row r="2535" spans="3:8" x14ac:dyDescent="0.2">
      <c r="C2535" s="138"/>
      <c r="E2535" s="138"/>
      <c r="F2535" s="138"/>
      <c r="G2535" s="138"/>
      <c r="H2535" s="138"/>
    </row>
    <row r="2536" spans="3:8" x14ac:dyDescent="0.2">
      <c r="C2536" s="138"/>
      <c r="E2536" s="138"/>
      <c r="F2536" s="138"/>
      <c r="G2536" s="138"/>
      <c r="H2536" s="138"/>
    </row>
    <row r="2537" spans="3:8" x14ac:dyDescent="0.2">
      <c r="C2537" s="138"/>
      <c r="E2537" s="138"/>
      <c r="F2537" s="138"/>
      <c r="G2537" s="138"/>
      <c r="H2537" s="138"/>
    </row>
    <row r="2538" spans="3:8" x14ac:dyDescent="0.2">
      <c r="C2538" s="138"/>
      <c r="E2538" s="138"/>
      <c r="F2538" s="138"/>
      <c r="G2538" s="138"/>
      <c r="H2538" s="138"/>
    </row>
    <row r="2539" spans="3:8" x14ac:dyDescent="0.2">
      <c r="C2539" s="138"/>
      <c r="E2539" s="138"/>
      <c r="F2539" s="138"/>
      <c r="G2539" s="138"/>
      <c r="H2539" s="138"/>
    </row>
    <row r="2540" spans="3:8" x14ac:dyDescent="0.2">
      <c r="C2540" s="138"/>
      <c r="E2540" s="138"/>
      <c r="F2540" s="138"/>
      <c r="G2540" s="138"/>
      <c r="H2540" s="138"/>
    </row>
    <row r="2541" spans="3:8" x14ac:dyDescent="0.2">
      <c r="C2541" s="138"/>
      <c r="E2541" s="138"/>
      <c r="F2541" s="138"/>
      <c r="G2541" s="138"/>
      <c r="H2541" s="138"/>
    </row>
    <row r="2542" spans="3:8" x14ac:dyDescent="0.2">
      <c r="C2542" s="138"/>
      <c r="E2542" s="138"/>
      <c r="F2542" s="138"/>
      <c r="G2542" s="138"/>
      <c r="H2542" s="138"/>
    </row>
    <row r="2543" spans="3:8" x14ac:dyDescent="0.2">
      <c r="C2543" s="138"/>
      <c r="E2543" s="138"/>
      <c r="F2543" s="138"/>
      <c r="G2543" s="138"/>
      <c r="H2543" s="138"/>
    </row>
    <row r="2544" spans="3:8" x14ac:dyDescent="0.2">
      <c r="C2544" s="138"/>
      <c r="E2544" s="138"/>
      <c r="F2544" s="138"/>
      <c r="G2544" s="138"/>
      <c r="H2544" s="138"/>
    </row>
    <row r="2545" spans="3:8" x14ac:dyDescent="0.2">
      <c r="C2545" s="138"/>
      <c r="E2545" s="138"/>
      <c r="F2545" s="138"/>
      <c r="G2545" s="138"/>
      <c r="H2545" s="138"/>
    </row>
    <row r="2546" spans="3:8" x14ac:dyDescent="0.2">
      <c r="C2546" s="138"/>
      <c r="E2546" s="138"/>
      <c r="F2546" s="138"/>
      <c r="G2546" s="138"/>
      <c r="H2546" s="138"/>
    </row>
    <row r="2547" spans="3:8" x14ac:dyDescent="0.2">
      <c r="C2547" s="138"/>
      <c r="E2547" s="138"/>
      <c r="F2547" s="138"/>
      <c r="G2547" s="138"/>
      <c r="H2547" s="138"/>
    </row>
    <row r="2548" spans="3:8" x14ac:dyDescent="0.2">
      <c r="C2548" s="138"/>
      <c r="E2548" s="138"/>
      <c r="F2548" s="138"/>
      <c r="G2548" s="138"/>
      <c r="H2548" s="138"/>
    </row>
    <row r="2549" spans="3:8" x14ac:dyDescent="0.2">
      <c r="C2549" s="138"/>
      <c r="E2549" s="138"/>
      <c r="F2549" s="138"/>
      <c r="G2549" s="138"/>
      <c r="H2549" s="138"/>
    </row>
    <row r="2550" spans="3:8" x14ac:dyDescent="0.2">
      <c r="C2550" s="138"/>
      <c r="E2550" s="138"/>
      <c r="F2550" s="138"/>
      <c r="G2550" s="138"/>
      <c r="H2550" s="138"/>
    </row>
    <row r="2551" spans="3:8" x14ac:dyDescent="0.2">
      <c r="C2551" s="138"/>
      <c r="E2551" s="138"/>
      <c r="F2551" s="138"/>
      <c r="G2551" s="138"/>
      <c r="H2551" s="138"/>
    </row>
    <row r="2552" spans="3:8" x14ac:dyDescent="0.2">
      <c r="C2552" s="138"/>
      <c r="E2552" s="138"/>
      <c r="F2552" s="138"/>
      <c r="G2552" s="138"/>
      <c r="H2552" s="138"/>
    </row>
    <row r="2553" spans="3:8" x14ac:dyDescent="0.2">
      <c r="C2553" s="138"/>
      <c r="E2553" s="138"/>
      <c r="F2553" s="138"/>
      <c r="G2553" s="138"/>
      <c r="H2553" s="138"/>
    </row>
    <row r="2554" spans="3:8" x14ac:dyDescent="0.2">
      <c r="C2554" s="138"/>
      <c r="E2554" s="138"/>
      <c r="F2554" s="138"/>
      <c r="G2554" s="138"/>
      <c r="H2554" s="138"/>
    </row>
    <row r="2555" spans="3:8" x14ac:dyDescent="0.2">
      <c r="C2555" s="138"/>
      <c r="E2555" s="138"/>
      <c r="F2555" s="138"/>
      <c r="G2555" s="138"/>
      <c r="H2555" s="138"/>
    </row>
    <row r="2556" spans="3:8" x14ac:dyDescent="0.2">
      <c r="C2556" s="138"/>
      <c r="E2556" s="138"/>
      <c r="F2556" s="138"/>
      <c r="G2556" s="138"/>
      <c r="H2556" s="138"/>
    </row>
    <row r="2557" spans="3:8" x14ac:dyDescent="0.2">
      <c r="C2557" s="138"/>
      <c r="E2557" s="138"/>
      <c r="F2557" s="138"/>
      <c r="G2557" s="138"/>
      <c r="H2557" s="138"/>
    </row>
    <row r="2558" spans="3:8" x14ac:dyDescent="0.2">
      <c r="C2558" s="138"/>
      <c r="E2558" s="138"/>
      <c r="F2558" s="138"/>
      <c r="G2558" s="138"/>
      <c r="H2558" s="138"/>
    </row>
    <row r="2559" spans="3:8" x14ac:dyDescent="0.2">
      <c r="C2559" s="138"/>
      <c r="E2559" s="138"/>
      <c r="F2559" s="138"/>
      <c r="G2559" s="138"/>
      <c r="H2559" s="138"/>
    </row>
    <row r="2560" spans="3:8" x14ac:dyDescent="0.2">
      <c r="C2560" s="138"/>
      <c r="E2560" s="138"/>
      <c r="F2560" s="138"/>
      <c r="G2560" s="138"/>
      <c r="H2560" s="138"/>
    </row>
    <row r="2561" spans="3:8" x14ac:dyDescent="0.2">
      <c r="C2561" s="138"/>
      <c r="E2561" s="138"/>
      <c r="F2561" s="138"/>
      <c r="G2561" s="138"/>
      <c r="H2561" s="138"/>
    </row>
    <row r="2562" spans="3:8" x14ac:dyDescent="0.2">
      <c r="C2562" s="138"/>
      <c r="E2562" s="138"/>
      <c r="F2562" s="138"/>
      <c r="G2562" s="138"/>
      <c r="H2562" s="138"/>
    </row>
    <row r="2563" spans="3:8" x14ac:dyDescent="0.2">
      <c r="C2563" s="138"/>
      <c r="E2563" s="138"/>
      <c r="F2563" s="138"/>
      <c r="G2563" s="138"/>
      <c r="H2563" s="138"/>
    </row>
    <row r="2564" spans="3:8" x14ac:dyDescent="0.2">
      <c r="C2564" s="138"/>
      <c r="E2564" s="138"/>
      <c r="F2564" s="138"/>
      <c r="G2564" s="138"/>
      <c r="H2564" s="138"/>
    </row>
    <row r="2565" spans="3:8" x14ac:dyDescent="0.2">
      <c r="C2565" s="138"/>
      <c r="E2565" s="138"/>
      <c r="F2565" s="138"/>
      <c r="G2565" s="138"/>
      <c r="H2565" s="138"/>
    </row>
    <row r="2566" spans="3:8" x14ac:dyDescent="0.2">
      <c r="C2566" s="138"/>
      <c r="E2566" s="138"/>
      <c r="F2566" s="138"/>
      <c r="G2566" s="138"/>
      <c r="H2566" s="138"/>
    </row>
    <row r="2567" spans="3:8" x14ac:dyDescent="0.2">
      <c r="C2567" s="138"/>
      <c r="E2567" s="138"/>
      <c r="F2567" s="138"/>
      <c r="G2567" s="138"/>
      <c r="H2567" s="138"/>
    </row>
    <row r="2568" spans="3:8" x14ac:dyDescent="0.2">
      <c r="C2568" s="138"/>
      <c r="E2568" s="138"/>
      <c r="F2568" s="138"/>
      <c r="G2568" s="138"/>
      <c r="H2568" s="138"/>
    </row>
    <row r="2569" spans="3:8" x14ac:dyDescent="0.2">
      <c r="C2569" s="138"/>
      <c r="E2569" s="138"/>
      <c r="F2569" s="138"/>
      <c r="G2569" s="138"/>
      <c r="H2569" s="138"/>
    </row>
    <row r="2570" spans="3:8" x14ac:dyDescent="0.2">
      <c r="C2570" s="138"/>
      <c r="E2570" s="138"/>
      <c r="F2570" s="138"/>
      <c r="G2570" s="138"/>
      <c r="H2570" s="138"/>
    </row>
    <row r="2571" spans="3:8" x14ac:dyDescent="0.2">
      <c r="C2571" s="138"/>
      <c r="E2571" s="138"/>
      <c r="F2571" s="138"/>
      <c r="G2571" s="138"/>
      <c r="H2571" s="138"/>
    </row>
    <row r="2572" spans="3:8" x14ac:dyDescent="0.2">
      <c r="C2572" s="138"/>
      <c r="E2572" s="138"/>
      <c r="F2572" s="138"/>
      <c r="G2572" s="138"/>
      <c r="H2572" s="138"/>
    </row>
    <row r="2573" spans="3:8" x14ac:dyDescent="0.2">
      <c r="C2573" s="138"/>
      <c r="E2573" s="138"/>
      <c r="F2573" s="138"/>
      <c r="G2573" s="138"/>
      <c r="H2573" s="138"/>
    </row>
    <row r="2574" spans="3:8" x14ac:dyDescent="0.2">
      <c r="C2574" s="138"/>
      <c r="E2574" s="138"/>
      <c r="F2574" s="138"/>
      <c r="G2574" s="138"/>
      <c r="H2574" s="138"/>
    </row>
    <row r="2575" spans="3:8" x14ac:dyDescent="0.2">
      <c r="C2575" s="138"/>
      <c r="E2575" s="138"/>
      <c r="F2575" s="138"/>
      <c r="G2575" s="138"/>
      <c r="H2575" s="138"/>
    </row>
    <row r="2576" spans="3:8" x14ac:dyDescent="0.2">
      <c r="C2576" s="138"/>
      <c r="E2576" s="138"/>
      <c r="F2576" s="138"/>
      <c r="G2576" s="138"/>
      <c r="H2576" s="138"/>
    </row>
    <row r="2577" spans="3:8" x14ac:dyDescent="0.2">
      <c r="C2577" s="138"/>
      <c r="E2577" s="138"/>
      <c r="F2577" s="138"/>
      <c r="G2577" s="138"/>
      <c r="H2577" s="138"/>
    </row>
    <row r="2578" spans="3:8" x14ac:dyDescent="0.2">
      <c r="C2578" s="138"/>
      <c r="E2578" s="138"/>
      <c r="F2578" s="138"/>
      <c r="G2578" s="138"/>
      <c r="H2578" s="138"/>
    </row>
    <row r="2579" spans="3:8" x14ac:dyDescent="0.2">
      <c r="C2579" s="138"/>
      <c r="E2579" s="138"/>
      <c r="F2579" s="138"/>
      <c r="G2579" s="138"/>
      <c r="H2579" s="138"/>
    </row>
    <row r="2580" spans="3:8" x14ac:dyDescent="0.2">
      <c r="C2580" s="138"/>
      <c r="E2580" s="138"/>
      <c r="F2580" s="138"/>
      <c r="G2580" s="138"/>
      <c r="H2580" s="138"/>
    </row>
    <row r="2581" spans="3:8" x14ac:dyDescent="0.2">
      <c r="C2581" s="138"/>
      <c r="E2581" s="138"/>
      <c r="F2581" s="138"/>
      <c r="G2581" s="138"/>
      <c r="H2581" s="138"/>
    </row>
    <row r="2582" spans="3:8" x14ac:dyDescent="0.2">
      <c r="C2582" s="138"/>
      <c r="E2582" s="138"/>
      <c r="F2582" s="138"/>
      <c r="G2582" s="138"/>
      <c r="H2582" s="138"/>
    </row>
    <row r="2583" spans="3:8" x14ac:dyDescent="0.2">
      <c r="C2583" s="138"/>
      <c r="E2583" s="138"/>
      <c r="F2583" s="138"/>
      <c r="G2583" s="138"/>
      <c r="H2583" s="138"/>
    </row>
    <row r="2584" spans="3:8" x14ac:dyDescent="0.2">
      <c r="C2584" s="138"/>
      <c r="E2584" s="138"/>
      <c r="F2584" s="138"/>
      <c r="G2584" s="138"/>
      <c r="H2584" s="138"/>
    </row>
    <row r="2585" spans="3:8" x14ac:dyDescent="0.2">
      <c r="C2585" s="138"/>
      <c r="E2585" s="138"/>
      <c r="F2585" s="138"/>
      <c r="G2585" s="138"/>
      <c r="H2585" s="138"/>
    </row>
    <row r="2586" spans="3:8" x14ac:dyDescent="0.2">
      <c r="C2586" s="138"/>
      <c r="E2586" s="138"/>
      <c r="F2586" s="138"/>
      <c r="G2586" s="138"/>
      <c r="H2586" s="138"/>
    </row>
    <row r="2587" spans="3:8" x14ac:dyDescent="0.2">
      <c r="C2587" s="138"/>
      <c r="E2587" s="138"/>
      <c r="F2587" s="138"/>
      <c r="G2587" s="138"/>
      <c r="H2587" s="138"/>
    </row>
    <row r="2588" spans="3:8" x14ac:dyDescent="0.2">
      <c r="C2588" s="138"/>
      <c r="E2588" s="138"/>
      <c r="F2588" s="138"/>
      <c r="G2588" s="138"/>
      <c r="H2588" s="138"/>
    </row>
    <row r="2589" spans="3:8" x14ac:dyDescent="0.2">
      <c r="C2589" s="138"/>
      <c r="E2589" s="138"/>
      <c r="F2589" s="138"/>
      <c r="G2589" s="138"/>
      <c r="H2589" s="138"/>
    </row>
    <row r="2590" spans="3:8" x14ac:dyDescent="0.2">
      <c r="C2590" s="138"/>
      <c r="E2590" s="138"/>
      <c r="F2590" s="138"/>
      <c r="G2590" s="138"/>
      <c r="H2590" s="138"/>
    </row>
    <row r="2591" spans="3:8" x14ac:dyDescent="0.2">
      <c r="C2591" s="138"/>
      <c r="E2591" s="138"/>
      <c r="F2591" s="138"/>
      <c r="G2591" s="138"/>
      <c r="H2591" s="138"/>
    </row>
    <row r="2592" spans="3:8" x14ac:dyDescent="0.2">
      <c r="C2592" s="138"/>
      <c r="E2592" s="138"/>
      <c r="F2592" s="138"/>
      <c r="G2592" s="138"/>
      <c r="H2592" s="138"/>
    </row>
    <row r="2593" spans="3:8" x14ac:dyDescent="0.2">
      <c r="C2593" s="138"/>
      <c r="E2593" s="138"/>
      <c r="F2593" s="138"/>
      <c r="G2593" s="138"/>
      <c r="H2593" s="138"/>
    </row>
    <row r="2594" spans="3:8" x14ac:dyDescent="0.2">
      <c r="C2594" s="138"/>
      <c r="E2594" s="138"/>
      <c r="F2594" s="138"/>
      <c r="G2594" s="138"/>
      <c r="H2594" s="138"/>
    </row>
    <row r="2595" spans="3:8" x14ac:dyDescent="0.2">
      <c r="C2595" s="138"/>
      <c r="E2595" s="138"/>
      <c r="F2595" s="138"/>
      <c r="G2595" s="138"/>
      <c r="H2595" s="138"/>
    </row>
    <row r="2596" spans="3:8" x14ac:dyDescent="0.2">
      <c r="C2596" s="138"/>
      <c r="E2596" s="138"/>
      <c r="F2596" s="138"/>
      <c r="G2596" s="138"/>
      <c r="H2596" s="138"/>
    </row>
    <row r="2597" spans="3:8" x14ac:dyDescent="0.2">
      <c r="C2597" s="138"/>
      <c r="E2597" s="138"/>
      <c r="F2597" s="138"/>
      <c r="G2597" s="138"/>
      <c r="H2597" s="138"/>
    </row>
    <row r="2598" spans="3:8" x14ac:dyDescent="0.2">
      <c r="C2598" s="138"/>
      <c r="E2598" s="138"/>
      <c r="F2598" s="138"/>
      <c r="G2598" s="138"/>
      <c r="H2598" s="138"/>
    </row>
    <row r="2599" spans="3:8" x14ac:dyDescent="0.2">
      <c r="C2599" s="138"/>
      <c r="E2599" s="138"/>
      <c r="F2599" s="138"/>
      <c r="G2599" s="138"/>
      <c r="H2599" s="138"/>
    </row>
    <row r="2600" spans="3:8" x14ac:dyDescent="0.2">
      <c r="C2600" s="138"/>
      <c r="E2600" s="138"/>
      <c r="F2600" s="138"/>
      <c r="G2600" s="138"/>
      <c r="H2600" s="138"/>
    </row>
    <row r="2601" spans="3:8" x14ac:dyDescent="0.2">
      <c r="C2601" s="138"/>
      <c r="E2601" s="138"/>
      <c r="F2601" s="138"/>
      <c r="G2601" s="138"/>
      <c r="H2601" s="138"/>
    </row>
    <row r="2602" spans="3:8" x14ac:dyDescent="0.2">
      <c r="C2602" s="138"/>
      <c r="E2602" s="138"/>
      <c r="F2602" s="138"/>
      <c r="G2602" s="138"/>
      <c r="H2602" s="138"/>
    </row>
    <row r="2603" spans="3:8" x14ac:dyDescent="0.2">
      <c r="C2603" s="138"/>
      <c r="E2603" s="138"/>
      <c r="F2603" s="138"/>
      <c r="G2603" s="138"/>
      <c r="H2603" s="138"/>
    </row>
    <row r="2604" spans="3:8" x14ac:dyDescent="0.2">
      <c r="C2604" s="138"/>
      <c r="E2604" s="138"/>
      <c r="F2604" s="138"/>
      <c r="G2604" s="138"/>
      <c r="H2604" s="138"/>
    </row>
    <row r="2605" spans="3:8" x14ac:dyDescent="0.2">
      <c r="C2605" s="138"/>
      <c r="E2605" s="138"/>
      <c r="F2605" s="138"/>
      <c r="G2605" s="138"/>
      <c r="H2605" s="138"/>
    </row>
    <row r="2606" spans="3:8" x14ac:dyDescent="0.2">
      <c r="C2606" s="138"/>
      <c r="E2606" s="138"/>
      <c r="F2606" s="138"/>
      <c r="G2606" s="138"/>
      <c r="H2606" s="138"/>
    </row>
    <row r="2607" spans="3:8" x14ac:dyDescent="0.2">
      <c r="C2607" s="138"/>
      <c r="E2607" s="138"/>
      <c r="F2607" s="138"/>
      <c r="G2607" s="138"/>
      <c r="H2607" s="138"/>
    </row>
    <row r="2608" spans="3:8" x14ac:dyDescent="0.2">
      <c r="C2608" s="138"/>
      <c r="E2608" s="138"/>
      <c r="F2608" s="138"/>
      <c r="G2608" s="138"/>
      <c r="H2608" s="138"/>
    </row>
    <row r="2609" spans="3:8" x14ac:dyDescent="0.2">
      <c r="C2609" s="138"/>
      <c r="E2609" s="138"/>
      <c r="F2609" s="138"/>
      <c r="G2609" s="138"/>
      <c r="H2609" s="138"/>
    </row>
    <row r="2610" spans="3:8" x14ac:dyDescent="0.2">
      <c r="C2610" s="138"/>
      <c r="E2610" s="138"/>
      <c r="F2610" s="138"/>
      <c r="G2610" s="138"/>
      <c r="H2610" s="138"/>
    </row>
    <row r="2611" spans="3:8" x14ac:dyDescent="0.2">
      <c r="C2611" s="138"/>
      <c r="E2611" s="138"/>
      <c r="F2611" s="138"/>
      <c r="G2611" s="138"/>
      <c r="H2611" s="138"/>
    </row>
    <row r="2612" spans="3:8" x14ac:dyDescent="0.2">
      <c r="C2612" s="138"/>
      <c r="E2612" s="138"/>
      <c r="F2612" s="138"/>
      <c r="G2612" s="138"/>
      <c r="H2612" s="138"/>
    </row>
    <row r="2613" spans="3:8" x14ac:dyDescent="0.2">
      <c r="C2613" s="138"/>
      <c r="E2613" s="138"/>
      <c r="F2613" s="138"/>
      <c r="G2613" s="138"/>
      <c r="H2613" s="138"/>
    </row>
    <row r="2614" spans="3:8" x14ac:dyDescent="0.2">
      <c r="C2614" s="138"/>
      <c r="E2614" s="138"/>
      <c r="F2614" s="138"/>
      <c r="G2614" s="138"/>
      <c r="H2614" s="138"/>
    </row>
    <row r="2615" spans="3:8" x14ac:dyDescent="0.2">
      <c r="C2615" s="138"/>
      <c r="E2615" s="138"/>
      <c r="F2615" s="138"/>
      <c r="G2615" s="138"/>
      <c r="H2615" s="138"/>
    </row>
    <row r="2616" spans="3:8" x14ac:dyDescent="0.2">
      <c r="C2616" s="138"/>
      <c r="E2616" s="138"/>
      <c r="F2616" s="138"/>
      <c r="G2616" s="138"/>
      <c r="H2616" s="138"/>
    </row>
    <row r="2617" spans="3:8" x14ac:dyDescent="0.2">
      <c r="C2617" s="138"/>
      <c r="E2617" s="138"/>
      <c r="F2617" s="138"/>
      <c r="G2617" s="138"/>
      <c r="H2617" s="138"/>
    </row>
    <row r="2618" spans="3:8" x14ac:dyDescent="0.2">
      <c r="C2618" s="138"/>
      <c r="E2618" s="138"/>
      <c r="F2618" s="138"/>
      <c r="G2618" s="138"/>
      <c r="H2618" s="138"/>
    </row>
    <row r="2619" spans="3:8" x14ac:dyDescent="0.2">
      <c r="C2619" s="138"/>
      <c r="E2619" s="138"/>
      <c r="F2619" s="138"/>
      <c r="G2619" s="138"/>
      <c r="H2619" s="138"/>
    </row>
    <row r="2620" spans="3:8" x14ac:dyDescent="0.2">
      <c r="C2620" s="138"/>
      <c r="E2620" s="138"/>
      <c r="F2620" s="138"/>
      <c r="G2620" s="138"/>
      <c r="H2620" s="138"/>
    </row>
    <row r="2621" spans="3:8" x14ac:dyDescent="0.2">
      <c r="C2621" s="138"/>
      <c r="E2621" s="138"/>
      <c r="F2621" s="138"/>
      <c r="G2621" s="138"/>
      <c r="H2621" s="138"/>
    </row>
    <row r="2622" spans="3:8" x14ac:dyDescent="0.2">
      <c r="C2622" s="138"/>
      <c r="E2622" s="138"/>
      <c r="F2622" s="138"/>
      <c r="G2622" s="138"/>
      <c r="H2622" s="138"/>
    </row>
    <row r="2623" spans="3:8" x14ac:dyDescent="0.2">
      <c r="C2623" s="138"/>
      <c r="E2623" s="138"/>
      <c r="F2623" s="138"/>
      <c r="G2623" s="138"/>
      <c r="H2623" s="138"/>
    </row>
    <row r="2624" spans="3:8" x14ac:dyDescent="0.2">
      <c r="C2624" s="138"/>
      <c r="E2624" s="138"/>
      <c r="F2624" s="138"/>
      <c r="G2624" s="138"/>
      <c r="H2624" s="138"/>
    </row>
    <row r="2625" spans="3:8" x14ac:dyDescent="0.2">
      <c r="C2625" s="138"/>
      <c r="E2625" s="138"/>
      <c r="F2625" s="138"/>
      <c r="G2625" s="138"/>
      <c r="H2625" s="138"/>
    </row>
    <row r="2626" spans="3:8" x14ac:dyDescent="0.2">
      <c r="C2626" s="138"/>
      <c r="E2626" s="138"/>
      <c r="F2626" s="138"/>
      <c r="G2626" s="138"/>
      <c r="H2626" s="138"/>
    </row>
    <row r="2627" spans="3:8" x14ac:dyDescent="0.2">
      <c r="C2627" s="138"/>
      <c r="E2627" s="138"/>
      <c r="F2627" s="138"/>
      <c r="G2627" s="138"/>
      <c r="H2627" s="138"/>
    </row>
    <row r="2628" spans="3:8" x14ac:dyDescent="0.2">
      <c r="C2628" s="138"/>
      <c r="E2628" s="138"/>
      <c r="F2628" s="138"/>
      <c r="G2628" s="138"/>
      <c r="H2628" s="138"/>
    </row>
    <row r="2629" spans="3:8" x14ac:dyDescent="0.2">
      <c r="C2629" s="138"/>
      <c r="E2629" s="138"/>
      <c r="F2629" s="138"/>
      <c r="G2629" s="138"/>
      <c r="H2629" s="138"/>
    </row>
    <row r="2630" spans="3:8" x14ac:dyDescent="0.2">
      <c r="C2630" s="138"/>
      <c r="E2630" s="138"/>
      <c r="F2630" s="138"/>
      <c r="G2630" s="138"/>
      <c r="H2630" s="138"/>
    </row>
    <row r="2631" spans="3:8" x14ac:dyDescent="0.2">
      <c r="C2631" s="138"/>
      <c r="E2631" s="138"/>
      <c r="F2631" s="138"/>
      <c r="G2631" s="138"/>
      <c r="H2631" s="138"/>
    </row>
    <row r="2632" spans="3:8" x14ac:dyDescent="0.2">
      <c r="C2632" s="138"/>
      <c r="E2632" s="138"/>
      <c r="F2632" s="138"/>
      <c r="G2632" s="138"/>
      <c r="H2632" s="138"/>
    </row>
    <row r="2633" spans="3:8" x14ac:dyDescent="0.2">
      <c r="C2633" s="138"/>
      <c r="E2633" s="138"/>
      <c r="F2633" s="138"/>
      <c r="G2633" s="138"/>
      <c r="H2633" s="138"/>
    </row>
    <row r="2634" spans="3:8" x14ac:dyDescent="0.2">
      <c r="C2634" s="138"/>
      <c r="E2634" s="138"/>
      <c r="F2634" s="138"/>
      <c r="G2634" s="138"/>
      <c r="H2634" s="138"/>
    </row>
    <row r="2635" spans="3:8" x14ac:dyDescent="0.2">
      <c r="C2635" s="138"/>
      <c r="E2635" s="138"/>
      <c r="F2635" s="138"/>
      <c r="G2635" s="138"/>
      <c r="H2635" s="138"/>
    </row>
    <row r="2636" spans="3:8" x14ac:dyDescent="0.2">
      <c r="C2636" s="138"/>
      <c r="E2636" s="138"/>
      <c r="F2636" s="138"/>
      <c r="G2636" s="138"/>
      <c r="H2636" s="138"/>
    </row>
    <row r="2637" spans="3:8" x14ac:dyDescent="0.2">
      <c r="C2637" s="138"/>
      <c r="E2637" s="138"/>
      <c r="F2637" s="138"/>
      <c r="G2637" s="138"/>
      <c r="H2637" s="138"/>
    </row>
    <row r="2638" spans="3:8" x14ac:dyDescent="0.2">
      <c r="C2638" s="138"/>
      <c r="E2638" s="138"/>
      <c r="F2638" s="138"/>
      <c r="G2638" s="138"/>
      <c r="H2638" s="138"/>
    </row>
    <row r="2639" spans="3:8" x14ac:dyDescent="0.2">
      <c r="C2639" s="138"/>
      <c r="E2639" s="138"/>
      <c r="F2639" s="138"/>
      <c r="G2639" s="138"/>
      <c r="H2639" s="138"/>
    </row>
    <row r="2640" spans="3:8" x14ac:dyDescent="0.2">
      <c r="C2640" s="138"/>
      <c r="E2640" s="138"/>
      <c r="F2640" s="138"/>
      <c r="G2640" s="138"/>
      <c r="H2640" s="138"/>
    </row>
    <row r="2641" spans="3:8" x14ac:dyDescent="0.2">
      <c r="C2641" s="138"/>
      <c r="E2641" s="138"/>
      <c r="F2641" s="138"/>
      <c r="G2641" s="138"/>
      <c r="H2641" s="138"/>
    </row>
    <row r="2642" spans="3:8" x14ac:dyDescent="0.2">
      <c r="C2642" s="138"/>
      <c r="E2642" s="138"/>
      <c r="F2642" s="138"/>
      <c r="G2642" s="138"/>
      <c r="H2642" s="138"/>
    </row>
    <row r="2643" spans="3:8" x14ac:dyDescent="0.2">
      <c r="C2643" s="138"/>
      <c r="E2643" s="138"/>
      <c r="F2643" s="138"/>
      <c r="G2643" s="138"/>
      <c r="H2643" s="138"/>
    </row>
    <row r="2644" spans="3:8" x14ac:dyDescent="0.2">
      <c r="C2644" s="138"/>
      <c r="E2644" s="138"/>
      <c r="F2644" s="138"/>
      <c r="G2644" s="138"/>
      <c r="H2644" s="138"/>
    </row>
    <row r="2645" spans="3:8" x14ac:dyDescent="0.2">
      <c r="C2645" s="138"/>
      <c r="E2645" s="138"/>
      <c r="F2645" s="138"/>
      <c r="G2645" s="138"/>
      <c r="H2645" s="138"/>
    </row>
    <row r="2646" spans="3:8" x14ac:dyDescent="0.2">
      <c r="C2646" s="138"/>
      <c r="E2646" s="138"/>
      <c r="F2646" s="138"/>
      <c r="G2646" s="138"/>
      <c r="H2646" s="138"/>
    </row>
    <row r="2647" spans="3:8" x14ac:dyDescent="0.2">
      <c r="C2647" s="138"/>
      <c r="E2647" s="138"/>
      <c r="F2647" s="138"/>
      <c r="G2647" s="138"/>
      <c r="H2647" s="138"/>
    </row>
    <row r="2648" spans="3:8" x14ac:dyDescent="0.2">
      <c r="C2648" s="138"/>
      <c r="E2648" s="138"/>
      <c r="F2648" s="138"/>
      <c r="G2648" s="138"/>
      <c r="H2648" s="138"/>
    </row>
    <row r="2649" spans="3:8" x14ac:dyDescent="0.2">
      <c r="C2649" s="138"/>
      <c r="E2649" s="138"/>
      <c r="F2649" s="138"/>
      <c r="G2649" s="138"/>
      <c r="H2649" s="138"/>
    </row>
    <row r="2650" spans="3:8" x14ac:dyDescent="0.2">
      <c r="C2650" s="138"/>
      <c r="E2650" s="138"/>
      <c r="F2650" s="138"/>
      <c r="G2650" s="138"/>
      <c r="H2650" s="138"/>
    </row>
    <row r="2651" spans="3:8" x14ac:dyDescent="0.2">
      <c r="C2651" s="138"/>
      <c r="E2651" s="138"/>
      <c r="F2651" s="138"/>
      <c r="G2651" s="138"/>
      <c r="H2651" s="138"/>
    </row>
    <row r="2652" spans="3:8" x14ac:dyDescent="0.2">
      <c r="C2652" s="138"/>
      <c r="E2652" s="138"/>
      <c r="F2652" s="138"/>
      <c r="G2652" s="138"/>
      <c r="H2652" s="138"/>
    </row>
    <row r="2653" spans="3:8" x14ac:dyDescent="0.2">
      <c r="C2653" s="138"/>
      <c r="E2653" s="138"/>
      <c r="F2653" s="138"/>
      <c r="G2653" s="138"/>
      <c r="H2653" s="138"/>
    </row>
    <row r="2654" spans="3:8" x14ac:dyDescent="0.2">
      <c r="C2654" s="138"/>
      <c r="E2654" s="138"/>
      <c r="F2654" s="138"/>
      <c r="G2654" s="138"/>
      <c r="H2654" s="138"/>
    </row>
    <row r="2655" spans="3:8" x14ac:dyDescent="0.2">
      <c r="C2655" s="138"/>
      <c r="E2655" s="138"/>
      <c r="F2655" s="138"/>
      <c r="G2655" s="138"/>
      <c r="H2655" s="138"/>
    </row>
    <row r="2656" spans="3:8" x14ac:dyDescent="0.2">
      <c r="C2656" s="138"/>
      <c r="E2656" s="138"/>
      <c r="F2656" s="138"/>
      <c r="G2656" s="138"/>
      <c r="H2656" s="138"/>
    </row>
    <row r="2657" spans="3:8" x14ac:dyDescent="0.2">
      <c r="C2657" s="138"/>
      <c r="E2657" s="138"/>
      <c r="F2657" s="138"/>
      <c r="G2657" s="138"/>
      <c r="H2657" s="138"/>
    </row>
    <row r="2658" spans="3:8" x14ac:dyDescent="0.2">
      <c r="C2658" s="138"/>
      <c r="E2658" s="138"/>
      <c r="F2658" s="138"/>
      <c r="G2658" s="138"/>
      <c r="H2658" s="138"/>
    </row>
    <row r="2659" spans="3:8" x14ac:dyDescent="0.2">
      <c r="C2659" s="138"/>
      <c r="E2659" s="138"/>
      <c r="F2659" s="138"/>
      <c r="G2659" s="138"/>
      <c r="H2659" s="138"/>
    </row>
    <row r="2660" spans="3:8" x14ac:dyDescent="0.2">
      <c r="C2660" s="138"/>
      <c r="E2660" s="138"/>
      <c r="F2660" s="138"/>
      <c r="G2660" s="138"/>
      <c r="H2660" s="138"/>
    </row>
    <row r="2661" spans="3:8" x14ac:dyDescent="0.2">
      <c r="C2661" s="138"/>
      <c r="E2661" s="138"/>
      <c r="F2661" s="138"/>
      <c r="G2661" s="138"/>
      <c r="H2661" s="138"/>
    </row>
    <row r="2662" spans="3:8" x14ac:dyDescent="0.2">
      <c r="C2662" s="138"/>
      <c r="E2662" s="138"/>
      <c r="F2662" s="138"/>
      <c r="G2662" s="138"/>
      <c r="H2662" s="138"/>
    </row>
    <row r="2663" spans="3:8" x14ac:dyDescent="0.2">
      <c r="C2663" s="138"/>
      <c r="E2663" s="138"/>
      <c r="F2663" s="138"/>
      <c r="G2663" s="138"/>
      <c r="H2663" s="138"/>
    </row>
    <row r="2664" spans="3:8" x14ac:dyDescent="0.2">
      <c r="C2664" s="138"/>
      <c r="E2664" s="138"/>
      <c r="F2664" s="138"/>
      <c r="G2664" s="138"/>
      <c r="H2664" s="138"/>
    </row>
    <row r="2665" spans="3:8" x14ac:dyDescent="0.2">
      <c r="C2665" s="138"/>
      <c r="E2665" s="138"/>
      <c r="F2665" s="138"/>
      <c r="G2665" s="138"/>
      <c r="H2665" s="138"/>
    </row>
    <row r="2666" spans="3:8" x14ac:dyDescent="0.2">
      <c r="C2666" s="138"/>
      <c r="E2666" s="138"/>
      <c r="F2666" s="138"/>
      <c r="G2666" s="138"/>
      <c r="H2666" s="138"/>
    </row>
    <row r="2667" spans="3:8" x14ac:dyDescent="0.2">
      <c r="C2667" s="138"/>
      <c r="E2667" s="138"/>
      <c r="F2667" s="138"/>
      <c r="G2667" s="138"/>
      <c r="H2667" s="138"/>
    </row>
    <row r="2668" spans="3:8" x14ac:dyDescent="0.2">
      <c r="C2668" s="138"/>
      <c r="E2668" s="138"/>
      <c r="F2668" s="138"/>
      <c r="G2668" s="138"/>
      <c r="H2668" s="138"/>
    </row>
    <row r="2669" spans="3:8" x14ac:dyDescent="0.2">
      <c r="C2669" s="138"/>
      <c r="E2669" s="138"/>
      <c r="F2669" s="138"/>
      <c r="G2669" s="138"/>
      <c r="H2669" s="138"/>
    </row>
    <row r="2670" spans="3:8" x14ac:dyDescent="0.2">
      <c r="C2670" s="138"/>
      <c r="E2670" s="138"/>
      <c r="F2670" s="138"/>
      <c r="G2670" s="138"/>
      <c r="H2670" s="138"/>
    </row>
    <row r="2671" spans="3:8" x14ac:dyDescent="0.2">
      <c r="C2671" s="138"/>
      <c r="E2671" s="138"/>
      <c r="F2671" s="138"/>
      <c r="G2671" s="138"/>
      <c r="H2671" s="138"/>
    </row>
    <row r="2672" spans="3:8" x14ac:dyDescent="0.2">
      <c r="C2672" s="138"/>
      <c r="E2672" s="138"/>
      <c r="F2672" s="138"/>
      <c r="G2672" s="138"/>
      <c r="H2672" s="138"/>
    </row>
    <row r="2673" spans="3:8" x14ac:dyDescent="0.2">
      <c r="C2673" s="138"/>
      <c r="E2673" s="138"/>
      <c r="F2673" s="138"/>
      <c r="G2673" s="138"/>
      <c r="H2673" s="138"/>
    </row>
    <row r="2674" spans="3:8" x14ac:dyDescent="0.2">
      <c r="C2674" s="138"/>
      <c r="E2674" s="138"/>
      <c r="F2674" s="138"/>
      <c r="G2674" s="138"/>
      <c r="H2674" s="138"/>
    </row>
    <row r="2675" spans="3:8" x14ac:dyDescent="0.2">
      <c r="C2675" s="138"/>
      <c r="E2675" s="138"/>
      <c r="F2675" s="138"/>
      <c r="G2675" s="138"/>
      <c r="H2675" s="138"/>
    </row>
    <row r="2676" spans="3:8" x14ac:dyDescent="0.2">
      <c r="C2676" s="138"/>
      <c r="E2676" s="138"/>
      <c r="F2676" s="138"/>
      <c r="G2676" s="138"/>
      <c r="H2676" s="138"/>
    </row>
    <row r="2677" spans="3:8" x14ac:dyDescent="0.2">
      <c r="C2677" s="138"/>
      <c r="E2677" s="138"/>
      <c r="F2677" s="138"/>
      <c r="G2677" s="138"/>
      <c r="H2677" s="138"/>
    </row>
    <row r="2678" spans="3:8" x14ac:dyDescent="0.2">
      <c r="C2678" s="138"/>
      <c r="E2678" s="138"/>
      <c r="F2678" s="138"/>
      <c r="G2678" s="138"/>
      <c r="H2678" s="138"/>
    </row>
    <row r="2679" spans="3:8" x14ac:dyDescent="0.2">
      <c r="C2679" s="138"/>
      <c r="E2679" s="138"/>
      <c r="F2679" s="138"/>
      <c r="G2679" s="138"/>
      <c r="H2679" s="138"/>
    </row>
    <row r="2680" spans="3:8" x14ac:dyDescent="0.2">
      <c r="C2680" s="138"/>
      <c r="E2680" s="138"/>
      <c r="F2680" s="138"/>
      <c r="G2680" s="138"/>
      <c r="H2680" s="138"/>
    </row>
    <row r="2681" spans="3:8" x14ac:dyDescent="0.2">
      <c r="C2681" s="138"/>
      <c r="E2681" s="138"/>
      <c r="F2681" s="138"/>
      <c r="G2681" s="138"/>
      <c r="H2681" s="138"/>
    </row>
    <row r="2682" spans="3:8" x14ac:dyDescent="0.2">
      <c r="C2682" s="138"/>
      <c r="E2682" s="138"/>
      <c r="F2682" s="138"/>
      <c r="G2682" s="138"/>
      <c r="H2682" s="138"/>
    </row>
    <row r="2683" spans="3:8" x14ac:dyDescent="0.2">
      <c r="C2683" s="138"/>
      <c r="E2683" s="138"/>
      <c r="F2683" s="138"/>
      <c r="G2683" s="138"/>
      <c r="H2683" s="138"/>
    </row>
    <row r="2684" spans="3:8" x14ac:dyDescent="0.2">
      <c r="C2684" s="138"/>
      <c r="E2684" s="138"/>
      <c r="F2684" s="138"/>
      <c r="G2684" s="138"/>
      <c r="H2684" s="138"/>
    </row>
    <row r="2685" spans="3:8" x14ac:dyDescent="0.2">
      <c r="C2685" s="138"/>
      <c r="E2685" s="138"/>
      <c r="F2685" s="138"/>
      <c r="G2685" s="138"/>
      <c r="H2685" s="138"/>
    </row>
    <row r="2686" spans="3:8" x14ac:dyDescent="0.2">
      <c r="C2686" s="138"/>
      <c r="E2686" s="138"/>
      <c r="F2686" s="138"/>
      <c r="G2686" s="138"/>
      <c r="H2686" s="138"/>
    </row>
    <row r="2687" spans="3:8" x14ac:dyDescent="0.2">
      <c r="C2687" s="138"/>
      <c r="E2687" s="138"/>
      <c r="F2687" s="138"/>
      <c r="G2687" s="138"/>
      <c r="H2687" s="138"/>
    </row>
    <row r="2688" spans="3:8" x14ac:dyDescent="0.2">
      <c r="C2688" s="138"/>
      <c r="E2688" s="138"/>
      <c r="F2688" s="138"/>
      <c r="G2688" s="138"/>
      <c r="H2688" s="138"/>
    </row>
    <row r="2689" spans="3:8" x14ac:dyDescent="0.2">
      <c r="C2689" s="138"/>
      <c r="E2689" s="138"/>
      <c r="F2689" s="138"/>
      <c r="G2689" s="138"/>
      <c r="H2689" s="138"/>
    </row>
    <row r="2690" spans="3:8" x14ac:dyDescent="0.2">
      <c r="C2690" s="138"/>
      <c r="E2690" s="138"/>
      <c r="F2690" s="138"/>
      <c r="G2690" s="138"/>
      <c r="H2690" s="138"/>
    </row>
    <row r="2691" spans="3:8" x14ac:dyDescent="0.2">
      <c r="C2691" s="138"/>
      <c r="E2691" s="138"/>
      <c r="F2691" s="138"/>
      <c r="G2691" s="138"/>
      <c r="H2691" s="138"/>
    </row>
    <row r="2692" spans="3:8" x14ac:dyDescent="0.2">
      <c r="C2692" s="138"/>
      <c r="E2692" s="138"/>
      <c r="F2692" s="138"/>
      <c r="G2692" s="138"/>
      <c r="H2692" s="138"/>
    </row>
    <row r="2693" spans="3:8" x14ac:dyDescent="0.2">
      <c r="C2693" s="138"/>
      <c r="E2693" s="138"/>
      <c r="F2693" s="138"/>
      <c r="G2693" s="138"/>
      <c r="H2693" s="138"/>
    </row>
    <row r="2694" spans="3:8" x14ac:dyDescent="0.2">
      <c r="C2694" s="138"/>
      <c r="E2694" s="138"/>
      <c r="F2694" s="138"/>
      <c r="G2694" s="138"/>
      <c r="H2694" s="138"/>
    </row>
    <row r="2695" spans="3:8" x14ac:dyDescent="0.2">
      <c r="C2695" s="138"/>
      <c r="E2695" s="138"/>
      <c r="F2695" s="138"/>
      <c r="G2695" s="138"/>
      <c r="H2695" s="138"/>
    </row>
    <row r="2696" spans="3:8" x14ac:dyDescent="0.2">
      <c r="C2696" s="138"/>
      <c r="E2696" s="138"/>
      <c r="F2696" s="138"/>
      <c r="G2696" s="138"/>
      <c r="H2696" s="138"/>
    </row>
    <row r="2697" spans="3:8" x14ac:dyDescent="0.2">
      <c r="C2697" s="138"/>
      <c r="E2697" s="138"/>
      <c r="F2697" s="138"/>
      <c r="G2697" s="138"/>
      <c r="H2697" s="138"/>
    </row>
    <row r="2698" spans="3:8" x14ac:dyDescent="0.2">
      <c r="C2698" s="138"/>
      <c r="E2698" s="138"/>
      <c r="F2698" s="138"/>
      <c r="G2698" s="138"/>
      <c r="H2698" s="138"/>
    </row>
    <row r="2699" spans="3:8" x14ac:dyDescent="0.2">
      <c r="C2699" s="138"/>
      <c r="E2699" s="138"/>
      <c r="F2699" s="138"/>
      <c r="G2699" s="138"/>
      <c r="H2699" s="138"/>
    </row>
    <row r="2700" spans="3:8" x14ac:dyDescent="0.2">
      <c r="C2700" s="138"/>
      <c r="E2700" s="138"/>
      <c r="F2700" s="138"/>
      <c r="G2700" s="138"/>
      <c r="H2700" s="138"/>
    </row>
    <row r="2701" spans="3:8" x14ac:dyDescent="0.2">
      <c r="C2701" s="138"/>
      <c r="E2701" s="138"/>
      <c r="F2701" s="138"/>
      <c r="G2701" s="138"/>
      <c r="H2701" s="138"/>
    </row>
    <row r="2702" spans="3:8" x14ac:dyDescent="0.2">
      <c r="C2702" s="138"/>
      <c r="E2702" s="138"/>
      <c r="F2702" s="138"/>
      <c r="G2702" s="138"/>
      <c r="H2702" s="138"/>
    </row>
    <row r="2703" spans="3:8" x14ac:dyDescent="0.2">
      <c r="C2703" s="138"/>
      <c r="E2703" s="138"/>
      <c r="F2703" s="138"/>
      <c r="G2703" s="138"/>
      <c r="H2703" s="138"/>
    </row>
    <row r="2704" spans="3:8" x14ac:dyDescent="0.2">
      <c r="C2704" s="138"/>
      <c r="E2704" s="138"/>
      <c r="F2704" s="138"/>
      <c r="G2704" s="138"/>
      <c r="H2704" s="138"/>
    </row>
    <row r="2705" spans="3:8" x14ac:dyDescent="0.2">
      <c r="C2705" s="138"/>
      <c r="E2705" s="138"/>
      <c r="F2705" s="138"/>
      <c r="G2705" s="138"/>
      <c r="H2705" s="138"/>
    </row>
    <row r="2706" spans="3:8" x14ac:dyDescent="0.2">
      <c r="C2706" s="138"/>
      <c r="E2706" s="138"/>
      <c r="F2706" s="138"/>
      <c r="G2706" s="138"/>
      <c r="H2706" s="138"/>
    </row>
    <row r="2707" spans="3:8" x14ac:dyDescent="0.2">
      <c r="C2707" s="138"/>
      <c r="E2707" s="138"/>
      <c r="F2707" s="138"/>
      <c r="G2707" s="138"/>
      <c r="H2707" s="138"/>
    </row>
    <row r="2708" spans="3:8" x14ac:dyDescent="0.2">
      <c r="C2708" s="138"/>
      <c r="E2708" s="138"/>
      <c r="F2708" s="138"/>
      <c r="G2708" s="138"/>
      <c r="H2708" s="138"/>
    </row>
    <row r="2709" spans="3:8" x14ac:dyDescent="0.2">
      <c r="C2709" s="138"/>
      <c r="E2709" s="138"/>
      <c r="F2709" s="138"/>
      <c r="G2709" s="138"/>
      <c r="H2709" s="138"/>
    </row>
    <row r="2710" spans="3:8" x14ac:dyDescent="0.2">
      <c r="C2710" s="138"/>
      <c r="E2710" s="138"/>
      <c r="F2710" s="138"/>
      <c r="G2710" s="138"/>
      <c r="H2710" s="138"/>
    </row>
    <row r="2711" spans="3:8" x14ac:dyDescent="0.2">
      <c r="C2711" s="138"/>
      <c r="E2711" s="138"/>
      <c r="F2711" s="138"/>
      <c r="G2711" s="138"/>
      <c r="H2711" s="138"/>
    </row>
    <row r="2712" spans="3:8" x14ac:dyDescent="0.2">
      <c r="C2712" s="138"/>
      <c r="E2712" s="138"/>
      <c r="F2712" s="138"/>
      <c r="G2712" s="138"/>
      <c r="H2712" s="138"/>
    </row>
    <row r="2713" spans="3:8" x14ac:dyDescent="0.2">
      <c r="C2713" s="138"/>
      <c r="E2713" s="138"/>
      <c r="F2713" s="138"/>
      <c r="G2713" s="138"/>
      <c r="H2713" s="138"/>
    </row>
    <row r="2714" spans="3:8" x14ac:dyDescent="0.2">
      <c r="C2714" s="138"/>
      <c r="E2714" s="138"/>
      <c r="F2714" s="138"/>
      <c r="G2714" s="138"/>
      <c r="H2714" s="138"/>
    </row>
    <row r="2715" spans="3:8" x14ac:dyDescent="0.2">
      <c r="C2715" s="138"/>
      <c r="E2715" s="138"/>
      <c r="F2715" s="138"/>
      <c r="G2715" s="138"/>
      <c r="H2715" s="138"/>
    </row>
    <row r="2716" spans="3:8" x14ac:dyDescent="0.2">
      <c r="C2716" s="138"/>
      <c r="E2716" s="138"/>
      <c r="F2716" s="138"/>
      <c r="G2716" s="138"/>
      <c r="H2716" s="138"/>
    </row>
    <row r="2717" spans="3:8" x14ac:dyDescent="0.2">
      <c r="C2717" s="138"/>
      <c r="E2717" s="138"/>
      <c r="F2717" s="138"/>
      <c r="G2717" s="138"/>
      <c r="H2717" s="138"/>
    </row>
    <row r="2718" spans="3:8" x14ac:dyDescent="0.2">
      <c r="C2718" s="138"/>
      <c r="E2718" s="138"/>
      <c r="F2718" s="138"/>
      <c r="G2718" s="138"/>
      <c r="H2718" s="138"/>
    </row>
    <row r="2719" spans="3:8" x14ac:dyDescent="0.2">
      <c r="C2719" s="138"/>
      <c r="E2719" s="138"/>
      <c r="F2719" s="138"/>
      <c r="G2719" s="138"/>
      <c r="H2719" s="138"/>
    </row>
    <row r="2720" spans="3:8" x14ac:dyDescent="0.2">
      <c r="C2720" s="138"/>
      <c r="E2720" s="138"/>
      <c r="F2720" s="138"/>
      <c r="G2720" s="138"/>
      <c r="H2720" s="138"/>
    </row>
    <row r="2721" spans="3:8" x14ac:dyDescent="0.2">
      <c r="C2721" s="138"/>
      <c r="E2721" s="138"/>
      <c r="F2721" s="138"/>
      <c r="G2721" s="138"/>
      <c r="H2721" s="138"/>
    </row>
    <row r="2722" spans="3:8" x14ac:dyDescent="0.2">
      <c r="C2722" s="138"/>
      <c r="E2722" s="138"/>
      <c r="F2722" s="138"/>
      <c r="G2722" s="138"/>
      <c r="H2722" s="138"/>
    </row>
    <row r="2723" spans="3:8" x14ac:dyDescent="0.2">
      <c r="C2723" s="138"/>
      <c r="E2723" s="138"/>
      <c r="F2723" s="138"/>
      <c r="G2723" s="138"/>
      <c r="H2723" s="138"/>
    </row>
    <row r="2724" spans="3:8" x14ac:dyDescent="0.2">
      <c r="C2724" s="138"/>
      <c r="E2724" s="138"/>
      <c r="F2724" s="138"/>
      <c r="G2724" s="138"/>
      <c r="H2724" s="138"/>
    </row>
    <row r="2725" spans="3:8" x14ac:dyDescent="0.2">
      <c r="C2725" s="138"/>
      <c r="E2725" s="138"/>
      <c r="F2725" s="138"/>
      <c r="G2725" s="138"/>
      <c r="H2725" s="138"/>
    </row>
    <row r="2726" spans="3:8" x14ac:dyDescent="0.2">
      <c r="C2726" s="138"/>
      <c r="E2726" s="138"/>
      <c r="F2726" s="138"/>
      <c r="G2726" s="138"/>
      <c r="H2726" s="138"/>
    </row>
    <row r="2727" spans="3:8" x14ac:dyDescent="0.2">
      <c r="C2727" s="138"/>
      <c r="E2727" s="138"/>
      <c r="F2727" s="138"/>
      <c r="G2727" s="138"/>
      <c r="H2727" s="138"/>
    </row>
    <row r="2728" spans="3:8" x14ac:dyDescent="0.2">
      <c r="C2728" s="138"/>
      <c r="E2728" s="138"/>
      <c r="F2728" s="138"/>
      <c r="G2728" s="138"/>
      <c r="H2728" s="138"/>
    </row>
    <row r="2729" spans="3:8" x14ac:dyDescent="0.2">
      <c r="C2729" s="138"/>
      <c r="E2729" s="138"/>
      <c r="F2729" s="138"/>
      <c r="G2729" s="138"/>
      <c r="H2729" s="138"/>
    </row>
    <row r="2730" spans="3:8" x14ac:dyDescent="0.2">
      <c r="C2730" s="138"/>
      <c r="E2730" s="138"/>
      <c r="F2730" s="138"/>
      <c r="G2730" s="138"/>
      <c r="H2730" s="138"/>
    </row>
    <row r="2731" spans="3:8" x14ac:dyDescent="0.2">
      <c r="C2731" s="138"/>
      <c r="E2731" s="138"/>
      <c r="F2731" s="138"/>
      <c r="G2731" s="138"/>
      <c r="H2731" s="138"/>
    </row>
    <row r="2732" spans="3:8" x14ac:dyDescent="0.2">
      <c r="C2732" s="138"/>
      <c r="E2732" s="138"/>
      <c r="F2732" s="138"/>
      <c r="G2732" s="138"/>
      <c r="H2732" s="138"/>
    </row>
    <row r="2733" spans="3:8" x14ac:dyDescent="0.2">
      <c r="C2733" s="138"/>
      <c r="E2733" s="138"/>
      <c r="F2733" s="138"/>
      <c r="G2733" s="138"/>
      <c r="H2733" s="138"/>
    </row>
    <row r="2734" spans="3:8" x14ac:dyDescent="0.2">
      <c r="C2734" s="138"/>
      <c r="E2734" s="138"/>
      <c r="F2734" s="138"/>
      <c r="G2734" s="138"/>
      <c r="H2734" s="138"/>
    </row>
    <row r="2735" spans="3:8" x14ac:dyDescent="0.2">
      <c r="C2735" s="138"/>
      <c r="E2735" s="138"/>
      <c r="F2735" s="138"/>
      <c r="G2735" s="138"/>
      <c r="H2735" s="138"/>
    </row>
    <row r="2736" spans="3:8" x14ac:dyDescent="0.2">
      <c r="C2736" s="138"/>
      <c r="E2736" s="138"/>
      <c r="F2736" s="138"/>
      <c r="G2736" s="138"/>
      <c r="H2736" s="138"/>
    </row>
    <row r="2737" spans="3:8" x14ac:dyDescent="0.2">
      <c r="C2737" s="138"/>
      <c r="E2737" s="138"/>
      <c r="F2737" s="138"/>
      <c r="G2737" s="138"/>
      <c r="H2737" s="138"/>
    </row>
    <row r="2738" spans="3:8" x14ac:dyDescent="0.2">
      <c r="C2738" s="138"/>
      <c r="E2738" s="138"/>
      <c r="F2738" s="138"/>
      <c r="G2738" s="138"/>
      <c r="H2738" s="138"/>
    </row>
    <row r="2739" spans="3:8" x14ac:dyDescent="0.2">
      <c r="C2739" s="138"/>
      <c r="E2739" s="138"/>
      <c r="F2739" s="138"/>
      <c r="G2739" s="138"/>
      <c r="H2739" s="138"/>
    </row>
    <row r="2740" spans="3:8" x14ac:dyDescent="0.2">
      <c r="C2740" s="138"/>
      <c r="E2740" s="138"/>
      <c r="F2740" s="138"/>
      <c r="G2740" s="138"/>
      <c r="H2740" s="138"/>
    </row>
    <row r="2741" spans="3:8" x14ac:dyDescent="0.2">
      <c r="C2741" s="138"/>
      <c r="E2741" s="138"/>
      <c r="F2741" s="138"/>
      <c r="G2741" s="138"/>
      <c r="H2741" s="138"/>
    </row>
    <row r="2742" spans="3:8" x14ac:dyDescent="0.2">
      <c r="C2742" s="138"/>
      <c r="E2742" s="138"/>
      <c r="F2742" s="138"/>
      <c r="G2742" s="138"/>
      <c r="H2742" s="138"/>
    </row>
    <row r="2743" spans="3:8" x14ac:dyDescent="0.2">
      <c r="C2743" s="138"/>
      <c r="E2743" s="138"/>
      <c r="F2743" s="138"/>
      <c r="G2743" s="138"/>
      <c r="H2743" s="138"/>
    </row>
    <row r="2744" spans="3:8" x14ac:dyDescent="0.2">
      <c r="C2744" s="138"/>
      <c r="E2744" s="138"/>
      <c r="F2744" s="138"/>
      <c r="G2744" s="138"/>
      <c r="H2744" s="138"/>
    </row>
    <row r="2745" spans="3:8" x14ac:dyDescent="0.2">
      <c r="C2745" s="138"/>
      <c r="E2745" s="138"/>
      <c r="F2745" s="138"/>
      <c r="G2745" s="138"/>
      <c r="H2745" s="138"/>
    </row>
    <row r="2746" spans="3:8" x14ac:dyDescent="0.2">
      <c r="C2746" s="138"/>
      <c r="E2746" s="138"/>
      <c r="F2746" s="138"/>
      <c r="G2746" s="138"/>
      <c r="H2746" s="138"/>
    </row>
    <row r="2747" spans="3:8" x14ac:dyDescent="0.2">
      <c r="C2747" s="138"/>
      <c r="E2747" s="138"/>
      <c r="F2747" s="138"/>
      <c r="G2747" s="138"/>
      <c r="H2747" s="138"/>
    </row>
    <row r="2748" spans="3:8" x14ac:dyDescent="0.2">
      <c r="C2748" s="138"/>
      <c r="E2748" s="138"/>
      <c r="F2748" s="138"/>
      <c r="G2748" s="138"/>
      <c r="H2748" s="138"/>
    </row>
    <row r="2749" spans="3:8" x14ac:dyDescent="0.2">
      <c r="C2749" s="138"/>
      <c r="E2749" s="138"/>
      <c r="F2749" s="138"/>
      <c r="G2749" s="138"/>
      <c r="H2749" s="138"/>
    </row>
    <row r="2750" spans="3:8" x14ac:dyDescent="0.2">
      <c r="C2750" s="138"/>
      <c r="E2750" s="138"/>
      <c r="F2750" s="138"/>
      <c r="G2750" s="138"/>
      <c r="H2750" s="138"/>
    </row>
    <row r="2751" spans="3:8" x14ac:dyDescent="0.2">
      <c r="C2751" s="138"/>
      <c r="E2751" s="138"/>
      <c r="F2751" s="138"/>
      <c r="G2751" s="138"/>
      <c r="H2751" s="138"/>
    </row>
    <row r="2752" spans="3:8" x14ac:dyDescent="0.2">
      <c r="C2752" s="138"/>
      <c r="E2752" s="138"/>
      <c r="F2752" s="138"/>
      <c r="G2752" s="138"/>
      <c r="H2752" s="138"/>
    </row>
    <row r="2753" spans="3:8" x14ac:dyDescent="0.2">
      <c r="C2753" s="138"/>
      <c r="E2753" s="138"/>
      <c r="F2753" s="138"/>
      <c r="G2753" s="138"/>
      <c r="H2753" s="138"/>
    </row>
    <row r="2754" spans="3:8" x14ac:dyDescent="0.2">
      <c r="C2754" s="138"/>
      <c r="E2754" s="138"/>
      <c r="F2754" s="138"/>
      <c r="G2754" s="138"/>
      <c r="H2754" s="138"/>
    </row>
    <row r="2755" spans="3:8" x14ac:dyDescent="0.2">
      <c r="C2755" s="138"/>
      <c r="E2755" s="138"/>
      <c r="F2755" s="138"/>
      <c r="G2755" s="138"/>
      <c r="H2755" s="138"/>
    </row>
    <row r="2756" spans="3:8" x14ac:dyDescent="0.2">
      <c r="C2756" s="138"/>
      <c r="E2756" s="138"/>
      <c r="F2756" s="138"/>
      <c r="G2756" s="138"/>
      <c r="H2756" s="138"/>
    </row>
    <row r="2757" spans="3:8" x14ac:dyDescent="0.2">
      <c r="C2757" s="138"/>
      <c r="E2757" s="138"/>
      <c r="F2757" s="138"/>
      <c r="G2757" s="138"/>
      <c r="H2757" s="138"/>
    </row>
    <row r="2758" spans="3:8" x14ac:dyDescent="0.2">
      <c r="C2758" s="138"/>
      <c r="E2758" s="138"/>
      <c r="F2758" s="138"/>
      <c r="G2758" s="138"/>
      <c r="H2758" s="138"/>
    </row>
    <row r="2759" spans="3:8" x14ac:dyDescent="0.2">
      <c r="C2759" s="138"/>
      <c r="E2759" s="138"/>
      <c r="F2759" s="138"/>
      <c r="G2759" s="138"/>
      <c r="H2759" s="138"/>
    </row>
    <row r="2760" spans="3:8" x14ac:dyDescent="0.2">
      <c r="C2760" s="138"/>
      <c r="E2760" s="138"/>
      <c r="F2760" s="138"/>
      <c r="G2760" s="138"/>
      <c r="H2760" s="138"/>
    </row>
    <row r="2761" spans="3:8" x14ac:dyDescent="0.2">
      <c r="C2761" s="138"/>
      <c r="E2761" s="138"/>
      <c r="F2761" s="138"/>
      <c r="G2761" s="138"/>
      <c r="H2761" s="138"/>
    </row>
    <row r="2762" spans="3:8" x14ac:dyDescent="0.2">
      <c r="C2762" s="138"/>
      <c r="E2762" s="138"/>
      <c r="F2762" s="138"/>
      <c r="G2762" s="138"/>
      <c r="H2762" s="138"/>
    </row>
    <row r="2763" spans="3:8" x14ac:dyDescent="0.2">
      <c r="C2763" s="138"/>
      <c r="E2763" s="138"/>
      <c r="F2763" s="138"/>
      <c r="G2763" s="138"/>
      <c r="H2763" s="138"/>
    </row>
    <row r="2764" spans="3:8" x14ac:dyDescent="0.2">
      <c r="C2764" s="138"/>
      <c r="E2764" s="138"/>
      <c r="F2764" s="138"/>
      <c r="G2764" s="138"/>
      <c r="H2764" s="138"/>
    </row>
    <row r="2765" spans="3:8" x14ac:dyDescent="0.2">
      <c r="C2765" s="138"/>
      <c r="E2765" s="138"/>
      <c r="F2765" s="138"/>
      <c r="G2765" s="138"/>
      <c r="H2765" s="138"/>
    </row>
    <row r="2766" spans="3:8" x14ac:dyDescent="0.2">
      <c r="C2766" s="138"/>
      <c r="E2766" s="138"/>
      <c r="F2766" s="138"/>
      <c r="G2766" s="138"/>
      <c r="H2766" s="138"/>
    </row>
    <row r="2767" spans="3:8" x14ac:dyDescent="0.2">
      <c r="C2767" s="138"/>
      <c r="E2767" s="138"/>
      <c r="F2767" s="138"/>
      <c r="G2767" s="138"/>
      <c r="H2767" s="138"/>
    </row>
    <row r="2768" spans="3:8" x14ac:dyDescent="0.2">
      <c r="C2768" s="138"/>
      <c r="E2768" s="138"/>
      <c r="F2768" s="138"/>
      <c r="G2768" s="138"/>
      <c r="H2768" s="138"/>
    </row>
    <row r="2769" spans="3:8" x14ac:dyDescent="0.2">
      <c r="C2769" s="138"/>
      <c r="E2769" s="138"/>
      <c r="F2769" s="138"/>
      <c r="G2769" s="138"/>
      <c r="H2769" s="138"/>
    </row>
    <row r="2770" spans="3:8" x14ac:dyDescent="0.2">
      <c r="C2770" s="138"/>
      <c r="E2770" s="138"/>
      <c r="F2770" s="138"/>
      <c r="G2770" s="138"/>
      <c r="H2770" s="138"/>
    </row>
    <row r="2771" spans="3:8" x14ac:dyDescent="0.2">
      <c r="C2771" s="138"/>
      <c r="E2771" s="138"/>
      <c r="F2771" s="138"/>
      <c r="G2771" s="138"/>
      <c r="H2771" s="138"/>
    </row>
    <row r="2772" spans="3:8" x14ac:dyDescent="0.2">
      <c r="C2772" s="138"/>
      <c r="E2772" s="138"/>
      <c r="F2772" s="138"/>
      <c r="G2772" s="138"/>
      <c r="H2772" s="138"/>
    </row>
    <row r="2773" spans="3:8" x14ac:dyDescent="0.2">
      <c r="C2773" s="138"/>
      <c r="E2773" s="138"/>
      <c r="F2773" s="138"/>
      <c r="G2773" s="138"/>
      <c r="H2773" s="138"/>
    </row>
    <row r="2774" spans="3:8" x14ac:dyDescent="0.2">
      <c r="C2774" s="138"/>
      <c r="E2774" s="138"/>
      <c r="F2774" s="138"/>
      <c r="G2774" s="138"/>
      <c r="H2774" s="138"/>
    </row>
    <row r="2775" spans="3:8" x14ac:dyDescent="0.2">
      <c r="C2775" s="138"/>
      <c r="E2775" s="138"/>
      <c r="F2775" s="138"/>
      <c r="G2775" s="138"/>
      <c r="H2775" s="138"/>
    </row>
    <row r="2776" spans="3:8" x14ac:dyDescent="0.2">
      <c r="C2776" s="138"/>
      <c r="E2776" s="138"/>
      <c r="F2776" s="138"/>
      <c r="G2776" s="138"/>
      <c r="H2776" s="138"/>
    </row>
    <row r="2777" spans="3:8" x14ac:dyDescent="0.2">
      <c r="C2777" s="138"/>
      <c r="E2777" s="138"/>
      <c r="F2777" s="138"/>
      <c r="G2777" s="138"/>
      <c r="H2777" s="138"/>
    </row>
    <row r="2778" spans="3:8" x14ac:dyDescent="0.2">
      <c r="C2778" s="138"/>
      <c r="E2778" s="138"/>
      <c r="F2778" s="138"/>
      <c r="G2778" s="138"/>
      <c r="H2778" s="138"/>
    </row>
    <row r="2779" spans="3:8" x14ac:dyDescent="0.2">
      <c r="C2779" s="138"/>
      <c r="E2779" s="138"/>
      <c r="F2779" s="138"/>
      <c r="G2779" s="138"/>
      <c r="H2779" s="138"/>
    </row>
    <row r="2780" spans="3:8" x14ac:dyDescent="0.2">
      <c r="C2780" s="138"/>
      <c r="E2780" s="138"/>
      <c r="F2780" s="138"/>
      <c r="G2780" s="138"/>
      <c r="H2780" s="138"/>
    </row>
    <row r="2781" spans="3:8" x14ac:dyDescent="0.2">
      <c r="C2781" s="138"/>
      <c r="E2781" s="138"/>
      <c r="F2781" s="138"/>
      <c r="G2781" s="138"/>
      <c r="H2781" s="138"/>
    </row>
    <row r="2782" spans="3:8" x14ac:dyDescent="0.2">
      <c r="C2782" s="138"/>
      <c r="E2782" s="138"/>
      <c r="F2782" s="138"/>
      <c r="G2782" s="138"/>
      <c r="H2782" s="138"/>
    </row>
    <row r="2783" spans="3:8" x14ac:dyDescent="0.2">
      <c r="C2783" s="138"/>
      <c r="E2783" s="138"/>
      <c r="F2783" s="138"/>
      <c r="G2783" s="138"/>
      <c r="H2783" s="138"/>
    </row>
    <row r="2784" spans="3:8" x14ac:dyDescent="0.2">
      <c r="C2784" s="138"/>
      <c r="E2784" s="138"/>
      <c r="F2784" s="138"/>
      <c r="G2784" s="138"/>
      <c r="H2784" s="138"/>
    </row>
    <row r="2785" spans="3:8" x14ac:dyDescent="0.2">
      <c r="C2785" s="138"/>
      <c r="E2785" s="138"/>
      <c r="F2785" s="138"/>
      <c r="G2785" s="138"/>
      <c r="H2785" s="138"/>
    </row>
    <row r="2786" spans="3:8" x14ac:dyDescent="0.2">
      <c r="C2786" s="138"/>
      <c r="E2786" s="138"/>
      <c r="F2786" s="138"/>
      <c r="G2786" s="138"/>
      <c r="H2786" s="138"/>
    </row>
    <row r="2787" spans="3:8" x14ac:dyDescent="0.2">
      <c r="C2787" s="138"/>
      <c r="E2787" s="138"/>
      <c r="F2787" s="138"/>
      <c r="G2787" s="138"/>
      <c r="H2787" s="138"/>
    </row>
    <row r="2788" spans="3:8" x14ac:dyDescent="0.2">
      <c r="C2788" s="138"/>
      <c r="E2788" s="138"/>
      <c r="F2788" s="138"/>
      <c r="G2788" s="138"/>
      <c r="H2788" s="138"/>
    </row>
    <row r="2789" spans="3:8" x14ac:dyDescent="0.2">
      <c r="C2789" s="138"/>
      <c r="E2789" s="138"/>
      <c r="F2789" s="138"/>
      <c r="G2789" s="138"/>
      <c r="H2789" s="138"/>
    </row>
    <row r="2790" spans="3:8" x14ac:dyDescent="0.2">
      <c r="C2790" s="138"/>
      <c r="E2790" s="138"/>
      <c r="F2790" s="138"/>
      <c r="G2790" s="138"/>
      <c r="H2790" s="138"/>
    </row>
    <row r="2791" spans="3:8" x14ac:dyDescent="0.2">
      <c r="C2791" s="138"/>
      <c r="E2791" s="138"/>
      <c r="F2791" s="138"/>
      <c r="G2791" s="138"/>
      <c r="H2791" s="138"/>
    </row>
    <row r="2792" spans="3:8" x14ac:dyDescent="0.2">
      <c r="C2792" s="138"/>
      <c r="E2792" s="138"/>
      <c r="F2792" s="138"/>
      <c r="G2792" s="138"/>
      <c r="H2792" s="138"/>
    </row>
    <row r="2793" spans="3:8" x14ac:dyDescent="0.2">
      <c r="C2793" s="138"/>
      <c r="E2793" s="138"/>
      <c r="F2793" s="138"/>
      <c r="G2793" s="138"/>
      <c r="H2793" s="138"/>
    </row>
    <row r="2794" spans="3:8" x14ac:dyDescent="0.2">
      <c r="C2794" s="138"/>
      <c r="E2794" s="138"/>
      <c r="F2794" s="138"/>
      <c r="G2794" s="138"/>
      <c r="H2794" s="138"/>
    </row>
    <row r="2795" spans="3:8" x14ac:dyDescent="0.2">
      <c r="C2795" s="138"/>
      <c r="E2795" s="138"/>
      <c r="F2795" s="138"/>
      <c r="G2795" s="138"/>
      <c r="H2795" s="138"/>
    </row>
    <row r="2796" spans="3:8" x14ac:dyDescent="0.2">
      <c r="C2796" s="138"/>
      <c r="E2796" s="138"/>
      <c r="F2796" s="138"/>
      <c r="G2796" s="138"/>
      <c r="H2796" s="138"/>
    </row>
    <row r="2797" spans="3:8" x14ac:dyDescent="0.2">
      <c r="C2797" s="138"/>
      <c r="E2797" s="138"/>
      <c r="F2797" s="138"/>
      <c r="G2797" s="138"/>
      <c r="H2797" s="138"/>
    </row>
    <row r="2798" spans="3:8" x14ac:dyDescent="0.2">
      <c r="C2798" s="138"/>
      <c r="E2798" s="138"/>
      <c r="F2798" s="138"/>
      <c r="G2798" s="138"/>
      <c r="H2798" s="138"/>
    </row>
    <row r="2799" spans="3:8" x14ac:dyDescent="0.2">
      <c r="C2799" s="138"/>
      <c r="E2799" s="138"/>
      <c r="F2799" s="138"/>
      <c r="G2799" s="138"/>
      <c r="H2799" s="138"/>
    </row>
    <row r="2800" spans="3:8" x14ac:dyDescent="0.2">
      <c r="C2800" s="138"/>
      <c r="E2800" s="138"/>
      <c r="F2800" s="138"/>
      <c r="G2800" s="138"/>
      <c r="H2800" s="138"/>
    </row>
    <row r="2801" spans="3:8" x14ac:dyDescent="0.2">
      <c r="C2801" s="138"/>
      <c r="E2801" s="138"/>
      <c r="F2801" s="138"/>
      <c r="G2801" s="138"/>
      <c r="H2801" s="138"/>
    </row>
    <row r="2802" spans="3:8" x14ac:dyDescent="0.2">
      <c r="C2802" s="138"/>
      <c r="E2802" s="138"/>
      <c r="F2802" s="138"/>
      <c r="G2802" s="138"/>
      <c r="H2802" s="138"/>
    </row>
    <row r="2803" spans="3:8" x14ac:dyDescent="0.2">
      <c r="C2803" s="138"/>
      <c r="E2803" s="138"/>
      <c r="F2803" s="138"/>
      <c r="G2803" s="138"/>
      <c r="H2803" s="138"/>
    </row>
    <row r="2804" spans="3:8" x14ac:dyDescent="0.2">
      <c r="C2804" s="138"/>
      <c r="E2804" s="138"/>
      <c r="F2804" s="138"/>
      <c r="G2804" s="138"/>
      <c r="H2804" s="138"/>
    </row>
    <row r="2805" spans="3:8" x14ac:dyDescent="0.2">
      <c r="C2805" s="138"/>
      <c r="E2805" s="138"/>
      <c r="F2805" s="138"/>
      <c r="G2805" s="138"/>
      <c r="H2805" s="138"/>
    </row>
    <row r="2806" spans="3:8" x14ac:dyDescent="0.2">
      <c r="C2806" s="138"/>
      <c r="E2806" s="138"/>
      <c r="F2806" s="138"/>
      <c r="G2806" s="138"/>
      <c r="H2806" s="138"/>
    </row>
    <row r="2807" spans="3:8" x14ac:dyDescent="0.2">
      <c r="C2807" s="138"/>
      <c r="E2807" s="138"/>
      <c r="F2807" s="138"/>
      <c r="G2807" s="138"/>
      <c r="H2807" s="138"/>
    </row>
    <row r="2808" spans="3:8" x14ac:dyDescent="0.2">
      <c r="C2808" s="138"/>
      <c r="E2808" s="138"/>
      <c r="F2808" s="138"/>
      <c r="G2808" s="138"/>
      <c r="H2808" s="138"/>
    </row>
    <row r="2809" spans="3:8" x14ac:dyDescent="0.2">
      <c r="C2809" s="138"/>
      <c r="E2809" s="138"/>
      <c r="F2809" s="138"/>
      <c r="G2809" s="138"/>
      <c r="H2809" s="138"/>
    </row>
    <row r="2810" spans="3:8" x14ac:dyDescent="0.2">
      <c r="C2810" s="138"/>
      <c r="E2810" s="138"/>
      <c r="F2810" s="138"/>
      <c r="G2810" s="138"/>
      <c r="H2810" s="138"/>
    </row>
    <row r="2811" spans="3:8" x14ac:dyDescent="0.2">
      <c r="C2811" s="138"/>
      <c r="E2811" s="138"/>
      <c r="F2811" s="138"/>
      <c r="G2811" s="138"/>
      <c r="H2811" s="138"/>
    </row>
    <row r="2812" spans="3:8" x14ac:dyDescent="0.2">
      <c r="C2812" s="138"/>
      <c r="E2812" s="138"/>
      <c r="F2812" s="138"/>
      <c r="G2812" s="138"/>
      <c r="H2812" s="138"/>
    </row>
    <row r="2813" spans="3:8" x14ac:dyDescent="0.2">
      <c r="C2813" s="138"/>
      <c r="E2813" s="138"/>
      <c r="F2813" s="138"/>
      <c r="G2813" s="138"/>
      <c r="H2813" s="138"/>
    </row>
    <row r="2814" spans="3:8" x14ac:dyDescent="0.2">
      <c r="C2814" s="138"/>
      <c r="E2814" s="138"/>
      <c r="F2814" s="138"/>
      <c r="G2814" s="138"/>
      <c r="H2814" s="138"/>
    </row>
    <row r="2815" spans="3:8" x14ac:dyDescent="0.2">
      <c r="C2815" s="138"/>
      <c r="E2815" s="138"/>
      <c r="F2815" s="138"/>
      <c r="G2815" s="138"/>
      <c r="H2815" s="138"/>
    </row>
    <row r="2816" spans="3:8" x14ac:dyDescent="0.2">
      <c r="C2816" s="138"/>
      <c r="E2816" s="138"/>
      <c r="F2816" s="138"/>
      <c r="G2816" s="138"/>
      <c r="H2816" s="138"/>
    </row>
    <row r="2817" spans="3:8" x14ac:dyDescent="0.2">
      <c r="C2817" s="138"/>
      <c r="E2817" s="138"/>
      <c r="F2817" s="138"/>
      <c r="G2817" s="138"/>
      <c r="H2817" s="138"/>
    </row>
    <row r="2818" spans="3:8" x14ac:dyDescent="0.2">
      <c r="C2818" s="138"/>
      <c r="E2818" s="138"/>
      <c r="F2818" s="138"/>
      <c r="G2818" s="138"/>
      <c r="H2818" s="138"/>
    </row>
    <row r="2819" spans="3:8" x14ac:dyDescent="0.2">
      <c r="C2819" s="138"/>
      <c r="E2819" s="138"/>
      <c r="F2819" s="138"/>
      <c r="G2819" s="138"/>
      <c r="H2819" s="138"/>
    </row>
    <row r="2820" spans="3:8" x14ac:dyDescent="0.2">
      <c r="C2820" s="138"/>
      <c r="E2820" s="138"/>
      <c r="F2820" s="138"/>
      <c r="G2820" s="138"/>
      <c r="H2820" s="138"/>
    </row>
    <row r="2821" spans="3:8" x14ac:dyDescent="0.2">
      <c r="C2821" s="138"/>
      <c r="E2821" s="138"/>
      <c r="F2821" s="138"/>
      <c r="G2821" s="138"/>
      <c r="H2821" s="138"/>
    </row>
    <row r="2822" spans="3:8" x14ac:dyDescent="0.2">
      <c r="C2822" s="138"/>
      <c r="E2822" s="138"/>
      <c r="F2822" s="138"/>
      <c r="G2822" s="138"/>
      <c r="H2822" s="138"/>
    </row>
    <row r="2823" spans="3:8" x14ac:dyDescent="0.2">
      <c r="C2823" s="138"/>
      <c r="E2823" s="138"/>
      <c r="F2823" s="138"/>
      <c r="G2823" s="138"/>
      <c r="H2823" s="138"/>
    </row>
    <row r="2824" spans="3:8" x14ac:dyDescent="0.2">
      <c r="C2824" s="138"/>
      <c r="E2824" s="138"/>
      <c r="F2824" s="138"/>
      <c r="G2824" s="138"/>
      <c r="H2824" s="138"/>
    </row>
    <row r="2825" spans="3:8" x14ac:dyDescent="0.2">
      <c r="C2825" s="138"/>
      <c r="E2825" s="138"/>
      <c r="F2825" s="138"/>
      <c r="G2825" s="138"/>
      <c r="H2825" s="138"/>
    </row>
    <row r="2826" spans="3:8" x14ac:dyDescent="0.2">
      <c r="C2826" s="138"/>
      <c r="E2826" s="138"/>
      <c r="F2826" s="138"/>
      <c r="G2826" s="138"/>
      <c r="H2826" s="138"/>
    </row>
    <row r="2827" spans="3:8" x14ac:dyDescent="0.2">
      <c r="C2827" s="138"/>
      <c r="E2827" s="138"/>
      <c r="F2827" s="138"/>
      <c r="G2827" s="138"/>
      <c r="H2827" s="138"/>
    </row>
    <row r="2828" spans="3:8" x14ac:dyDescent="0.2">
      <c r="C2828" s="138"/>
      <c r="E2828" s="138"/>
      <c r="F2828" s="138"/>
      <c r="G2828" s="138"/>
      <c r="H2828" s="138"/>
    </row>
    <row r="2829" spans="3:8" x14ac:dyDescent="0.2">
      <c r="C2829" s="138"/>
      <c r="E2829" s="138"/>
      <c r="F2829" s="138"/>
      <c r="G2829" s="138"/>
      <c r="H2829" s="138"/>
    </row>
    <row r="2830" spans="3:8" x14ac:dyDescent="0.2">
      <c r="C2830" s="138"/>
      <c r="E2830" s="138"/>
      <c r="F2830" s="138"/>
      <c r="G2830" s="138"/>
      <c r="H2830" s="138"/>
    </row>
    <row r="2831" spans="3:8" x14ac:dyDescent="0.2">
      <c r="C2831" s="138"/>
      <c r="E2831" s="138"/>
      <c r="F2831" s="138"/>
      <c r="G2831" s="138"/>
      <c r="H2831" s="138"/>
    </row>
    <row r="2832" spans="3:8" x14ac:dyDescent="0.2">
      <c r="C2832" s="138"/>
      <c r="E2832" s="138"/>
      <c r="F2832" s="138"/>
      <c r="G2832" s="138"/>
      <c r="H2832" s="138"/>
    </row>
    <row r="2833" spans="3:8" x14ac:dyDescent="0.2">
      <c r="C2833" s="138"/>
      <c r="E2833" s="138"/>
      <c r="F2833" s="138"/>
      <c r="G2833" s="138"/>
      <c r="H2833" s="138"/>
    </row>
    <row r="2834" spans="3:8" x14ac:dyDescent="0.2">
      <c r="C2834" s="138"/>
      <c r="E2834" s="138"/>
      <c r="F2834" s="138"/>
      <c r="G2834" s="138"/>
      <c r="H2834" s="138"/>
    </row>
    <row r="2835" spans="3:8" x14ac:dyDescent="0.2">
      <c r="C2835" s="138"/>
      <c r="E2835" s="138"/>
      <c r="F2835" s="138"/>
      <c r="G2835" s="138"/>
      <c r="H2835" s="138"/>
    </row>
    <row r="2836" spans="3:8" x14ac:dyDescent="0.2">
      <c r="C2836" s="138"/>
      <c r="E2836" s="138"/>
      <c r="F2836" s="138"/>
      <c r="G2836" s="138"/>
      <c r="H2836" s="138"/>
    </row>
    <row r="2837" spans="3:8" x14ac:dyDescent="0.2">
      <c r="C2837" s="138"/>
      <c r="E2837" s="138"/>
      <c r="F2837" s="138"/>
      <c r="G2837" s="138"/>
      <c r="H2837" s="138"/>
    </row>
    <row r="2838" spans="3:8" x14ac:dyDescent="0.2">
      <c r="C2838" s="138"/>
      <c r="E2838" s="138"/>
      <c r="F2838" s="138"/>
      <c r="G2838" s="138"/>
      <c r="H2838" s="138"/>
    </row>
    <row r="2839" spans="3:8" x14ac:dyDescent="0.2">
      <c r="C2839" s="138"/>
      <c r="E2839" s="138"/>
      <c r="F2839" s="138"/>
      <c r="G2839" s="138"/>
      <c r="H2839" s="138"/>
    </row>
    <row r="2840" spans="3:8" x14ac:dyDescent="0.2">
      <c r="C2840" s="138"/>
      <c r="E2840" s="138"/>
      <c r="F2840" s="138"/>
      <c r="G2840" s="138"/>
      <c r="H2840" s="138"/>
    </row>
    <row r="2841" spans="3:8" x14ac:dyDescent="0.2">
      <c r="C2841" s="138"/>
      <c r="E2841" s="138"/>
      <c r="F2841" s="138"/>
      <c r="G2841" s="138"/>
      <c r="H2841" s="138"/>
    </row>
    <row r="2842" spans="3:8" x14ac:dyDescent="0.2">
      <c r="C2842" s="138"/>
      <c r="E2842" s="138"/>
      <c r="F2842" s="138"/>
      <c r="G2842" s="138"/>
      <c r="H2842" s="138"/>
    </row>
    <row r="2843" spans="3:8" x14ac:dyDescent="0.2">
      <c r="C2843" s="138"/>
      <c r="E2843" s="138"/>
      <c r="F2843" s="138"/>
      <c r="G2843" s="138"/>
      <c r="H2843" s="138"/>
    </row>
    <row r="2844" spans="3:8" x14ac:dyDescent="0.2">
      <c r="C2844" s="138"/>
      <c r="E2844" s="138"/>
      <c r="F2844" s="138"/>
      <c r="G2844" s="138"/>
      <c r="H2844" s="138"/>
    </row>
    <row r="2845" spans="3:8" x14ac:dyDescent="0.2">
      <c r="C2845" s="138"/>
      <c r="E2845" s="138"/>
      <c r="F2845" s="138"/>
      <c r="G2845" s="138"/>
      <c r="H2845" s="138"/>
    </row>
    <row r="2846" spans="3:8" x14ac:dyDescent="0.2">
      <c r="C2846" s="138"/>
      <c r="E2846" s="138"/>
      <c r="F2846" s="138"/>
      <c r="G2846" s="138"/>
      <c r="H2846" s="138"/>
    </row>
    <row r="2847" spans="3:8" x14ac:dyDescent="0.2">
      <c r="C2847" s="138"/>
      <c r="E2847" s="138"/>
      <c r="F2847" s="138"/>
      <c r="G2847" s="138"/>
      <c r="H2847" s="138"/>
    </row>
    <row r="2848" spans="3:8" x14ac:dyDescent="0.2">
      <c r="C2848" s="138"/>
      <c r="E2848" s="138"/>
      <c r="F2848" s="138"/>
      <c r="G2848" s="138"/>
      <c r="H2848" s="138"/>
    </row>
    <row r="2849" spans="3:8" x14ac:dyDescent="0.2">
      <c r="C2849" s="138"/>
      <c r="E2849" s="138"/>
      <c r="F2849" s="138"/>
      <c r="G2849" s="138"/>
      <c r="H2849" s="138"/>
    </row>
    <row r="2850" spans="3:8" x14ac:dyDescent="0.2">
      <c r="C2850" s="138"/>
      <c r="E2850" s="138"/>
      <c r="F2850" s="138"/>
      <c r="G2850" s="138"/>
      <c r="H2850" s="138"/>
    </row>
    <row r="2851" spans="3:8" x14ac:dyDescent="0.2">
      <c r="C2851" s="138"/>
      <c r="E2851" s="138"/>
      <c r="F2851" s="138"/>
      <c r="G2851" s="138"/>
      <c r="H2851" s="138"/>
    </row>
    <row r="2852" spans="3:8" x14ac:dyDescent="0.2">
      <c r="C2852" s="138"/>
      <c r="E2852" s="138"/>
      <c r="F2852" s="138"/>
      <c r="G2852" s="138"/>
      <c r="H2852" s="138"/>
    </row>
    <row r="2853" spans="3:8" x14ac:dyDescent="0.2">
      <c r="C2853" s="138"/>
      <c r="E2853" s="138"/>
      <c r="F2853" s="138"/>
      <c r="G2853" s="138"/>
      <c r="H2853" s="138"/>
    </row>
    <row r="2854" spans="3:8" x14ac:dyDescent="0.2">
      <c r="C2854" s="138"/>
      <c r="E2854" s="138"/>
      <c r="F2854" s="138"/>
      <c r="G2854" s="138"/>
      <c r="H2854" s="138"/>
    </row>
    <row r="2855" spans="3:8" x14ac:dyDescent="0.2">
      <c r="C2855" s="138"/>
      <c r="E2855" s="138"/>
      <c r="F2855" s="138"/>
      <c r="G2855" s="138"/>
      <c r="H2855" s="138"/>
    </row>
    <row r="2856" spans="3:8" x14ac:dyDescent="0.2">
      <c r="C2856" s="138"/>
      <c r="E2856" s="138"/>
      <c r="F2856" s="138"/>
      <c r="G2856" s="138"/>
      <c r="H2856" s="138"/>
    </row>
    <row r="2857" spans="3:8" x14ac:dyDescent="0.2">
      <c r="C2857" s="138"/>
      <c r="E2857" s="138"/>
      <c r="F2857" s="138"/>
      <c r="G2857" s="138"/>
      <c r="H2857" s="138"/>
    </row>
    <row r="2858" spans="3:8" x14ac:dyDescent="0.2">
      <c r="C2858" s="138"/>
      <c r="E2858" s="138"/>
      <c r="F2858" s="138"/>
      <c r="G2858" s="138"/>
      <c r="H2858" s="138"/>
    </row>
    <row r="2859" spans="3:8" x14ac:dyDescent="0.2">
      <c r="C2859" s="138"/>
      <c r="E2859" s="138"/>
      <c r="F2859" s="138"/>
      <c r="G2859" s="138"/>
      <c r="H2859" s="138"/>
    </row>
    <row r="2860" spans="3:8" x14ac:dyDescent="0.2">
      <c r="C2860" s="138"/>
      <c r="E2860" s="138"/>
      <c r="F2860" s="138"/>
      <c r="G2860" s="138"/>
      <c r="H2860" s="138"/>
    </row>
    <row r="2861" spans="3:8" x14ac:dyDescent="0.2">
      <c r="C2861" s="138"/>
      <c r="E2861" s="138"/>
      <c r="F2861" s="138"/>
      <c r="G2861" s="138"/>
      <c r="H2861" s="138"/>
    </row>
    <row r="2862" spans="3:8" x14ac:dyDescent="0.2">
      <c r="C2862" s="138"/>
      <c r="E2862" s="138"/>
      <c r="F2862" s="138"/>
      <c r="G2862" s="138"/>
      <c r="H2862" s="138"/>
    </row>
    <row r="2863" spans="3:8" x14ac:dyDescent="0.2">
      <c r="C2863" s="138"/>
      <c r="E2863" s="138"/>
      <c r="F2863" s="138"/>
      <c r="G2863" s="138"/>
      <c r="H2863" s="138"/>
    </row>
    <row r="2864" spans="3:8" x14ac:dyDescent="0.2">
      <c r="C2864" s="138"/>
      <c r="E2864" s="138"/>
      <c r="F2864" s="138"/>
      <c r="G2864" s="138"/>
      <c r="H2864" s="138"/>
    </row>
    <row r="2865" spans="3:8" x14ac:dyDescent="0.2">
      <c r="C2865" s="138"/>
      <c r="E2865" s="138"/>
      <c r="F2865" s="138"/>
      <c r="G2865" s="138"/>
      <c r="H2865" s="138"/>
    </row>
    <row r="2866" spans="3:8" x14ac:dyDescent="0.2">
      <c r="C2866" s="138"/>
      <c r="E2866" s="138"/>
      <c r="F2866" s="138"/>
      <c r="G2866" s="138"/>
      <c r="H2866" s="138"/>
    </row>
    <row r="2867" spans="3:8" x14ac:dyDescent="0.2">
      <c r="C2867" s="138"/>
      <c r="E2867" s="138"/>
      <c r="F2867" s="138"/>
      <c r="G2867" s="138"/>
      <c r="H2867" s="138"/>
    </row>
    <row r="2868" spans="3:8" x14ac:dyDescent="0.2">
      <c r="C2868" s="138"/>
      <c r="E2868" s="138"/>
      <c r="F2868" s="138"/>
      <c r="G2868" s="138"/>
      <c r="H2868" s="138"/>
    </row>
    <row r="2869" spans="3:8" x14ac:dyDescent="0.2">
      <c r="C2869" s="138"/>
      <c r="E2869" s="138"/>
      <c r="F2869" s="138"/>
      <c r="G2869" s="138"/>
      <c r="H2869" s="138"/>
    </row>
    <row r="2870" spans="3:8" x14ac:dyDescent="0.2">
      <c r="C2870" s="138"/>
      <c r="E2870" s="138"/>
      <c r="F2870" s="138"/>
      <c r="G2870" s="138"/>
      <c r="H2870" s="138"/>
    </row>
    <row r="2871" spans="3:8" x14ac:dyDescent="0.2">
      <c r="C2871" s="138"/>
      <c r="E2871" s="138"/>
      <c r="F2871" s="138"/>
      <c r="G2871" s="138"/>
      <c r="H2871" s="138"/>
    </row>
    <row r="2872" spans="3:8" x14ac:dyDescent="0.2">
      <c r="C2872" s="138"/>
      <c r="E2872" s="138"/>
      <c r="F2872" s="138"/>
      <c r="G2872" s="138"/>
      <c r="H2872" s="138"/>
    </row>
    <row r="2873" spans="3:8" x14ac:dyDescent="0.2">
      <c r="C2873" s="138"/>
      <c r="E2873" s="138"/>
      <c r="F2873" s="138"/>
      <c r="G2873" s="138"/>
      <c r="H2873" s="138"/>
    </row>
    <row r="2874" spans="3:8" x14ac:dyDescent="0.2">
      <c r="C2874" s="138"/>
      <c r="E2874" s="138"/>
      <c r="F2874" s="138"/>
      <c r="G2874" s="138"/>
      <c r="H2874" s="138"/>
    </row>
    <row r="2875" spans="3:8" x14ac:dyDescent="0.2">
      <c r="C2875" s="138"/>
      <c r="E2875" s="138"/>
      <c r="F2875" s="138"/>
      <c r="G2875" s="138"/>
      <c r="H2875" s="138"/>
    </row>
    <row r="2876" spans="3:8" x14ac:dyDescent="0.2">
      <c r="C2876" s="138"/>
      <c r="E2876" s="138"/>
      <c r="F2876" s="138"/>
      <c r="G2876" s="138"/>
      <c r="H2876" s="138"/>
    </row>
    <row r="2877" spans="3:8" x14ac:dyDescent="0.2">
      <c r="C2877" s="138"/>
      <c r="E2877" s="138"/>
      <c r="F2877" s="138"/>
      <c r="G2877" s="138"/>
      <c r="H2877" s="138"/>
    </row>
    <row r="2878" spans="3:8" x14ac:dyDescent="0.2">
      <c r="C2878" s="138"/>
      <c r="E2878" s="138"/>
      <c r="F2878" s="138"/>
      <c r="G2878" s="138"/>
      <c r="H2878" s="138"/>
    </row>
    <row r="2879" spans="3:8" x14ac:dyDescent="0.2">
      <c r="C2879" s="138"/>
      <c r="E2879" s="138"/>
      <c r="F2879" s="138"/>
      <c r="G2879" s="138"/>
      <c r="H2879" s="138"/>
    </row>
    <row r="2880" spans="3:8" x14ac:dyDescent="0.2">
      <c r="C2880" s="138"/>
      <c r="E2880" s="138"/>
      <c r="F2880" s="138"/>
      <c r="G2880" s="138"/>
      <c r="H2880" s="138"/>
    </row>
    <row r="2881" spans="3:8" x14ac:dyDescent="0.2">
      <c r="C2881" s="138"/>
      <c r="E2881" s="138"/>
      <c r="F2881" s="138"/>
      <c r="G2881" s="138"/>
      <c r="H2881" s="138"/>
    </row>
    <row r="2882" spans="3:8" x14ac:dyDescent="0.2">
      <c r="C2882" s="138"/>
      <c r="E2882" s="138"/>
      <c r="F2882" s="138"/>
      <c r="G2882" s="138"/>
      <c r="H2882" s="138"/>
    </row>
    <row r="2883" spans="3:8" x14ac:dyDescent="0.2">
      <c r="C2883" s="138"/>
      <c r="E2883" s="138"/>
      <c r="F2883" s="138"/>
      <c r="G2883" s="138"/>
      <c r="H2883" s="138"/>
    </row>
    <row r="2884" spans="3:8" x14ac:dyDescent="0.2">
      <c r="C2884" s="138"/>
      <c r="E2884" s="138"/>
      <c r="F2884" s="138"/>
      <c r="G2884" s="138"/>
      <c r="H2884" s="138"/>
    </row>
    <row r="2885" spans="3:8" x14ac:dyDescent="0.2">
      <c r="C2885" s="138"/>
      <c r="E2885" s="138"/>
      <c r="F2885" s="138"/>
      <c r="G2885" s="138"/>
      <c r="H2885" s="138"/>
    </row>
    <row r="2886" spans="3:8" x14ac:dyDescent="0.2">
      <c r="C2886" s="138"/>
      <c r="E2886" s="138"/>
      <c r="F2886" s="138"/>
      <c r="G2886" s="138"/>
      <c r="H2886" s="138"/>
    </row>
    <row r="2887" spans="3:8" x14ac:dyDescent="0.2">
      <c r="C2887" s="138"/>
      <c r="E2887" s="138"/>
      <c r="F2887" s="138"/>
      <c r="G2887" s="138"/>
      <c r="H2887" s="138"/>
    </row>
    <row r="2888" spans="3:8" x14ac:dyDescent="0.2">
      <c r="C2888" s="138"/>
      <c r="E2888" s="138"/>
      <c r="F2888" s="138"/>
      <c r="G2888" s="138"/>
      <c r="H2888" s="138"/>
    </row>
    <row r="2889" spans="3:8" x14ac:dyDescent="0.2">
      <c r="C2889" s="138"/>
      <c r="E2889" s="138"/>
      <c r="F2889" s="138"/>
      <c r="G2889" s="138"/>
      <c r="H2889" s="138"/>
    </row>
    <row r="2890" spans="3:8" x14ac:dyDescent="0.2">
      <c r="C2890" s="138"/>
      <c r="E2890" s="138"/>
      <c r="F2890" s="138"/>
      <c r="G2890" s="138"/>
      <c r="H2890" s="138"/>
    </row>
    <row r="2891" spans="3:8" x14ac:dyDescent="0.2">
      <c r="C2891" s="138"/>
      <c r="E2891" s="138"/>
      <c r="F2891" s="138"/>
      <c r="G2891" s="138"/>
      <c r="H2891" s="138"/>
    </row>
    <row r="2892" spans="3:8" x14ac:dyDescent="0.2">
      <c r="C2892" s="138"/>
      <c r="E2892" s="138"/>
      <c r="F2892" s="138"/>
      <c r="G2892" s="138"/>
      <c r="H2892" s="138"/>
    </row>
    <row r="2893" spans="3:8" x14ac:dyDescent="0.2">
      <c r="C2893" s="138"/>
      <c r="E2893" s="138"/>
      <c r="F2893" s="138"/>
      <c r="G2893" s="138"/>
      <c r="H2893" s="138"/>
    </row>
    <row r="2894" spans="3:8" x14ac:dyDescent="0.2">
      <c r="C2894" s="138"/>
      <c r="E2894" s="138"/>
      <c r="F2894" s="138"/>
      <c r="G2894" s="138"/>
      <c r="H2894" s="138"/>
    </row>
    <row r="2895" spans="3:8" x14ac:dyDescent="0.2">
      <c r="C2895" s="138"/>
      <c r="E2895" s="138"/>
      <c r="F2895" s="138"/>
      <c r="G2895" s="138"/>
      <c r="H2895" s="138"/>
    </row>
    <row r="2896" spans="3:8" x14ac:dyDescent="0.2">
      <c r="C2896" s="138"/>
      <c r="E2896" s="138"/>
      <c r="F2896" s="138"/>
      <c r="G2896" s="138"/>
      <c r="H2896" s="138"/>
    </row>
    <row r="2897" spans="3:8" x14ac:dyDescent="0.2">
      <c r="C2897" s="138"/>
      <c r="E2897" s="138"/>
      <c r="F2897" s="138"/>
      <c r="G2897" s="138"/>
      <c r="H2897" s="138"/>
    </row>
    <row r="2898" spans="3:8" x14ac:dyDescent="0.2">
      <c r="C2898" s="138"/>
      <c r="E2898" s="138"/>
      <c r="F2898" s="138"/>
      <c r="G2898" s="138"/>
      <c r="H2898" s="138"/>
    </row>
    <row r="2899" spans="3:8" x14ac:dyDescent="0.2">
      <c r="C2899" s="138"/>
      <c r="E2899" s="138"/>
      <c r="F2899" s="138"/>
      <c r="G2899" s="138"/>
      <c r="H2899" s="138"/>
    </row>
    <row r="2900" spans="3:8" x14ac:dyDescent="0.2">
      <c r="C2900" s="138"/>
      <c r="E2900" s="138"/>
      <c r="F2900" s="138"/>
      <c r="G2900" s="138"/>
      <c r="H2900" s="138"/>
    </row>
    <row r="2901" spans="3:8" x14ac:dyDescent="0.2">
      <c r="C2901" s="138"/>
      <c r="E2901" s="138"/>
      <c r="F2901" s="138"/>
      <c r="G2901" s="138"/>
      <c r="H2901" s="138"/>
    </row>
    <row r="2902" spans="3:8" x14ac:dyDescent="0.2">
      <c r="C2902" s="138"/>
      <c r="E2902" s="138"/>
      <c r="F2902" s="138"/>
      <c r="G2902" s="138"/>
      <c r="H2902" s="138"/>
    </row>
    <row r="2903" spans="3:8" x14ac:dyDescent="0.2">
      <c r="C2903" s="138"/>
      <c r="E2903" s="138"/>
      <c r="F2903" s="138"/>
      <c r="G2903" s="138"/>
      <c r="H2903" s="138"/>
    </row>
    <row r="2904" spans="3:8" x14ac:dyDescent="0.2">
      <c r="C2904" s="138"/>
      <c r="E2904" s="138"/>
      <c r="F2904" s="138"/>
      <c r="G2904" s="138"/>
      <c r="H2904" s="138"/>
    </row>
    <row r="2905" spans="3:8" x14ac:dyDescent="0.2">
      <c r="C2905" s="138"/>
      <c r="E2905" s="138"/>
      <c r="F2905" s="138"/>
      <c r="G2905" s="138"/>
      <c r="H2905" s="138"/>
    </row>
    <row r="2906" spans="3:8" x14ac:dyDescent="0.2">
      <c r="C2906" s="138"/>
      <c r="E2906" s="138"/>
      <c r="F2906" s="138"/>
      <c r="G2906" s="138"/>
      <c r="H2906" s="138"/>
    </row>
    <row r="2907" spans="3:8" x14ac:dyDescent="0.2">
      <c r="C2907" s="138"/>
      <c r="E2907" s="138"/>
      <c r="F2907" s="138"/>
      <c r="G2907" s="138"/>
      <c r="H2907" s="138"/>
    </row>
    <row r="2908" spans="3:8" x14ac:dyDescent="0.2">
      <c r="C2908" s="138"/>
      <c r="E2908" s="138"/>
      <c r="F2908" s="138"/>
      <c r="G2908" s="138"/>
      <c r="H2908" s="138"/>
    </row>
    <row r="2909" spans="3:8" x14ac:dyDescent="0.2">
      <c r="C2909" s="138"/>
      <c r="E2909" s="138"/>
      <c r="F2909" s="138"/>
      <c r="G2909" s="138"/>
      <c r="H2909" s="138"/>
    </row>
    <row r="2910" spans="3:8" x14ac:dyDescent="0.2">
      <c r="C2910" s="138"/>
      <c r="E2910" s="138"/>
      <c r="F2910" s="138"/>
      <c r="G2910" s="138"/>
      <c r="H2910" s="138"/>
    </row>
    <row r="2911" spans="3:8" x14ac:dyDescent="0.2">
      <c r="C2911" s="138"/>
      <c r="E2911" s="138"/>
      <c r="F2911" s="138"/>
      <c r="G2911" s="138"/>
      <c r="H2911" s="138"/>
    </row>
    <row r="2912" spans="3:8" x14ac:dyDescent="0.2">
      <c r="C2912" s="138"/>
      <c r="E2912" s="138"/>
      <c r="F2912" s="138"/>
      <c r="G2912" s="138"/>
      <c r="H2912" s="138"/>
    </row>
    <row r="2913" spans="3:8" x14ac:dyDescent="0.2">
      <c r="C2913" s="138"/>
      <c r="E2913" s="138"/>
      <c r="F2913" s="138"/>
      <c r="G2913" s="138"/>
      <c r="H2913" s="138"/>
    </row>
    <row r="2914" spans="3:8" x14ac:dyDescent="0.2">
      <c r="C2914" s="138"/>
      <c r="E2914" s="138"/>
      <c r="F2914" s="138"/>
      <c r="G2914" s="138"/>
      <c r="H2914" s="138"/>
    </row>
    <row r="2915" spans="3:8" x14ac:dyDescent="0.2">
      <c r="C2915" s="138"/>
      <c r="E2915" s="138"/>
      <c r="F2915" s="138"/>
      <c r="G2915" s="138"/>
      <c r="H2915" s="138"/>
    </row>
    <row r="2916" spans="3:8" x14ac:dyDescent="0.2">
      <c r="C2916" s="138"/>
      <c r="E2916" s="138"/>
      <c r="F2916" s="138"/>
      <c r="G2916" s="138"/>
      <c r="H2916" s="138"/>
    </row>
    <row r="2917" spans="3:8" x14ac:dyDescent="0.2">
      <c r="C2917" s="138"/>
      <c r="E2917" s="138"/>
      <c r="F2917" s="138"/>
      <c r="G2917" s="138"/>
      <c r="H2917" s="138"/>
    </row>
    <row r="2918" spans="3:8" x14ac:dyDescent="0.2">
      <c r="C2918" s="138"/>
      <c r="E2918" s="138"/>
      <c r="F2918" s="138"/>
      <c r="G2918" s="138"/>
      <c r="H2918" s="138"/>
    </row>
    <row r="2919" spans="3:8" x14ac:dyDescent="0.2">
      <c r="C2919" s="138"/>
      <c r="E2919" s="138"/>
      <c r="F2919" s="138"/>
      <c r="G2919" s="138"/>
      <c r="H2919" s="138"/>
    </row>
    <row r="2920" spans="3:8" x14ac:dyDescent="0.2">
      <c r="C2920" s="138"/>
      <c r="E2920" s="138"/>
      <c r="F2920" s="138"/>
      <c r="G2920" s="138"/>
      <c r="H2920" s="138"/>
    </row>
    <row r="2921" spans="3:8" x14ac:dyDescent="0.2">
      <c r="C2921" s="138"/>
      <c r="E2921" s="138"/>
      <c r="F2921" s="138"/>
      <c r="G2921" s="138"/>
      <c r="H2921" s="138"/>
    </row>
    <row r="2922" spans="3:8" x14ac:dyDescent="0.2">
      <c r="C2922" s="138"/>
      <c r="E2922" s="138"/>
      <c r="F2922" s="138"/>
      <c r="G2922" s="138"/>
      <c r="H2922" s="138"/>
    </row>
    <row r="2923" spans="3:8" x14ac:dyDescent="0.2">
      <c r="C2923" s="138"/>
      <c r="E2923" s="138"/>
      <c r="F2923" s="138"/>
      <c r="G2923" s="138"/>
      <c r="H2923" s="138"/>
    </row>
    <row r="2924" spans="3:8" x14ac:dyDescent="0.2">
      <c r="C2924" s="138"/>
      <c r="E2924" s="138"/>
      <c r="F2924" s="138"/>
      <c r="G2924" s="138"/>
      <c r="H2924" s="138"/>
    </row>
    <row r="2925" spans="3:8" x14ac:dyDescent="0.2">
      <c r="C2925" s="138"/>
      <c r="E2925" s="138"/>
      <c r="F2925" s="138"/>
      <c r="G2925" s="138"/>
      <c r="H2925" s="138"/>
    </row>
    <row r="2926" spans="3:8" x14ac:dyDescent="0.2">
      <c r="C2926" s="138"/>
      <c r="E2926" s="138"/>
      <c r="F2926" s="138"/>
      <c r="G2926" s="138"/>
      <c r="H2926" s="138"/>
    </row>
    <row r="2927" spans="3:8" x14ac:dyDescent="0.2">
      <c r="C2927" s="138"/>
      <c r="E2927" s="138"/>
      <c r="F2927" s="138"/>
      <c r="G2927" s="138"/>
      <c r="H2927" s="138"/>
    </row>
    <row r="2928" spans="3:8" x14ac:dyDescent="0.2">
      <c r="C2928" s="138"/>
      <c r="E2928" s="138"/>
      <c r="F2928" s="138"/>
      <c r="G2928" s="138"/>
      <c r="H2928" s="138"/>
    </row>
    <row r="2929" spans="3:8" x14ac:dyDescent="0.2">
      <c r="C2929" s="138"/>
      <c r="E2929" s="138"/>
      <c r="F2929" s="138"/>
      <c r="G2929" s="138"/>
      <c r="H2929" s="138"/>
    </row>
    <row r="2930" spans="3:8" x14ac:dyDescent="0.2">
      <c r="C2930" s="138"/>
      <c r="E2930" s="138"/>
      <c r="F2930" s="138"/>
      <c r="G2930" s="138"/>
      <c r="H2930" s="138"/>
    </row>
    <row r="2931" spans="3:8" x14ac:dyDescent="0.2">
      <c r="C2931" s="138"/>
      <c r="E2931" s="138"/>
      <c r="F2931" s="138"/>
      <c r="G2931" s="138"/>
      <c r="H2931" s="138"/>
    </row>
    <row r="2932" spans="3:8" x14ac:dyDescent="0.2">
      <c r="C2932" s="138"/>
      <c r="E2932" s="138"/>
      <c r="F2932" s="138"/>
      <c r="G2932" s="138"/>
      <c r="H2932" s="138"/>
    </row>
    <row r="2933" spans="3:8" x14ac:dyDescent="0.2">
      <c r="C2933" s="138"/>
      <c r="E2933" s="138"/>
      <c r="F2933" s="138"/>
      <c r="G2933" s="138"/>
      <c r="H2933" s="138"/>
    </row>
    <row r="2934" spans="3:8" x14ac:dyDescent="0.2">
      <c r="C2934" s="138"/>
      <c r="E2934" s="138"/>
      <c r="F2934" s="138"/>
      <c r="G2934" s="138"/>
      <c r="H2934" s="138"/>
    </row>
    <row r="2935" spans="3:8" x14ac:dyDescent="0.2">
      <c r="C2935" s="138"/>
      <c r="E2935" s="138"/>
      <c r="F2935" s="138"/>
      <c r="G2935" s="138"/>
      <c r="H2935" s="138"/>
    </row>
    <row r="2936" spans="3:8" x14ac:dyDescent="0.2">
      <c r="C2936" s="138"/>
      <c r="E2936" s="138"/>
      <c r="F2936" s="138"/>
      <c r="G2936" s="138"/>
      <c r="H2936" s="138"/>
    </row>
    <row r="2937" spans="3:8" x14ac:dyDescent="0.2">
      <c r="C2937" s="138"/>
      <c r="E2937" s="138"/>
      <c r="F2937" s="138"/>
      <c r="G2937" s="138"/>
      <c r="H2937" s="138"/>
    </row>
    <row r="2938" spans="3:8" x14ac:dyDescent="0.2">
      <c r="C2938" s="138"/>
      <c r="E2938" s="138"/>
      <c r="F2938" s="138"/>
      <c r="G2938" s="138"/>
      <c r="H2938" s="138"/>
    </row>
    <row r="2939" spans="3:8" x14ac:dyDescent="0.2">
      <c r="C2939" s="138"/>
      <c r="E2939" s="138"/>
      <c r="F2939" s="138"/>
      <c r="G2939" s="138"/>
      <c r="H2939" s="138"/>
    </row>
    <row r="2940" spans="3:8" x14ac:dyDescent="0.2">
      <c r="C2940" s="138"/>
      <c r="E2940" s="138"/>
      <c r="F2940" s="138"/>
      <c r="G2940" s="138"/>
      <c r="H2940" s="138"/>
    </row>
    <row r="2941" spans="3:8" x14ac:dyDescent="0.2">
      <c r="C2941" s="138"/>
      <c r="E2941" s="138"/>
      <c r="F2941" s="138"/>
      <c r="G2941" s="138"/>
      <c r="H2941" s="138"/>
    </row>
    <row r="2942" spans="3:8" x14ac:dyDescent="0.2">
      <c r="C2942" s="138"/>
      <c r="E2942" s="138"/>
      <c r="F2942" s="138"/>
      <c r="G2942" s="138"/>
      <c r="H2942" s="138"/>
    </row>
    <row r="2943" spans="3:8" x14ac:dyDescent="0.2">
      <c r="C2943" s="138"/>
      <c r="E2943" s="138"/>
      <c r="F2943" s="138"/>
      <c r="G2943" s="138"/>
      <c r="H2943" s="138"/>
    </row>
    <row r="2944" spans="3:8" x14ac:dyDescent="0.2">
      <c r="C2944" s="138"/>
      <c r="E2944" s="138"/>
      <c r="F2944" s="138"/>
      <c r="G2944" s="138"/>
      <c r="H2944" s="138"/>
    </row>
    <row r="2945" spans="3:8" x14ac:dyDescent="0.2">
      <c r="C2945" s="138"/>
      <c r="E2945" s="138"/>
      <c r="F2945" s="138"/>
      <c r="G2945" s="138"/>
      <c r="H2945" s="138"/>
    </row>
    <row r="2946" spans="3:8" x14ac:dyDescent="0.2">
      <c r="C2946" s="138"/>
      <c r="E2946" s="138"/>
      <c r="F2946" s="138"/>
      <c r="G2946" s="138"/>
      <c r="H2946" s="138"/>
    </row>
    <row r="2947" spans="3:8" x14ac:dyDescent="0.2">
      <c r="C2947" s="138"/>
      <c r="E2947" s="138"/>
      <c r="F2947" s="138"/>
      <c r="G2947" s="138"/>
      <c r="H2947" s="138"/>
    </row>
    <row r="2948" spans="3:8" x14ac:dyDescent="0.2">
      <c r="C2948" s="138"/>
      <c r="E2948" s="138"/>
      <c r="F2948" s="138"/>
      <c r="G2948" s="138"/>
      <c r="H2948" s="138"/>
    </row>
    <row r="2949" spans="3:8" x14ac:dyDescent="0.2">
      <c r="C2949" s="138"/>
      <c r="E2949" s="138"/>
      <c r="F2949" s="138"/>
      <c r="G2949" s="138"/>
      <c r="H2949" s="138"/>
    </row>
    <row r="2950" spans="3:8" x14ac:dyDescent="0.2">
      <c r="C2950" s="138"/>
      <c r="E2950" s="138"/>
      <c r="F2950" s="138"/>
      <c r="G2950" s="138"/>
      <c r="H2950" s="138"/>
    </row>
    <row r="2951" spans="3:8" x14ac:dyDescent="0.2">
      <c r="C2951" s="138"/>
      <c r="E2951" s="138"/>
      <c r="F2951" s="138"/>
      <c r="G2951" s="138"/>
      <c r="H2951" s="138"/>
    </row>
    <row r="2952" spans="3:8" x14ac:dyDescent="0.2">
      <c r="C2952" s="138"/>
      <c r="E2952" s="138"/>
      <c r="F2952" s="138"/>
      <c r="G2952" s="138"/>
      <c r="H2952" s="138"/>
    </row>
    <row r="2953" spans="3:8" x14ac:dyDescent="0.2">
      <c r="C2953" s="138"/>
      <c r="E2953" s="138"/>
      <c r="F2953" s="138"/>
      <c r="G2953" s="138"/>
      <c r="H2953" s="138"/>
    </row>
    <row r="2954" spans="3:8" x14ac:dyDescent="0.2">
      <c r="C2954" s="138"/>
      <c r="E2954" s="138"/>
      <c r="F2954" s="138"/>
      <c r="G2954" s="138"/>
      <c r="H2954" s="138"/>
    </row>
    <row r="2955" spans="3:8" x14ac:dyDescent="0.2">
      <c r="C2955" s="138"/>
      <c r="E2955" s="138"/>
      <c r="F2955" s="138"/>
      <c r="G2955" s="138"/>
      <c r="H2955" s="138"/>
    </row>
    <row r="2956" spans="3:8" x14ac:dyDescent="0.2">
      <c r="C2956" s="138"/>
      <c r="E2956" s="138"/>
      <c r="F2956" s="138"/>
      <c r="G2956" s="138"/>
      <c r="H2956" s="138"/>
    </row>
    <row r="2957" spans="3:8" x14ac:dyDescent="0.2">
      <c r="C2957" s="138"/>
      <c r="E2957" s="138"/>
      <c r="F2957" s="138"/>
      <c r="G2957" s="138"/>
      <c r="H2957" s="138"/>
    </row>
    <row r="2958" spans="3:8" x14ac:dyDescent="0.2">
      <c r="C2958" s="138"/>
      <c r="E2958" s="138"/>
      <c r="F2958" s="138"/>
      <c r="G2958" s="138"/>
      <c r="H2958" s="138"/>
    </row>
    <row r="2959" spans="3:8" x14ac:dyDescent="0.2">
      <c r="C2959" s="138"/>
      <c r="E2959" s="138"/>
      <c r="F2959" s="138"/>
      <c r="G2959" s="138"/>
      <c r="H2959" s="138"/>
    </row>
    <row r="2960" spans="3:8" x14ac:dyDescent="0.2">
      <c r="C2960" s="138"/>
      <c r="E2960" s="138"/>
      <c r="F2960" s="138"/>
      <c r="G2960" s="138"/>
      <c r="H2960" s="138"/>
    </row>
    <row r="2961" spans="3:8" x14ac:dyDescent="0.2">
      <c r="C2961" s="138"/>
      <c r="E2961" s="138"/>
      <c r="F2961" s="138"/>
      <c r="G2961" s="138"/>
      <c r="H2961" s="138"/>
    </row>
    <row r="2962" spans="3:8" x14ac:dyDescent="0.2">
      <c r="C2962" s="138"/>
      <c r="E2962" s="138"/>
      <c r="F2962" s="138"/>
      <c r="G2962" s="138"/>
      <c r="H2962" s="138"/>
    </row>
    <row r="2963" spans="3:8" x14ac:dyDescent="0.2">
      <c r="C2963" s="138"/>
      <c r="E2963" s="138"/>
      <c r="F2963" s="138"/>
      <c r="G2963" s="138"/>
      <c r="H2963" s="138"/>
    </row>
    <row r="2964" spans="3:8" x14ac:dyDescent="0.2">
      <c r="C2964" s="138"/>
      <c r="E2964" s="138"/>
      <c r="F2964" s="138"/>
      <c r="G2964" s="138"/>
      <c r="H2964" s="138"/>
    </row>
    <row r="2965" spans="3:8" x14ac:dyDescent="0.2">
      <c r="C2965" s="138"/>
      <c r="E2965" s="138"/>
      <c r="F2965" s="138"/>
      <c r="G2965" s="138"/>
      <c r="H2965" s="138"/>
    </row>
    <row r="2966" spans="3:8" x14ac:dyDescent="0.2">
      <c r="C2966" s="138"/>
      <c r="E2966" s="138"/>
      <c r="F2966" s="138"/>
      <c r="G2966" s="138"/>
      <c r="H2966" s="138"/>
    </row>
    <row r="2967" spans="3:8" x14ac:dyDescent="0.2">
      <c r="C2967" s="138"/>
      <c r="E2967" s="138"/>
      <c r="F2967" s="138"/>
      <c r="G2967" s="138"/>
      <c r="H2967" s="138"/>
    </row>
    <row r="2968" spans="3:8" x14ac:dyDescent="0.2">
      <c r="C2968" s="138"/>
      <c r="E2968" s="138"/>
      <c r="F2968" s="138"/>
      <c r="G2968" s="138"/>
      <c r="H2968" s="138"/>
    </row>
    <row r="2969" spans="3:8" x14ac:dyDescent="0.2">
      <c r="C2969" s="138"/>
      <c r="E2969" s="138"/>
      <c r="F2969" s="138"/>
      <c r="G2969" s="138"/>
      <c r="H2969" s="138"/>
    </row>
    <row r="2970" spans="3:8" x14ac:dyDescent="0.2">
      <c r="C2970" s="138"/>
      <c r="E2970" s="138"/>
      <c r="F2970" s="138"/>
      <c r="G2970" s="138"/>
      <c r="H2970" s="138"/>
    </row>
    <row r="2971" spans="3:8" x14ac:dyDescent="0.2">
      <c r="C2971" s="138"/>
      <c r="E2971" s="138"/>
      <c r="F2971" s="138"/>
      <c r="G2971" s="138"/>
      <c r="H2971" s="138"/>
    </row>
    <row r="2972" spans="3:8" x14ac:dyDescent="0.2">
      <c r="C2972" s="138"/>
      <c r="E2972" s="138"/>
      <c r="F2972" s="138"/>
      <c r="G2972" s="138"/>
      <c r="H2972" s="138"/>
    </row>
    <row r="2973" spans="3:8" x14ac:dyDescent="0.2">
      <c r="C2973" s="138"/>
      <c r="E2973" s="138"/>
      <c r="F2973" s="138"/>
      <c r="G2973" s="138"/>
      <c r="H2973" s="138"/>
    </row>
    <row r="2974" spans="3:8" x14ac:dyDescent="0.2">
      <c r="C2974" s="138"/>
      <c r="E2974" s="138"/>
      <c r="F2974" s="138"/>
      <c r="G2974" s="138"/>
      <c r="H2974" s="138"/>
    </row>
    <row r="2975" spans="3:8" x14ac:dyDescent="0.2">
      <c r="C2975" s="138"/>
      <c r="E2975" s="138"/>
      <c r="F2975" s="138"/>
      <c r="G2975" s="138"/>
      <c r="H2975" s="138"/>
    </row>
    <row r="2976" spans="3:8" x14ac:dyDescent="0.2">
      <c r="C2976" s="138"/>
      <c r="E2976" s="138"/>
      <c r="F2976" s="138"/>
      <c r="G2976" s="138"/>
      <c r="H2976" s="138"/>
    </row>
    <row r="2977" spans="3:8" x14ac:dyDescent="0.2">
      <c r="C2977" s="138"/>
      <c r="E2977" s="138"/>
      <c r="F2977" s="138"/>
      <c r="G2977" s="138"/>
      <c r="H2977" s="138"/>
    </row>
    <row r="2978" spans="3:8" x14ac:dyDescent="0.2">
      <c r="C2978" s="138"/>
      <c r="E2978" s="138"/>
      <c r="F2978" s="138"/>
      <c r="G2978" s="138"/>
      <c r="H2978" s="138"/>
    </row>
    <row r="2979" spans="3:8" x14ac:dyDescent="0.2">
      <c r="C2979" s="138"/>
      <c r="E2979" s="138"/>
      <c r="F2979" s="138"/>
      <c r="G2979" s="138"/>
      <c r="H2979" s="138"/>
    </row>
    <row r="2980" spans="3:8" x14ac:dyDescent="0.2">
      <c r="C2980" s="138"/>
      <c r="E2980" s="138"/>
      <c r="F2980" s="138"/>
      <c r="G2980" s="138"/>
      <c r="H2980" s="138"/>
    </row>
    <row r="2981" spans="3:8" x14ac:dyDescent="0.2">
      <c r="C2981" s="138"/>
      <c r="E2981" s="138"/>
      <c r="F2981" s="138"/>
      <c r="G2981" s="138"/>
      <c r="H2981" s="138"/>
    </row>
    <row r="2982" spans="3:8" x14ac:dyDescent="0.2">
      <c r="C2982" s="138"/>
      <c r="E2982" s="138"/>
      <c r="F2982" s="138"/>
      <c r="G2982" s="138"/>
      <c r="H2982" s="138"/>
    </row>
    <row r="2983" spans="3:8" x14ac:dyDescent="0.2">
      <c r="C2983" s="138"/>
      <c r="E2983" s="138"/>
      <c r="F2983" s="138"/>
      <c r="G2983" s="138"/>
      <c r="H2983" s="138"/>
    </row>
    <row r="2984" spans="3:8" x14ac:dyDescent="0.2">
      <c r="C2984" s="138"/>
      <c r="E2984" s="138"/>
      <c r="F2984" s="138"/>
      <c r="G2984" s="138"/>
      <c r="H2984" s="138"/>
    </row>
    <row r="2985" spans="3:8" x14ac:dyDescent="0.2">
      <c r="C2985" s="138"/>
      <c r="E2985" s="138"/>
      <c r="F2985" s="138"/>
      <c r="G2985" s="138"/>
      <c r="H2985" s="138"/>
    </row>
    <row r="2986" spans="3:8" x14ac:dyDescent="0.2">
      <c r="C2986" s="138"/>
      <c r="E2986" s="138"/>
      <c r="F2986" s="138"/>
      <c r="G2986" s="138"/>
      <c r="H2986" s="138"/>
    </row>
    <row r="2987" spans="3:8" x14ac:dyDescent="0.2">
      <c r="C2987" s="138"/>
      <c r="E2987" s="138"/>
      <c r="F2987" s="138"/>
      <c r="G2987" s="138"/>
      <c r="H2987" s="138"/>
    </row>
    <row r="2988" spans="3:8" x14ac:dyDescent="0.2">
      <c r="C2988" s="138"/>
      <c r="E2988" s="138"/>
      <c r="F2988" s="138"/>
      <c r="G2988" s="138"/>
      <c r="H2988" s="138"/>
    </row>
    <row r="2989" spans="3:8" x14ac:dyDescent="0.2">
      <c r="C2989" s="138"/>
      <c r="E2989" s="138"/>
      <c r="F2989" s="138"/>
      <c r="G2989" s="138"/>
      <c r="H2989" s="138"/>
    </row>
    <row r="2990" spans="3:8" x14ac:dyDescent="0.2">
      <c r="C2990" s="138"/>
      <c r="E2990" s="138"/>
      <c r="F2990" s="138"/>
      <c r="G2990" s="138"/>
      <c r="H2990" s="138"/>
    </row>
    <row r="2991" spans="3:8" x14ac:dyDescent="0.2">
      <c r="C2991" s="138"/>
      <c r="E2991" s="138"/>
      <c r="F2991" s="138"/>
      <c r="G2991" s="138"/>
      <c r="H2991" s="138"/>
    </row>
    <row r="2992" spans="3:8" x14ac:dyDescent="0.2">
      <c r="C2992" s="138"/>
      <c r="E2992" s="138"/>
      <c r="F2992" s="138"/>
      <c r="G2992" s="138"/>
      <c r="H2992" s="138"/>
    </row>
    <row r="2993" spans="3:8" x14ac:dyDescent="0.2">
      <c r="C2993" s="138"/>
      <c r="E2993" s="138"/>
      <c r="F2993" s="138"/>
      <c r="G2993" s="138"/>
      <c r="H2993" s="138"/>
    </row>
    <row r="2994" spans="3:8" x14ac:dyDescent="0.2">
      <c r="C2994" s="138"/>
      <c r="E2994" s="138"/>
      <c r="F2994" s="138"/>
      <c r="G2994" s="138"/>
      <c r="H2994" s="138"/>
    </row>
    <row r="2995" spans="3:8" x14ac:dyDescent="0.2">
      <c r="C2995" s="138"/>
      <c r="E2995" s="138"/>
      <c r="F2995" s="138"/>
      <c r="G2995" s="138"/>
      <c r="H2995" s="138"/>
    </row>
    <row r="2996" spans="3:8" x14ac:dyDescent="0.2">
      <c r="C2996" s="138"/>
      <c r="E2996" s="138"/>
      <c r="F2996" s="138"/>
      <c r="G2996" s="138"/>
      <c r="H2996" s="138"/>
    </row>
    <row r="2997" spans="3:8" x14ac:dyDescent="0.2">
      <c r="C2997" s="138"/>
      <c r="E2997" s="138"/>
      <c r="F2997" s="138"/>
      <c r="G2997" s="138"/>
      <c r="H2997" s="138"/>
    </row>
    <row r="2998" spans="3:8" x14ac:dyDescent="0.2">
      <c r="C2998" s="138"/>
      <c r="E2998" s="138"/>
      <c r="F2998" s="138"/>
      <c r="G2998" s="138"/>
      <c r="H2998" s="138"/>
    </row>
    <row r="2999" spans="3:8" x14ac:dyDescent="0.2">
      <c r="C2999" s="138"/>
      <c r="E2999" s="138"/>
      <c r="F2999" s="138"/>
      <c r="G2999" s="138"/>
      <c r="H2999" s="138"/>
    </row>
    <row r="3000" spans="3:8" x14ac:dyDescent="0.2">
      <c r="C3000" s="138"/>
      <c r="E3000" s="138"/>
      <c r="F3000" s="138"/>
      <c r="G3000" s="138"/>
      <c r="H3000" s="138"/>
    </row>
    <row r="3001" spans="3:8" x14ac:dyDescent="0.2">
      <c r="C3001" s="138"/>
      <c r="E3001" s="138"/>
      <c r="F3001" s="138"/>
      <c r="G3001" s="138"/>
      <c r="H3001" s="138"/>
    </row>
    <row r="3002" spans="3:8" x14ac:dyDescent="0.2">
      <c r="C3002" s="138"/>
      <c r="E3002" s="138"/>
      <c r="F3002" s="138"/>
      <c r="G3002" s="138"/>
      <c r="H3002" s="138"/>
    </row>
    <row r="3003" spans="3:8" x14ac:dyDescent="0.2">
      <c r="C3003" s="138"/>
      <c r="E3003" s="138"/>
      <c r="F3003" s="138"/>
      <c r="G3003" s="138"/>
      <c r="H3003" s="138"/>
    </row>
    <row r="3004" spans="3:8" x14ac:dyDescent="0.2">
      <c r="C3004" s="138"/>
      <c r="E3004" s="138"/>
      <c r="F3004" s="138"/>
      <c r="G3004" s="138"/>
      <c r="H3004" s="138"/>
    </row>
    <row r="3005" spans="3:8" x14ac:dyDescent="0.2">
      <c r="C3005" s="138"/>
      <c r="E3005" s="138"/>
      <c r="F3005" s="138"/>
      <c r="G3005" s="138"/>
      <c r="H3005" s="138"/>
    </row>
    <row r="3006" spans="3:8" x14ac:dyDescent="0.2">
      <c r="C3006" s="138"/>
      <c r="E3006" s="138"/>
      <c r="F3006" s="138"/>
      <c r="G3006" s="138"/>
      <c r="H3006" s="138"/>
    </row>
    <row r="3007" spans="3:8" x14ac:dyDescent="0.2">
      <c r="C3007" s="138"/>
      <c r="E3007" s="138"/>
      <c r="F3007" s="138"/>
      <c r="G3007" s="138"/>
      <c r="H3007" s="138"/>
    </row>
    <row r="3008" spans="3:8" x14ac:dyDescent="0.2">
      <c r="C3008" s="138"/>
      <c r="E3008" s="138"/>
      <c r="F3008" s="138"/>
      <c r="G3008" s="138"/>
      <c r="H3008" s="138"/>
    </row>
    <row r="3009" spans="3:8" x14ac:dyDescent="0.2">
      <c r="C3009" s="138"/>
      <c r="E3009" s="138"/>
      <c r="F3009" s="138"/>
      <c r="G3009" s="138"/>
      <c r="H3009" s="138"/>
    </row>
    <row r="3010" spans="3:8" x14ac:dyDescent="0.2">
      <c r="C3010" s="138"/>
      <c r="E3010" s="138"/>
      <c r="F3010" s="138"/>
      <c r="G3010" s="138"/>
      <c r="H3010" s="138"/>
    </row>
    <row r="3011" spans="3:8" x14ac:dyDescent="0.2">
      <c r="C3011" s="138"/>
      <c r="E3011" s="138"/>
      <c r="F3011" s="138"/>
      <c r="G3011" s="138"/>
      <c r="H3011" s="138"/>
    </row>
    <row r="3012" spans="3:8" x14ac:dyDescent="0.2">
      <c r="C3012" s="138"/>
      <c r="E3012" s="138"/>
      <c r="F3012" s="138"/>
      <c r="G3012" s="138"/>
      <c r="H3012" s="138"/>
    </row>
    <row r="3013" spans="3:8" x14ac:dyDescent="0.2">
      <c r="C3013" s="138"/>
      <c r="E3013" s="138"/>
      <c r="F3013" s="138"/>
      <c r="G3013" s="138"/>
      <c r="H3013" s="138"/>
    </row>
    <row r="3014" spans="3:8" x14ac:dyDescent="0.2">
      <c r="C3014" s="138"/>
      <c r="E3014" s="138"/>
      <c r="F3014" s="138"/>
      <c r="G3014" s="138"/>
      <c r="H3014" s="138"/>
    </row>
    <row r="3015" spans="3:8" x14ac:dyDescent="0.2">
      <c r="C3015" s="138"/>
      <c r="E3015" s="138"/>
      <c r="F3015" s="138"/>
      <c r="G3015" s="138"/>
      <c r="H3015" s="138"/>
    </row>
    <row r="3018" spans="3:8" x14ac:dyDescent="0.2">
      <c r="C3018" s="140"/>
      <c r="E3018" s="140"/>
      <c r="F3018" s="140"/>
      <c r="G3018" s="140"/>
      <c r="H3018" s="140"/>
    </row>
    <row r="5018" spans="3:8" x14ac:dyDescent="0.2">
      <c r="C5018" s="140"/>
      <c r="G5018" s="140"/>
      <c r="H5018" s="140"/>
    </row>
    <row r="10017" spans="3:8" x14ac:dyDescent="0.2">
      <c r="C10017" s="140"/>
      <c r="E10017" s="140"/>
      <c r="F10017" s="140"/>
      <c r="G10017" s="140"/>
      <c r="H10017" s="140"/>
    </row>
    <row r="10018" spans="3:8" x14ac:dyDescent="0.2">
      <c r="C10018" s="140"/>
      <c r="E10018" s="140"/>
      <c r="F10018" s="140"/>
      <c r="G10018" s="140"/>
      <c r="H10018" s="140"/>
    </row>
  </sheetData>
  <mergeCells count="70">
    <mergeCell ref="BF11:BF13"/>
    <mergeCell ref="BE11:BE13"/>
    <mergeCell ref="BH11:BH13"/>
    <mergeCell ref="BG11:BG13"/>
    <mergeCell ref="R3:R4"/>
    <mergeCell ref="S3:S4"/>
    <mergeCell ref="G11:G13"/>
    <mergeCell ref="H11:H13"/>
    <mergeCell ref="T3:T4"/>
    <mergeCell ref="R11:R13"/>
    <mergeCell ref="S11:S13"/>
    <mergeCell ref="T11:T13"/>
    <mergeCell ref="C11:C13"/>
    <mergeCell ref="D11:D13"/>
    <mergeCell ref="E11:E13"/>
    <mergeCell ref="F11:F13"/>
    <mergeCell ref="U3:U4"/>
    <mergeCell ref="U11:U13"/>
    <mergeCell ref="BB11:BB13"/>
    <mergeCell ref="BC11:BC13"/>
    <mergeCell ref="AT11:AT13"/>
    <mergeCell ref="AU11:AU13"/>
    <mergeCell ref="AV11:AV13"/>
    <mergeCell ref="AW11:AW13"/>
    <mergeCell ref="AX11:AX13"/>
    <mergeCell ref="AY11:AY13"/>
    <mergeCell ref="AL11:AL13"/>
    <mergeCell ref="AM11:AM13"/>
    <mergeCell ref="AN11:AN13"/>
    <mergeCell ref="AO11:AO13"/>
    <mergeCell ref="AR11:AR13"/>
    <mergeCell ref="AS11:AS13"/>
    <mergeCell ref="AK11:AK13"/>
    <mergeCell ref="X11:X13"/>
    <mergeCell ref="Y11:Y13"/>
    <mergeCell ref="Z11:Z13"/>
    <mergeCell ref="AA11:AA13"/>
    <mergeCell ref="AB11:AB13"/>
    <mergeCell ref="AC11:AC13"/>
    <mergeCell ref="AD11:AD13"/>
    <mergeCell ref="AE11:AE13"/>
    <mergeCell ref="AH11:AH13"/>
    <mergeCell ref="AI11:AI13"/>
    <mergeCell ref="AJ11:AJ13"/>
    <mergeCell ref="AX3:AX4"/>
    <mergeCell ref="AY3:AY4"/>
    <mergeCell ref="BB3:BB4"/>
    <mergeCell ref="BC3:BC4"/>
    <mergeCell ref="AR3:AR4"/>
    <mergeCell ref="AS3:AS4"/>
    <mergeCell ref="AT3:AT4"/>
    <mergeCell ref="AU3:AU4"/>
    <mergeCell ref="AV3:AV4"/>
    <mergeCell ref="AW3:AW4"/>
    <mergeCell ref="AJ3:AJ4"/>
    <mergeCell ref="AK3:AK4"/>
    <mergeCell ref="AL3:AL4"/>
    <mergeCell ref="AM3:AM4"/>
    <mergeCell ref="AO3:AO4"/>
    <mergeCell ref="AN3:AN4"/>
    <mergeCell ref="AI3:AI4"/>
    <mergeCell ref="X3:X4"/>
    <mergeCell ref="Y3:Y4"/>
    <mergeCell ref="Z3:Z4"/>
    <mergeCell ref="AA3:AA4"/>
    <mergeCell ref="AB3:AB4"/>
    <mergeCell ref="AC3:AC4"/>
    <mergeCell ref="AD3:AD4"/>
    <mergeCell ref="AE3:AE4"/>
    <mergeCell ref="AH3:AH4"/>
  </mergeCells>
  <pageMargins left="0.7" right="0.7" top="0.75" bottom="0.75" header="0.3" footer="0.3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03.Probabilistic">
                <anchor moveWithCells="1" sizeWithCells="1">
                  <from>
                    <xdr:col>1</xdr:col>
                    <xdr:colOff>28575</xdr:colOff>
                    <xdr:row>2</xdr:row>
                    <xdr:rowOff>9525</xdr:rowOff>
                  </from>
                  <to>
                    <xdr:col>1</xdr:col>
                    <xdr:colOff>657225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5EE2072F-C85A-43DB-B007-8F1196D23F91}">
          <x14:colorSeries theme="9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PSA!$C$1120:$C$1219</xm:f>
              <xm:sqref>C11</xm:sqref>
            </x14:sparkline>
            <x14:sparkline>
              <xm:f>PSA!$D$1120:$D$1219</xm:f>
              <xm:sqref>D11</xm:sqref>
            </x14:sparkline>
            <x14:sparkline>
              <xm:f>PSA!$E$1120:$E$1219</xm:f>
              <xm:sqref>E11</xm:sqref>
            </x14:sparkline>
            <x14:sparkline>
              <xm:f>PSA!$F$1120:$F$1219</xm:f>
              <xm:sqref>F11</xm:sqref>
            </x14:sparkline>
            <x14:sparkline>
              <xm:f>PSA!$G$1120:$G$1219</xm:f>
              <xm:sqref>G11</xm:sqref>
            </x14:sparkline>
            <x14:sparkline>
              <xm:f>PSA!$H$1120:$H$1219</xm:f>
              <xm:sqref>H11</xm:sqref>
            </x14:sparkline>
          </x14:sparklines>
        </x14:sparklineGroup>
        <x14:sparklineGroup type="column" displayEmptyCellsAs="gap" xr2:uid="{8FA4B890-6DA6-4B63-9096-C4BA74454DA5}">
          <x14:colorSeries theme="9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PSA!$R$1120:$R$1219</xm:f>
              <xm:sqref>R11</xm:sqref>
            </x14:sparkline>
            <x14:sparkline>
              <xm:f>PSA!$S$1120:$S$1219</xm:f>
              <xm:sqref>S11</xm:sqref>
            </x14:sparkline>
            <x14:sparkline>
              <xm:f>PSA!$T$1120:$T$1219</xm:f>
              <xm:sqref>T11</xm:sqref>
            </x14:sparkline>
            <x14:sparkline>
              <xm:f>PSA!$U$1120:$U$1219</xm:f>
              <xm:sqref>U11</xm:sqref>
            </x14:sparkline>
            <x14:sparkline>
              <xm:f>PSA!$V$1120:$V$1219</xm:f>
              <xm:sqref>V11</xm:sqref>
            </x14:sparkline>
            <x14:sparkline>
              <xm:f>PSA!$W$1120:$W$1219</xm:f>
              <xm:sqref>W11</xm:sqref>
            </x14:sparkline>
            <x14:sparkline>
              <xm:f>PSA!$X$1120:$X$1219</xm:f>
              <xm:sqref>X11</xm:sqref>
            </x14:sparkline>
            <x14:sparkline>
              <xm:f>PSA!$Y$1120:$Y$1219</xm:f>
              <xm:sqref>Y11</xm:sqref>
            </x14:sparkline>
            <x14:sparkline>
              <xm:f>PSA!$Z$1120:$Z$1219</xm:f>
              <xm:sqref>Z11</xm:sqref>
            </x14:sparkline>
            <x14:sparkline>
              <xm:f>PSA!$AA$1120:$AA$1219</xm:f>
              <xm:sqref>AA11</xm:sqref>
            </x14:sparkline>
            <x14:sparkline>
              <xm:f>PSA!$AB$1120:$AB$1219</xm:f>
              <xm:sqref>AB11</xm:sqref>
            </x14:sparkline>
            <x14:sparkline>
              <xm:f>PSA!$AC$1120:$AC$1219</xm:f>
              <xm:sqref>AC11</xm:sqref>
            </x14:sparkline>
            <x14:sparkline>
              <xm:f>PSA!$AD$1120:$AD$1219</xm:f>
              <xm:sqref>AD11</xm:sqref>
            </x14:sparkline>
            <x14:sparkline>
              <xm:f>PSA!$AE$1120:$AE$1219</xm:f>
              <xm:sqref>AE11</xm:sqref>
            </x14:sparkline>
            <x14:sparkline>
              <xm:f>PSA!$AF$1120:$AF$1219</xm:f>
              <xm:sqref>AF11</xm:sqref>
            </x14:sparkline>
            <x14:sparkline>
              <xm:f>PSA!$AG$1120:$AG$1219</xm:f>
              <xm:sqref>AG11</xm:sqref>
            </x14:sparkline>
            <x14:sparkline>
              <xm:f>PSA!$AH$1120:$AH$1219</xm:f>
              <xm:sqref>AH11</xm:sqref>
            </x14:sparkline>
            <x14:sparkline>
              <xm:f>PSA!$AI$1120:$AI$1219</xm:f>
              <xm:sqref>AI11</xm:sqref>
            </x14:sparkline>
            <x14:sparkline>
              <xm:f>PSA!$AJ$1120:$AJ$1219</xm:f>
              <xm:sqref>AJ11</xm:sqref>
            </x14:sparkline>
            <x14:sparkline>
              <xm:f>PSA!$AK$1120:$AK$1219</xm:f>
              <xm:sqref>AK11</xm:sqref>
            </x14:sparkline>
            <x14:sparkline>
              <xm:f>PSA!$AL$1120:$AL$1219</xm:f>
              <xm:sqref>AL11</xm:sqref>
            </x14:sparkline>
            <x14:sparkline>
              <xm:f>PSA!$AM$1120:$AM$1219</xm:f>
              <xm:sqref>AM11</xm:sqref>
            </x14:sparkline>
            <x14:sparkline>
              <xm:f>PSA!$AN$1120:$AN$1219</xm:f>
              <xm:sqref>AN11</xm:sqref>
            </x14:sparkline>
            <x14:sparkline>
              <xm:f>PSA!$AO$1120:$AO$1219</xm:f>
              <xm:sqref>AO11</xm:sqref>
            </x14:sparkline>
            <x14:sparkline>
              <xm:f>PSA!$AP$1120:$AP$1219</xm:f>
              <xm:sqref>AP11</xm:sqref>
            </x14:sparkline>
            <x14:sparkline>
              <xm:f>PSA!$AQ$1120:$AQ$1219</xm:f>
              <xm:sqref>AQ11</xm:sqref>
            </x14:sparkline>
            <x14:sparkline>
              <xm:f>PSA!$AR$1120:$AR$1219</xm:f>
              <xm:sqref>AR11</xm:sqref>
            </x14:sparkline>
            <x14:sparkline>
              <xm:f>PSA!$AS$1120:$AS$1219</xm:f>
              <xm:sqref>AS11</xm:sqref>
            </x14:sparkline>
            <x14:sparkline>
              <xm:f>PSA!$AT$1120:$AT$1219</xm:f>
              <xm:sqref>AT11</xm:sqref>
            </x14:sparkline>
            <x14:sparkline>
              <xm:f>PSA!$AU$1120:$AU$1219</xm:f>
              <xm:sqref>AU11</xm:sqref>
            </x14:sparkline>
            <x14:sparkline>
              <xm:f>PSA!$AV$1120:$AV$1219</xm:f>
              <xm:sqref>AV11</xm:sqref>
            </x14:sparkline>
            <x14:sparkline>
              <xm:f>PSA!$AW$1120:$AW$1219</xm:f>
              <xm:sqref>AW11</xm:sqref>
            </x14:sparkline>
            <x14:sparkline>
              <xm:f>PSA!$AX$1120:$AX$1219</xm:f>
              <xm:sqref>AX11</xm:sqref>
            </x14:sparkline>
            <x14:sparkline>
              <xm:f>PSA!$AY$1120:$AY$1219</xm:f>
              <xm:sqref>AY11</xm:sqref>
            </x14:sparkline>
            <x14:sparkline>
              <xm:f>PSA!$AZ$1120:$AZ$1219</xm:f>
              <xm:sqref>AZ11</xm:sqref>
            </x14:sparkline>
            <x14:sparkline>
              <xm:f>PSA!$BA$1120:$BA$1219</xm:f>
              <xm:sqref>BA11</xm:sqref>
            </x14:sparkline>
            <x14:sparkline>
              <xm:f>PSA!$BB$1120:$BB$1219</xm:f>
              <xm:sqref>BB11</xm:sqref>
            </x14:sparkline>
            <x14:sparkline>
              <xm:f>PSA!$BC$1120:$BC$1219</xm:f>
              <xm:sqref>BC11</xm:sqref>
            </x14:sparkline>
            <x14:sparkline>
              <xm:f>PSA!$BD$1120:$BD$1219</xm:f>
              <xm:sqref>BD11</xm:sqref>
            </x14:sparkline>
            <x14:sparkline>
              <xm:f>PSA!$BE$1120:$BE$1219</xm:f>
              <xm:sqref>BE11</xm:sqref>
            </x14:sparkline>
            <x14:sparkline>
              <xm:f>PSA!$BF$1120:$BF$1219</xm:f>
              <xm:sqref>BF11</xm:sqref>
            </x14:sparkline>
            <x14:sparkline>
              <xm:f>PSA!$BG$1120:$BG$1219</xm:f>
              <xm:sqref>BG11</xm:sqref>
            </x14:sparkline>
            <x14:sparkline>
              <xm:f>PSA!$BH$1120:$BH$1219</xm:f>
              <xm:sqref>BH11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ED3A4-F10A-4DC1-BC6B-8A7406BB1279}">
  <sheetPr codeName="Sheet1"/>
  <dimension ref="A1:I20"/>
  <sheetViews>
    <sheetView workbookViewId="0">
      <selection activeCell="F29" sqref="F29"/>
    </sheetView>
  </sheetViews>
  <sheetFormatPr defaultRowHeight="14.25" x14ac:dyDescent="0.2"/>
  <sheetData>
    <row r="1" spans="1:6" x14ac:dyDescent="0.2">
      <c r="A1" t="s">
        <v>353</v>
      </c>
    </row>
    <row r="3" spans="1:6" x14ac:dyDescent="0.2">
      <c r="A3" t="s">
        <v>328</v>
      </c>
    </row>
    <row r="4" spans="1:6" ht="15" thickBot="1" x14ac:dyDescent="0.25"/>
    <row r="5" spans="1:6" x14ac:dyDescent="0.2">
      <c r="A5" s="382" t="s">
        <v>329</v>
      </c>
      <c r="B5" s="382"/>
    </row>
    <row r="6" spans="1:6" x14ac:dyDescent="0.2">
      <c r="A6" s="379" t="s">
        <v>330</v>
      </c>
      <c r="B6" s="379">
        <v>1.4590973007836563E-2</v>
      </c>
    </row>
    <row r="7" spans="1:6" x14ac:dyDescent="0.2">
      <c r="A7" s="379" t="s">
        <v>331</v>
      </c>
      <c r="B7" s="379">
        <v>2.1289649331541515E-4</v>
      </c>
    </row>
    <row r="8" spans="1:6" x14ac:dyDescent="0.2">
      <c r="A8" s="379" t="s">
        <v>332</v>
      </c>
      <c r="B8" s="379">
        <v>-7.8889419156102231E-4</v>
      </c>
    </row>
    <row r="9" spans="1:6" x14ac:dyDescent="0.2">
      <c r="A9" s="379" t="s">
        <v>333</v>
      </c>
      <c r="B9" s="379">
        <v>3451.1704540761598</v>
      </c>
    </row>
    <row r="10" spans="1:6" ht="15" thickBot="1" x14ac:dyDescent="0.25">
      <c r="A10" s="380" t="s">
        <v>334</v>
      </c>
      <c r="B10" s="380">
        <v>1000</v>
      </c>
    </row>
    <row r="12" spans="1:6" ht="15" thickBot="1" x14ac:dyDescent="0.25">
      <c r="A12" t="s">
        <v>335</v>
      </c>
    </row>
    <row r="13" spans="1:6" x14ac:dyDescent="0.2">
      <c r="A13" s="381"/>
      <c r="B13" s="381" t="s">
        <v>340</v>
      </c>
      <c r="C13" s="381" t="s">
        <v>341</v>
      </c>
      <c r="D13" s="381" t="s">
        <v>342</v>
      </c>
      <c r="E13" s="381" t="s">
        <v>343</v>
      </c>
      <c r="F13" s="381" t="s">
        <v>344</v>
      </c>
    </row>
    <row r="14" spans="1:6" x14ac:dyDescent="0.2">
      <c r="A14" s="379" t="s">
        <v>336</v>
      </c>
      <c r="B14" s="379">
        <v>1</v>
      </c>
      <c r="C14" s="379">
        <v>2531187.624370575</v>
      </c>
      <c r="D14" s="379">
        <v>2531187.624370575</v>
      </c>
      <c r="E14" s="379">
        <v>0.21251594422808409</v>
      </c>
      <c r="F14" s="379">
        <v>0.64490298242089961</v>
      </c>
    </row>
    <row r="15" spans="1:6" x14ac:dyDescent="0.2">
      <c r="A15" s="379" t="s">
        <v>337</v>
      </c>
      <c r="B15" s="379">
        <v>998</v>
      </c>
      <c r="C15" s="379">
        <v>11886756348.082071</v>
      </c>
      <c r="D15" s="379">
        <v>11910577.503088247</v>
      </c>
      <c r="E15" s="379"/>
      <c r="F15" s="379"/>
    </row>
    <row r="16" spans="1:6" ht="15" thickBot="1" x14ac:dyDescent="0.25">
      <c r="A16" s="380" t="s">
        <v>338</v>
      </c>
      <c r="B16" s="380">
        <v>999</v>
      </c>
      <c r="C16" s="380">
        <v>11889287535.706442</v>
      </c>
      <c r="D16" s="380"/>
      <c r="E16" s="380"/>
      <c r="F16" s="380"/>
    </row>
    <row r="17" spans="1:9" ht="15" thickBot="1" x14ac:dyDescent="0.25"/>
    <row r="18" spans="1:9" x14ac:dyDescent="0.2">
      <c r="A18" s="381"/>
      <c r="B18" s="381" t="s">
        <v>345</v>
      </c>
      <c r="C18" s="381" t="s">
        <v>333</v>
      </c>
      <c r="D18" s="381" t="s">
        <v>346</v>
      </c>
      <c r="E18" s="381" t="s">
        <v>347</v>
      </c>
      <c r="F18" s="381" t="s">
        <v>348</v>
      </c>
      <c r="G18" s="381" t="s">
        <v>349</v>
      </c>
      <c r="H18" s="381" t="s">
        <v>350</v>
      </c>
      <c r="I18" s="381" t="s">
        <v>351</v>
      </c>
    </row>
    <row r="19" spans="1:9" x14ac:dyDescent="0.2">
      <c r="A19" s="379" t="s">
        <v>339</v>
      </c>
      <c r="B19" s="379">
        <v>26141.861389640468</v>
      </c>
      <c r="C19" s="379">
        <v>11599.001993879723</v>
      </c>
      <c r="D19" s="379">
        <v>2.2538026464203011</v>
      </c>
      <c r="E19" s="379">
        <v>2.4424889461326985E-2</v>
      </c>
      <c r="F19" s="379">
        <v>3380.6312046995663</v>
      </c>
      <c r="G19" s="379">
        <v>48903.091574581369</v>
      </c>
      <c r="H19" s="379">
        <v>3380.6312046995663</v>
      </c>
      <c r="I19" s="379">
        <v>48903.091574581369</v>
      </c>
    </row>
    <row r="20" spans="1:9" ht="15" thickBot="1" x14ac:dyDescent="0.25">
      <c r="A20" s="380" t="s">
        <v>352</v>
      </c>
      <c r="B20" s="380">
        <v>53463.37376643451</v>
      </c>
      <c r="C20" s="380">
        <v>115973.9906973358</v>
      </c>
      <c r="D20" s="380">
        <v>0.46099451648569245</v>
      </c>
      <c r="E20" s="380">
        <v>0.64490298241950472</v>
      </c>
      <c r="F20" s="380">
        <v>-174117.47319963318</v>
      </c>
      <c r="G20" s="380">
        <v>281044.22073250217</v>
      </c>
      <c r="H20" s="380">
        <v>-174117.47319963318</v>
      </c>
      <c r="I20" s="380">
        <v>281044.22073250217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1A851-92C0-4631-B822-FD1A6AC6304E}">
  <sheetPr codeName="Sheet04"/>
  <dimension ref="A1:AW94"/>
  <sheetViews>
    <sheetView showGridLines="0" zoomScale="80" zoomScaleNormal="80" workbookViewId="0">
      <selection activeCell="F21" sqref="F21"/>
    </sheetView>
  </sheetViews>
  <sheetFormatPr defaultColWidth="9" defaultRowHeight="14.25" x14ac:dyDescent="0.2"/>
  <cols>
    <col min="1" max="1" width="2.625" customWidth="1"/>
    <col min="2" max="2" width="58.5" customWidth="1"/>
    <col min="3" max="3" width="51.125" bestFit="1" customWidth="1"/>
    <col min="4" max="5" width="10.375" customWidth="1"/>
    <col min="6" max="7" width="13.125" customWidth="1"/>
    <col min="8" max="8" width="10.375" customWidth="1"/>
    <col min="9" max="9" width="2.625" customWidth="1"/>
    <col min="10" max="16" width="9" customWidth="1"/>
  </cols>
  <sheetData>
    <row r="1" spans="1:49" ht="30" customHeight="1" thickBo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</row>
    <row r="2" spans="1:49" ht="15" customHeight="1" x14ac:dyDescent="0.2">
      <c r="B2" s="110"/>
      <c r="C2" s="110"/>
      <c r="D2" s="110"/>
      <c r="E2" s="110"/>
      <c r="F2" s="110"/>
      <c r="G2" s="110"/>
      <c r="H2" s="110"/>
    </row>
    <row r="3" spans="1:49" ht="15" customHeight="1" x14ac:dyDescent="0.2">
      <c r="B3" s="192" t="s">
        <v>354</v>
      </c>
      <c r="C3" s="3"/>
      <c r="D3" s="3"/>
      <c r="E3" s="3"/>
      <c r="F3" s="193"/>
      <c r="G3" s="3"/>
      <c r="H3" s="3"/>
      <c r="K3">
        <v>4</v>
      </c>
      <c r="L3" s="111">
        <v>4</v>
      </c>
      <c r="M3" s="111">
        <v>1</v>
      </c>
      <c r="N3" s="112">
        <f>CHOOSE(L3,PSA!C15,PSA!D15,PSA!E15,PSA!F15,PSA!G15,PSA!H15)</f>
        <v>21.014114177209759</v>
      </c>
      <c r="O3" s="110"/>
      <c r="P3" s="113"/>
    </row>
    <row r="4" spans="1:49" ht="15" customHeight="1" x14ac:dyDescent="0.2">
      <c r="B4" s="110"/>
      <c r="C4" s="111"/>
      <c r="D4" s="111"/>
      <c r="E4" s="111"/>
      <c r="F4" s="111"/>
      <c r="G4" s="111"/>
      <c r="H4" s="111"/>
      <c r="K4" s="110">
        <v>1</v>
      </c>
      <c r="L4" s="114" t="s">
        <v>91</v>
      </c>
      <c r="M4" s="111"/>
      <c r="N4" s="115">
        <f>FLOOR(MIN(F6:G93),IF(L3=2,0.01,100))</f>
        <v>-300</v>
      </c>
      <c r="O4" s="110"/>
    </row>
    <row r="5" spans="1:49" ht="15" customHeight="1" x14ac:dyDescent="0.2">
      <c r="B5" s="110"/>
      <c r="C5" s="3" t="s">
        <v>27</v>
      </c>
      <c r="D5" s="191" t="s">
        <v>28</v>
      </c>
      <c r="E5" s="191" t="s">
        <v>92</v>
      </c>
      <c r="F5" s="191" t="s">
        <v>29</v>
      </c>
      <c r="G5" s="191" t="s">
        <v>30</v>
      </c>
      <c r="H5" s="191" t="s">
        <v>31</v>
      </c>
      <c r="K5" s="110">
        <v>2</v>
      </c>
      <c r="L5" s="114" t="s">
        <v>93</v>
      </c>
      <c r="M5" s="111"/>
      <c r="N5" s="115">
        <f>CEILING(MAX(F6:G93),IF(L3=2,0.01,100))</f>
        <v>200</v>
      </c>
      <c r="O5" s="110"/>
    </row>
    <row r="6" spans="1:49" ht="15" customHeight="1" x14ac:dyDescent="0.2">
      <c r="A6" s="33">
        <v>89</v>
      </c>
      <c r="C6">
        <f>[1]Sheet1!$B$117</f>
        <v>0</v>
      </c>
      <c r="D6" s="117">
        <f>[1]Sheet1!$E$117</f>
        <v>0</v>
      </c>
      <c r="E6" s="117">
        <f>[1]Sheet1!$F$117</f>
        <v>0</v>
      </c>
      <c r="F6" s="118">
        <v>168.58304998149021</v>
      </c>
      <c r="G6" s="118">
        <v>-281.41695001851019</v>
      </c>
      <c r="H6" s="119">
        <f t="shared" ref="H6:H69" si="0">ABS(F6-G6)</f>
        <v>450.0000000000004</v>
      </c>
      <c r="K6" s="110">
        <v>3</v>
      </c>
      <c r="L6" s="114" t="s">
        <v>94</v>
      </c>
      <c r="M6" s="111"/>
      <c r="N6" s="115">
        <f>(N5-N4)/5</f>
        <v>100</v>
      </c>
      <c r="O6" s="110"/>
    </row>
    <row r="7" spans="1:49" ht="15" customHeight="1" x14ac:dyDescent="0.2">
      <c r="A7" s="33">
        <v>51</v>
      </c>
      <c r="B7" s="110"/>
      <c r="C7" s="120">
        <f>[1]Sheet1!$B$71</f>
        <v>0</v>
      </c>
      <c r="D7" s="121">
        <f>[1]Sheet1!$E$71</f>
        <v>0</v>
      </c>
      <c r="E7" s="121">
        <f>[1]Sheet1!$F$71</f>
        <v>0</v>
      </c>
      <c r="F7" s="122">
        <v>34.965857882461762</v>
      </c>
      <c r="G7" s="122">
        <v>-198.78752296965871</v>
      </c>
      <c r="H7" s="122">
        <f t="shared" si="0"/>
        <v>233.75338085212047</v>
      </c>
      <c r="K7" s="110">
        <v>4</v>
      </c>
      <c r="L7" s="114" t="s">
        <v>95</v>
      </c>
      <c r="M7" s="111"/>
      <c r="N7" s="111"/>
      <c r="O7" s="110"/>
      <c r="P7" s="110"/>
    </row>
    <row r="8" spans="1:49" ht="15" customHeight="1" x14ac:dyDescent="0.2">
      <c r="A8" s="33">
        <v>79</v>
      </c>
      <c r="B8" s="110"/>
      <c r="C8" s="120">
        <f>[1]Sheet1!$B$105</f>
        <v>0</v>
      </c>
      <c r="D8" s="121">
        <f>[1]Sheet1!$E$105</f>
        <v>0</v>
      </c>
      <c r="E8" s="121">
        <f>[1]Sheet1!$F$105</f>
        <v>0</v>
      </c>
      <c r="F8" s="122">
        <v>55.942935501271222</v>
      </c>
      <c r="G8" s="122">
        <v>-118.77683553829098</v>
      </c>
      <c r="H8" s="122">
        <f t="shared" si="0"/>
        <v>174.7197710395622</v>
      </c>
      <c r="K8" s="110">
        <v>5</v>
      </c>
      <c r="L8" s="114" t="s">
        <v>96</v>
      </c>
      <c r="M8" s="111"/>
      <c r="N8" s="111"/>
      <c r="O8" s="110"/>
      <c r="P8" s="110"/>
    </row>
    <row r="9" spans="1:49" ht="15" customHeight="1" x14ac:dyDescent="0.2">
      <c r="A9" s="33">
        <v>34</v>
      </c>
      <c r="B9" s="110"/>
      <c r="C9" s="120">
        <f>[1]Sheet1!$B$52</f>
        <v>0</v>
      </c>
      <c r="D9" s="121">
        <f>[1]Sheet1!$E$52</f>
        <v>0</v>
      </c>
      <c r="E9" s="121">
        <f>[1]Sheet1!$F$52</f>
        <v>0</v>
      </c>
      <c r="F9" s="122">
        <v>63.626191039672676</v>
      </c>
      <c r="G9" s="122">
        <v>-104.09699906300096</v>
      </c>
      <c r="H9" s="122">
        <f t="shared" si="0"/>
        <v>167.72319010267364</v>
      </c>
      <c r="K9" s="110">
        <v>6</v>
      </c>
      <c r="L9" s="114" t="s">
        <v>97</v>
      </c>
      <c r="M9" s="111"/>
      <c r="N9" s="111" t="str">
        <f>"MEAN: "&amp;TEXT(N3,IF(L3=2,"#,##0.00","$#,###"))</f>
        <v>MEAN: $21</v>
      </c>
      <c r="O9" s="110"/>
      <c r="P9" s="110"/>
    </row>
    <row r="10" spans="1:49" ht="15" customHeight="1" x14ac:dyDescent="0.2">
      <c r="A10" s="33">
        <v>36</v>
      </c>
      <c r="B10" s="110"/>
      <c r="C10" s="120">
        <f>[1]Sheet1!$B$54</f>
        <v>0</v>
      </c>
      <c r="D10" s="121">
        <f>[1]Sheet1!$E$54</f>
        <v>0</v>
      </c>
      <c r="E10" s="121">
        <f>[1]Sheet1!$F$54</f>
        <v>0</v>
      </c>
      <c r="F10" s="122">
        <v>-127.71616325756867</v>
      </c>
      <c r="G10" s="122">
        <v>34.500911791572946</v>
      </c>
      <c r="H10" s="122">
        <f t="shared" si="0"/>
        <v>162.21707504914161</v>
      </c>
      <c r="K10" s="110"/>
      <c r="L10" s="111"/>
      <c r="M10" s="111"/>
      <c r="O10" s="110"/>
      <c r="P10" s="110"/>
    </row>
    <row r="11" spans="1:49" ht="15" customHeight="1" x14ac:dyDescent="0.2">
      <c r="A11" s="33">
        <v>69</v>
      </c>
      <c r="B11" s="110"/>
      <c r="C11" s="120">
        <f>[1]Sheet1!$B$93</f>
        <v>0</v>
      </c>
      <c r="D11" s="121">
        <f>[1]Sheet1!$E$93</f>
        <v>0</v>
      </c>
      <c r="E11" s="121">
        <f>[1]Sheet1!$F$93</f>
        <v>0</v>
      </c>
      <c r="F11" s="122">
        <v>41.029702605090563</v>
      </c>
      <c r="G11" s="122">
        <v>-115.52657046549984</v>
      </c>
      <c r="H11" s="122">
        <f t="shared" si="0"/>
        <v>156.55627307059041</v>
      </c>
      <c r="K11" s="110"/>
      <c r="L11" s="111"/>
      <c r="M11" s="111"/>
      <c r="N11" s="111"/>
      <c r="O11" s="110"/>
      <c r="P11" s="110"/>
    </row>
    <row r="12" spans="1:49" ht="15" customHeight="1" x14ac:dyDescent="0.2">
      <c r="A12" s="33">
        <v>18</v>
      </c>
      <c r="B12" s="110"/>
      <c r="C12" s="120" t="str">
        <f>"Prev: "&amp;[1]Sheet1!B30</f>
        <v xml:space="preserve">Prev: </v>
      </c>
      <c r="D12" s="123">
        <f>[1]Sheet1!E30</f>
        <v>0</v>
      </c>
      <c r="E12" s="123">
        <f>[1]Sheet1!F30</f>
        <v>0</v>
      </c>
      <c r="F12" s="122">
        <v>-99.679908823404617</v>
      </c>
      <c r="G12" s="122">
        <v>36.846008786384743</v>
      </c>
      <c r="H12" s="122">
        <f t="shared" si="0"/>
        <v>136.52591760978936</v>
      </c>
      <c r="K12" s="110"/>
      <c r="L12" s="110"/>
      <c r="M12" s="110"/>
      <c r="N12" s="110"/>
      <c r="O12" s="110"/>
      <c r="P12" s="110"/>
    </row>
    <row r="13" spans="1:49" ht="15" customHeight="1" x14ac:dyDescent="0.2">
      <c r="A13" s="33">
        <v>10</v>
      </c>
      <c r="B13" s="110"/>
      <c r="C13" s="120" t="str">
        <f>"Adh: "&amp;[1]Sheet1!B20</f>
        <v xml:space="preserve">Adh: </v>
      </c>
      <c r="D13" s="121">
        <f>[1]Sheet1!E20</f>
        <v>0</v>
      </c>
      <c r="E13" s="121">
        <f>[1]Sheet1!F20</f>
        <v>0</v>
      </c>
      <c r="F13" s="118">
        <v>-99.670231268507848</v>
      </c>
      <c r="G13" s="118">
        <v>36.836331231490703</v>
      </c>
      <c r="H13" s="44">
        <f t="shared" si="0"/>
        <v>136.50656249999855</v>
      </c>
      <c r="K13" s="110"/>
      <c r="L13" s="110"/>
      <c r="M13" s="110"/>
      <c r="N13" s="110"/>
      <c r="O13" s="110"/>
      <c r="P13" s="110"/>
    </row>
    <row r="14" spans="1:49" ht="15" customHeight="1" x14ac:dyDescent="0.2">
      <c r="A14" s="33">
        <v>88</v>
      </c>
      <c r="C14">
        <f>[1]Sheet1!$B$116</f>
        <v>0</v>
      </c>
      <c r="D14" s="124">
        <f>[1]Sheet1!$E$116</f>
        <v>0</v>
      </c>
      <c r="E14" s="124">
        <f>[1]Sheet1!$F$116</f>
        <v>0</v>
      </c>
      <c r="F14" s="118">
        <v>18.583049981490092</v>
      </c>
      <c r="G14" s="118">
        <v>-81.416950018509965</v>
      </c>
      <c r="H14" s="125">
        <f t="shared" si="0"/>
        <v>100.00000000000006</v>
      </c>
      <c r="K14" s="110"/>
      <c r="L14" s="110"/>
      <c r="M14" s="110"/>
      <c r="N14" s="110"/>
      <c r="O14" s="110"/>
      <c r="P14" s="110"/>
    </row>
    <row r="15" spans="1:49" ht="15" customHeight="1" x14ac:dyDescent="0.2">
      <c r="A15" s="33">
        <v>16</v>
      </c>
      <c r="B15" s="111"/>
      <c r="C15" s="120" t="str">
        <f>"Prev: "&amp;[1]Sheet1!B28</f>
        <v xml:space="preserve">Prev: </v>
      </c>
      <c r="D15" s="123">
        <f>[1]Sheet1!E28</f>
        <v>0</v>
      </c>
      <c r="E15" s="123">
        <f>[1]Sheet1!F28</f>
        <v>0</v>
      </c>
      <c r="F15" s="122">
        <v>-75.321054891009624</v>
      </c>
      <c r="G15" s="122">
        <v>12.487154854000892</v>
      </c>
      <c r="H15" s="122">
        <f t="shared" si="0"/>
        <v>87.808209745010515</v>
      </c>
      <c r="K15" s="110"/>
      <c r="L15" s="110"/>
      <c r="M15" s="110"/>
      <c r="N15" s="110"/>
      <c r="O15" s="110"/>
      <c r="P15" s="126"/>
    </row>
    <row r="16" spans="1:49" ht="15" customHeight="1" x14ac:dyDescent="0.2">
      <c r="A16" s="33">
        <v>61</v>
      </c>
      <c r="B16" s="110"/>
      <c r="C16" s="120">
        <f>[1]Sheet1!$B$85</f>
        <v>0</v>
      </c>
      <c r="D16" s="121">
        <f>[1]Sheet1!$E$85</f>
        <v>0</v>
      </c>
      <c r="E16" s="121">
        <f>[1]Sheet1!$F$85</f>
        <v>0</v>
      </c>
      <c r="F16" s="122">
        <v>-83.453742503004264</v>
      </c>
      <c r="G16" s="122">
        <v>-9.7085386077210956</v>
      </c>
      <c r="H16" s="122">
        <f t="shared" si="0"/>
        <v>73.745203895283169</v>
      </c>
      <c r="K16" s="110"/>
      <c r="L16" s="110"/>
      <c r="M16" s="110"/>
      <c r="N16" s="110"/>
      <c r="O16" s="110"/>
      <c r="P16" s="110"/>
    </row>
    <row r="17" spans="1:16" ht="15" customHeight="1" x14ac:dyDescent="0.2">
      <c r="A17" s="33">
        <v>8</v>
      </c>
      <c r="B17" s="110"/>
      <c r="C17" s="120" t="str">
        <f>"Adh: "&amp;[1]Sheet1!B18</f>
        <v xml:space="preserve">Adh: </v>
      </c>
      <c r="D17" s="121">
        <f>[1]Sheet1!E18</f>
        <v>0</v>
      </c>
      <c r="E17" s="121">
        <f>[1]Sheet1!F18</f>
        <v>0</v>
      </c>
      <c r="F17" s="122">
        <v>-65.04428465715398</v>
      </c>
      <c r="G17" s="122">
        <v>2.2103846201396209</v>
      </c>
      <c r="H17" s="122">
        <f t="shared" si="0"/>
        <v>67.254669277293601</v>
      </c>
      <c r="K17" s="110"/>
      <c r="L17" s="110"/>
      <c r="M17" s="110"/>
      <c r="N17" s="110"/>
      <c r="O17" s="110"/>
      <c r="P17" s="110"/>
    </row>
    <row r="18" spans="1:16" ht="15" customHeight="1" x14ac:dyDescent="0.2">
      <c r="A18" s="33">
        <v>24</v>
      </c>
      <c r="B18" s="110"/>
      <c r="C18" s="120" t="str">
        <f>"Pen: "&amp;[1]Sheet1!B38</f>
        <v xml:space="preserve">Pen: </v>
      </c>
      <c r="D18" s="121">
        <f>[1]Sheet1!E38</f>
        <v>0</v>
      </c>
      <c r="E18" s="121">
        <f>[1]Sheet1!F38</f>
        <v>0</v>
      </c>
      <c r="F18" s="122">
        <v>-61.228731069796481</v>
      </c>
      <c r="G18" s="122">
        <v>1.032040065387605</v>
      </c>
      <c r="H18" s="122">
        <f t="shared" si="0"/>
        <v>62.260771135184086</v>
      </c>
      <c r="K18" s="110"/>
      <c r="M18" s="110"/>
      <c r="N18" s="110"/>
      <c r="O18" s="110"/>
      <c r="P18" s="110"/>
    </row>
    <row r="19" spans="1:16" ht="15" customHeight="1" x14ac:dyDescent="0.2">
      <c r="A19" s="33">
        <v>38</v>
      </c>
      <c r="B19" s="110"/>
      <c r="C19" s="120">
        <f>[1]Sheet1!$B$56</f>
        <v>0</v>
      </c>
      <c r="D19" s="121">
        <f>[1]Sheet1!$E$56</f>
        <v>0</v>
      </c>
      <c r="E19" s="121">
        <f>[1]Sheet1!$F$56</f>
        <v>0</v>
      </c>
      <c r="F19" s="122">
        <v>-82.710526481574107</v>
      </c>
      <c r="G19" s="122">
        <v>-23.165160617902188</v>
      </c>
      <c r="H19" s="122">
        <f t="shared" si="0"/>
        <v>59.545365863671918</v>
      </c>
      <c r="K19" s="127"/>
      <c r="L19" s="128"/>
      <c r="M19" s="110"/>
      <c r="N19" s="110"/>
      <c r="O19" s="110"/>
    </row>
    <row r="20" spans="1:16" ht="15" customHeight="1" x14ac:dyDescent="0.2">
      <c r="A20" s="33">
        <v>26</v>
      </c>
      <c r="B20" s="110"/>
      <c r="C20" s="120" t="str">
        <f>"Pen: "&amp;[1]Sheet1!B40</f>
        <v xml:space="preserve">Pen: </v>
      </c>
      <c r="D20" s="121">
        <f>[1]Sheet1!E40</f>
        <v>0</v>
      </c>
      <c r="E20" s="121">
        <f>[1]Sheet1!F40</f>
        <v>0</v>
      </c>
      <c r="F20" s="122">
        <v>-60.521300018509805</v>
      </c>
      <c r="G20" s="122">
        <v>-2.3126000185101248</v>
      </c>
      <c r="H20" s="122">
        <f t="shared" si="0"/>
        <v>58.208699999999681</v>
      </c>
      <c r="K20" s="110"/>
      <c r="L20" s="128"/>
      <c r="M20" s="110"/>
      <c r="N20" s="110"/>
      <c r="O20" s="110"/>
      <c r="P20" s="110"/>
    </row>
    <row r="21" spans="1:16" ht="15" customHeight="1" x14ac:dyDescent="0.2">
      <c r="A21" s="33">
        <v>45</v>
      </c>
      <c r="B21" s="110"/>
      <c r="C21" s="120">
        <f>[1]Sheet1!$B$63</f>
        <v>0</v>
      </c>
      <c r="D21" s="121">
        <f>[1]Sheet1!$E$63</f>
        <v>0</v>
      </c>
      <c r="E21" s="121">
        <f>[1]Sheet1!$F$63</f>
        <v>0</v>
      </c>
      <c r="F21" s="122">
        <v>-54.513973674972533</v>
      </c>
      <c r="G21" s="122">
        <v>3.2285854661936924</v>
      </c>
      <c r="H21" s="122">
        <f t="shared" si="0"/>
        <v>57.742559141166225</v>
      </c>
      <c r="K21" s="110"/>
      <c r="M21" s="110"/>
      <c r="N21" s="110"/>
      <c r="O21" s="110"/>
      <c r="P21" s="110"/>
    </row>
    <row r="22" spans="1:16" ht="15" customHeight="1" x14ac:dyDescent="0.2">
      <c r="A22" s="33">
        <v>17</v>
      </c>
      <c r="B22" s="110"/>
      <c r="C22" s="120" t="str">
        <f>"Prev: "&amp;[1]Sheet1!B29</f>
        <v xml:space="preserve">Prev: </v>
      </c>
      <c r="D22" s="123">
        <f>[1]Sheet1!E29</f>
        <v>0</v>
      </c>
      <c r="E22" s="123">
        <f>[1]Sheet1!F29</f>
        <v>0</v>
      </c>
      <c r="F22" s="122">
        <v>-8.1362485665971462</v>
      </c>
      <c r="G22" s="122">
        <v>-54.697651470420055</v>
      </c>
      <c r="H22" s="122">
        <f t="shared" si="0"/>
        <v>46.561402903822909</v>
      </c>
      <c r="K22" s="127"/>
      <c r="M22" s="110"/>
      <c r="N22" s="110"/>
      <c r="O22" s="110"/>
      <c r="P22" s="110"/>
    </row>
    <row r="23" spans="1:16" ht="15" customHeight="1" x14ac:dyDescent="0.2">
      <c r="A23" s="33">
        <v>67</v>
      </c>
      <c r="B23" s="110"/>
      <c r="C23" s="120">
        <f>[1]Sheet1!$B$91</f>
        <v>0</v>
      </c>
      <c r="D23" s="121">
        <f>[1]Sheet1!$E$91</f>
        <v>0</v>
      </c>
      <c r="E23" s="121">
        <f>[1]Sheet1!$F$91</f>
        <v>0</v>
      </c>
      <c r="F23" s="122">
        <v>-14.218805055012069</v>
      </c>
      <c r="G23" s="122">
        <v>-50.379363458822127</v>
      </c>
      <c r="H23" s="122">
        <f t="shared" si="0"/>
        <v>36.160558403810057</v>
      </c>
      <c r="K23" s="110"/>
      <c r="M23" s="110"/>
      <c r="N23" s="110"/>
      <c r="O23" s="110"/>
      <c r="P23" s="110"/>
    </row>
    <row r="24" spans="1:16" ht="15" customHeight="1" x14ac:dyDescent="0.2">
      <c r="A24" s="33">
        <v>9</v>
      </c>
      <c r="B24" s="110"/>
      <c r="C24" s="120" t="str">
        <f>"Adh: "&amp;[1]Sheet1!B19</f>
        <v xml:space="preserve">Adh: </v>
      </c>
      <c r="D24" s="121">
        <f>[1]Sheet1!E19</f>
        <v>0</v>
      </c>
      <c r="E24" s="121">
        <f>[1]Sheet1!F19</f>
        <v>0</v>
      </c>
      <c r="F24" s="122">
        <v>-13.893600019525763</v>
      </c>
      <c r="G24" s="122">
        <v>-48.940300017494167</v>
      </c>
      <c r="H24" s="122">
        <f t="shared" si="0"/>
        <v>35.046699997968403</v>
      </c>
      <c r="K24" s="110"/>
      <c r="M24" s="110"/>
      <c r="N24" s="110"/>
      <c r="O24" s="110"/>
      <c r="P24" s="110"/>
    </row>
    <row r="25" spans="1:16" ht="15" customHeight="1" x14ac:dyDescent="0.2">
      <c r="A25" s="33">
        <v>47</v>
      </c>
      <c r="B25" s="110"/>
      <c r="C25" s="120">
        <f>[1]Sheet1!$B$67</f>
        <v>0</v>
      </c>
      <c r="D25" s="121">
        <f>[1]Sheet1!$E$67</f>
        <v>0</v>
      </c>
      <c r="E25" s="121">
        <f>[1]Sheet1!$F$67</f>
        <v>0</v>
      </c>
      <c r="F25" s="122">
        <v>-48.500747432389574</v>
      </c>
      <c r="G25" s="122">
        <v>-14.809039163726368</v>
      </c>
      <c r="H25" s="122">
        <f t="shared" si="0"/>
        <v>33.691708268663206</v>
      </c>
    </row>
    <row r="26" spans="1:16" ht="15" customHeight="1" x14ac:dyDescent="0.2">
      <c r="A26" s="33">
        <v>63</v>
      </c>
      <c r="B26" s="110"/>
      <c r="C26" s="120">
        <f>[1]Sheet1!$B$87</f>
        <v>0</v>
      </c>
      <c r="D26" s="121">
        <f>[1]Sheet1!$E$87</f>
        <v>0</v>
      </c>
      <c r="E26" s="121">
        <f>[1]Sheet1!$F$87</f>
        <v>0</v>
      </c>
      <c r="F26" s="122">
        <v>-48.554672505659028</v>
      </c>
      <c r="G26" s="122">
        <v>-15.226042330962741</v>
      </c>
      <c r="H26" s="122">
        <f t="shared" si="0"/>
        <v>33.328630174696286</v>
      </c>
    </row>
    <row r="27" spans="1:16" ht="15" customHeight="1" x14ac:dyDescent="0.2">
      <c r="A27" s="33">
        <v>32</v>
      </c>
      <c r="B27" s="110"/>
      <c r="C27" s="120">
        <f>[1]Sheet1!$B$48</f>
        <v>0</v>
      </c>
      <c r="D27" s="121">
        <f>[1]Sheet1!$E$48</f>
        <v>0</v>
      </c>
      <c r="E27" s="121">
        <f>[1]Sheet1!$F$48</f>
        <v>0</v>
      </c>
      <c r="F27" s="122">
        <v>-52.500636324554705</v>
      </c>
      <c r="G27" s="122">
        <v>-21.460098148201041</v>
      </c>
      <c r="H27" s="122">
        <f t="shared" si="0"/>
        <v>31.040538176353664</v>
      </c>
    </row>
    <row r="28" spans="1:16" ht="15" customHeight="1" x14ac:dyDescent="0.2">
      <c r="A28" s="33">
        <v>6</v>
      </c>
      <c r="B28" s="110"/>
      <c r="C28" s="120" t="str">
        <f>"Adh: "&amp;[1]Sheet1!B16</f>
        <v xml:space="preserve">Adh: </v>
      </c>
      <c r="D28" s="121">
        <f>[1]Sheet1!E16</f>
        <v>0</v>
      </c>
      <c r="E28" s="121">
        <f>[1]Sheet1!F16</f>
        <v>0</v>
      </c>
      <c r="F28" s="122">
        <v>-46.71856313984631</v>
      </c>
      <c r="G28" s="122">
        <v>-16.115336897167992</v>
      </c>
      <c r="H28" s="122">
        <f t="shared" si="0"/>
        <v>30.603226242678318</v>
      </c>
    </row>
    <row r="29" spans="1:16" ht="15" customHeight="1" x14ac:dyDescent="0.2">
      <c r="A29" s="33">
        <v>35</v>
      </c>
      <c r="B29" s="110"/>
      <c r="C29" s="120">
        <f>[1]Sheet1!$B$53</f>
        <v>0</v>
      </c>
      <c r="D29" s="121">
        <f>[1]Sheet1!$E$53</f>
        <v>0</v>
      </c>
      <c r="E29" s="121">
        <f>[1]Sheet1!$F$53</f>
        <v>0</v>
      </c>
      <c r="F29" s="122">
        <v>-38.159095939261135</v>
      </c>
      <c r="G29" s="122">
        <v>-7.6205580663145156</v>
      </c>
      <c r="H29" s="122">
        <f t="shared" si="0"/>
        <v>30.53853787294662</v>
      </c>
    </row>
    <row r="30" spans="1:16" ht="15" customHeight="1" x14ac:dyDescent="0.2">
      <c r="A30" s="33">
        <v>20</v>
      </c>
      <c r="B30" s="110"/>
      <c r="C30" s="120" t="str">
        <f>"Prev: "&amp;[1]Sheet1!B32</f>
        <v xml:space="preserve">Prev: </v>
      </c>
      <c r="D30" s="123">
        <f>[1]Sheet1!E32</f>
        <v>0</v>
      </c>
      <c r="E30" s="123">
        <f>[1]Sheet1!F32</f>
        <v>0</v>
      </c>
      <c r="F30" s="122">
        <v>-16.552709159707206</v>
      </c>
      <c r="G30" s="122">
        <v>-46.281190877312781</v>
      </c>
      <c r="H30" s="122">
        <f t="shared" si="0"/>
        <v>29.728481717605575</v>
      </c>
    </row>
    <row r="31" spans="1:16" ht="15" customHeight="1" x14ac:dyDescent="0.2">
      <c r="A31" s="33">
        <v>13</v>
      </c>
      <c r="B31" s="110"/>
      <c r="C31" s="120" t="str">
        <f>"Prev: "&amp;[1]Sheet1!B25</f>
        <v xml:space="preserve">Prev: </v>
      </c>
      <c r="D31" s="123">
        <f>[1]Sheet1!E25</f>
        <v>0</v>
      </c>
      <c r="E31" s="123">
        <f>[1]Sheet1!F25</f>
        <v>0</v>
      </c>
      <c r="F31" s="122">
        <v>-45.085943050544131</v>
      </c>
      <c r="G31" s="122">
        <v>-17.747956986475685</v>
      </c>
      <c r="H31" s="122">
        <f t="shared" si="0"/>
        <v>27.337986064068446</v>
      </c>
    </row>
    <row r="32" spans="1:16" ht="15" customHeight="1" x14ac:dyDescent="0.2">
      <c r="A32" s="33">
        <v>50</v>
      </c>
      <c r="B32" s="110"/>
      <c r="C32" s="120">
        <f>[1]Sheet1!$B$70</f>
        <v>0</v>
      </c>
      <c r="D32" s="121">
        <f>[1]Sheet1!$E$70</f>
        <v>0</v>
      </c>
      <c r="E32" s="121">
        <f>[1]Sheet1!$F$70</f>
        <v>0</v>
      </c>
      <c r="F32" s="122">
        <v>12.810028068723739</v>
      </c>
      <c r="G32" s="122">
        <v>-13.526931895746998</v>
      </c>
      <c r="H32" s="122">
        <f t="shared" si="0"/>
        <v>26.336959964470736</v>
      </c>
    </row>
    <row r="33" spans="1:8" ht="15" customHeight="1" x14ac:dyDescent="0.2">
      <c r="A33" s="33">
        <v>14</v>
      </c>
      <c r="B33" s="110"/>
      <c r="C33" s="120" t="str">
        <f>"Prev: "&amp;[1]Sheet1!B26</f>
        <v xml:space="preserve">Prev: </v>
      </c>
      <c r="D33" s="123">
        <f>[1]Sheet1!E26</f>
        <v>0</v>
      </c>
      <c r="E33" s="123">
        <f>[1]Sheet1!F26</f>
        <v>0</v>
      </c>
      <c r="F33" s="122">
        <v>-44.402941000301382</v>
      </c>
      <c r="G33" s="122">
        <v>-18.43095903670735</v>
      </c>
      <c r="H33" s="122">
        <f t="shared" si="0"/>
        <v>25.971981963594033</v>
      </c>
    </row>
    <row r="34" spans="1:8" ht="15" customHeight="1" x14ac:dyDescent="0.2">
      <c r="A34" s="33">
        <v>52</v>
      </c>
      <c r="B34" s="110"/>
      <c r="C34" s="120">
        <f>[1]Sheet1!$B$72</f>
        <v>0</v>
      </c>
      <c r="D34" s="121">
        <f>[1]Sheet1!$E$72</f>
        <v>0</v>
      </c>
      <c r="E34" s="121">
        <f>[1]Sheet1!$F$72</f>
        <v>0</v>
      </c>
      <c r="F34" s="122">
        <v>-45.200295624587568</v>
      </c>
      <c r="G34" s="122">
        <v>-19.255174483729661</v>
      </c>
      <c r="H34" s="122">
        <f t="shared" si="0"/>
        <v>25.945121140857907</v>
      </c>
    </row>
    <row r="35" spans="1:8" ht="15" customHeight="1" x14ac:dyDescent="0.2">
      <c r="A35" s="33">
        <v>29</v>
      </c>
      <c r="B35" s="110"/>
      <c r="C35" s="120">
        <f>[1]Sheet1!$B$45</f>
        <v>0</v>
      </c>
      <c r="D35" s="121">
        <f>[1]Sheet1!$E$45</f>
        <v>0</v>
      </c>
      <c r="E35" s="121">
        <f>[1]Sheet1!$F$45</f>
        <v>0</v>
      </c>
      <c r="F35" s="122">
        <v>-44.986346930188859</v>
      </c>
      <c r="G35" s="122">
        <v>-19.601601376077213</v>
      </c>
      <c r="H35" s="122">
        <f t="shared" si="0"/>
        <v>25.384745554111646</v>
      </c>
    </row>
    <row r="36" spans="1:8" ht="15" customHeight="1" x14ac:dyDescent="0.2">
      <c r="A36" s="33">
        <v>2</v>
      </c>
      <c r="B36" s="110"/>
      <c r="C36" s="111">
        <f>[1]Sheet1!B10</f>
        <v>0</v>
      </c>
      <c r="D36" s="129">
        <f>[1]Sheet1!E10</f>
        <v>0</v>
      </c>
      <c r="E36" s="129">
        <f>[1]Sheet1!F10</f>
        <v>0</v>
      </c>
      <c r="F36" s="129">
        <v>-18.916950018509965</v>
      </c>
      <c r="G36" s="129">
        <v>-43.916950018510022</v>
      </c>
      <c r="H36" s="122">
        <f t="shared" si="0"/>
        <v>25.000000000000057</v>
      </c>
    </row>
    <row r="37" spans="1:8" ht="15" customHeight="1" x14ac:dyDescent="0.2">
      <c r="A37" s="33">
        <v>84</v>
      </c>
      <c r="B37" s="110"/>
      <c r="C37" s="120">
        <f>[1]Sheet1!$B$110</f>
        <v>0</v>
      </c>
      <c r="D37" s="121">
        <f>[1]Sheet1!$E$110</f>
        <v>0</v>
      </c>
      <c r="E37" s="121">
        <f>[1]Sheet1!$F$110</f>
        <v>0</v>
      </c>
      <c r="F37" s="122">
        <v>-19.084126521549365</v>
      </c>
      <c r="G37" s="122">
        <v>-43.749773515470565</v>
      </c>
      <c r="H37" s="122">
        <f t="shared" si="0"/>
        <v>24.6656469939212</v>
      </c>
    </row>
    <row r="38" spans="1:8" ht="15" customHeight="1" x14ac:dyDescent="0.2">
      <c r="A38" s="33">
        <v>70</v>
      </c>
      <c r="B38" s="110"/>
      <c r="C38" s="120">
        <f>[1]Sheet1!$B$94</f>
        <v>0</v>
      </c>
      <c r="D38" s="121">
        <f>[1]Sheet1!$E$94</f>
        <v>0</v>
      </c>
      <c r="E38" s="121">
        <f>[1]Sheet1!$F$94</f>
        <v>0</v>
      </c>
      <c r="F38" s="122">
        <v>-42.616100618362623</v>
      </c>
      <c r="G38" s="122">
        <v>-20.217799418643438</v>
      </c>
      <c r="H38" s="122">
        <f t="shared" si="0"/>
        <v>22.398301199719185</v>
      </c>
    </row>
    <row r="39" spans="1:8" ht="15" customHeight="1" x14ac:dyDescent="0.2">
      <c r="A39" s="33">
        <v>71</v>
      </c>
      <c r="B39" s="110"/>
      <c r="C39" s="120">
        <f>[1]Sheet1!$B$95</f>
        <v>0</v>
      </c>
      <c r="D39" s="121">
        <f>[1]Sheet1!$E$95</f>
        <v>0</v>
      </c>
      <c r="E39" s="121">
        <f>[1]Sheet1!$F$95</f>
        <v>0</v>
      </c>
      <c r="F39" s="122">
        <v>-20.5857337223012</v>
      </c>
      <c r="G39" s="122">
        <v>-42.248166314710375</v>
      </c>
      <c r="H39" s="122">
        <f t="shared" si="0"/>
        <v>21.662432592409175</v>
      </c>
    </row>
    <row r="40" spans="1:8" ht="15" customHeight="1" x14ac:dyDescent="0.2">
      <c r="A40" s="33">
        <v>31</v>
      </c>
      <c r="B40" s="110"/>
      <c r="C40" s="120">
        <f>[1]Sheet1!$B$47</f>
        <v>0</v>
      </c>
      <c r="D40" s="121">
        <f>[1]Sheet1!$E$47</f>
        <v>0</v>
      </c>
      <c r="E40" s="121">
        <f>[1]Sheet1!$F$47</f>
        <v>0</v>
      </c>
      <c r="F40" s="122">
        <v>-20.564186730185781</v>
      </c>
      <c r="G40" s="122">
        <v>-42.060805461831535</v>
      </c>
      <c r="H40" s="122">
        <f t="shared" si="0"/>
        <v>21.496618731645754</v>
      </c>
    </row>
    <row r="41" spans="1:8" ht="15" customHeight="1" x14ac:dyDescent="0.2">
      <c r="A41" s="33">
        <v>7</v>
      </c>
      <c r="B41" s="110"/>
      <c r="C41" s="111" t="str">
        <f>"Adh: "&amp;[1]Sheet1!B17</f>
        <v xml:space="preserve">Adh: </v>
      </c>
      <c r="D41" s="121">
        <f>[1]Sheet1!E17</f>
        <v>0</v>
      </c>
      <c r="E41" s="121">
        <f>[1]Sheet1!F17</f>
        <v>0</v>
      </c>
      <c r="F41" s="129">
        <v>-41.612069302993746</v>
      </c>
      <c r="G41" s="129">
        <v>-21.221830734026128</v>
      </c>
      <c r="H41" s="129">
        <f t="shared" si="0"/>
        <v>20.390238568967618</v>
      </c>
    </row>
    <row r="42" spans="1:8" ht="15" customHeight="1" x14ac:dyDescent="0.2">
      <c r="A42" s="33">
        <v>1</v>
      </c>
      <c r="B42" s="110"/>
      <c r="C42" s="111">
        <f>[1]Sheet1!B9</f>
        <v>0</v>
      </c>
      <c r="D42" s="129">
        <f>[1]Sheet1!E9</f>
        <v>0</v>
      </c>
      <c r="E42" s="129">
        <f>[1]Sheet1!F9</f>
        <v>0</v>
      </c>
      <c r="F42" s="129">
        <v>-21.416950018509965</v>
      </c>
      <c r="G42" s="129">
        <v>-41.416950018510022</v>
      </c>
      <c r="H42" s="122">
        <f t="shared" si="0"/>
        <v>20.000000000000057</v>
      </c>
    </row>
    <row r="43" spans="1:8" ht="15" customHeight="1" x14ac:dyDescent="0.2">
      <c r="A43" s="33">
        <v>73</v>
      </c>
      <c r="B43" s="110"/>
      <c r="C43" s="120">
        <f>[1]Sheet1!$B$99</f>
        <v>0</v>
      </c>
      <c r="D43" s="121">
        <f>[1]Sheet1!$E$99</f>
        <v>0</v>
      </c>
      <c r="E43" s="121">
        <f>[1]Sheet1!$F$99</f>
        <v>0</v>
      </c>
      <c r="F43" s="122">
        <v>-21.534577767230076</v>
      </c>
      <c r="G43" s="122">
        <v>-41.299322269789855</v>
      </c>
      <c r="H43" s="122">
        <f t="shared" si="0"/>
        <v>19.764744502559779</v>
      </c>
    </row>
    <row r="44" spans="1:8" ht="15" customHeight="1" x14ac:dyDescent="0.2">
      <c r="A44" s="33">
        <v>68</v>
      </c>
      <c r="B44" s="110"/>
      <c r="C44" s="120">
        <f>[1]Sheet1!$B$92</f>
        <v>0</v>
      </c>
      <c r="D44" s="121">
        <f>[1]Sheet1!$E$92</f>
        <v>0</v>
      </c>
      <c r="E44" s="121">
        <f>[1]Sheet1!$F$92</f>
        <v>0</v>
      </c>
      <c r="F44" s="122">
        <v>-22.595134867078343</v>
      </c>
      <c r="G44" s="122">
        <v>-41.732175706468013</v>
      </c>
      <c r="H44" s="122">
        <f t="shared" si="0"/>
        <v>19.13704083938967</v>
      </c>
    </row>
    <row r="45" spans="1:8" ht="15" customHeight="1" x14ac:dyDescent="0.2">
      <c r="A45" s="33">
        <v>25</v>
      </c>
      <c r="B45" s="110"/>
      <c r="C45" s="120" t="str">
        <f>"Pen: "&amp;[1]Sheet1!B39</f>
        <v xml:space="preserve">Pen: </v>
      </c>
      <c r="D45" s="121">
        <f>[1]Sheet1!E39</f>
        <v>0</v>
      </c>
      <c r="E45" s="121">
        <f>[1]Sheet1!F39</f>
        <v>0</v>
      </c>
      <c r="F45" s="122">
        <v>-38.131047742382009</v>
      </c>
      <c r="G45" s="122">
        <v>-20.148904055207765</v>
      </c>
      <c r="H45" s="122">
        <f t="shared" si="0"/>
        <v>17.982143687174243</v>
      </c>
    </row>
    <row r="46" spans="1:8" ht="15" customHeight="1" x14ac:dyDescent="0.2">
      <c r="A46" s="33">
        <v>74</v>
      </c>
      <c r="B46" s="110"/>
      <c r="C46" s="120">
        <f>[1]Sheet1!$B$100</f>
        <v>0</v>
      </c>
      <c r="D46" s="121">
        <f>[1]Sheet1!$E$100</f>
        <v>0</v>
      </c>
      <c r="E46" s="121">
        <f>[1]Sheet1!$F$100</f>
        <v>0</v>
      </c>
      <c r="F46" s="122">
        <v>-23.409136020802237</v>
      </c>
      <c r="G46" s="122">
        <v>-40.976389445617599</v>
      </c>
      <c r="H46" s="122">
        <f t="shared" si="0"/>
        <v>17.567253424815362</v>
      </c>
    </row>
    <row r="47" spans="1:8" ht="15" customHeight="1" x14ac:dyDescent="0.2">
      <c r="A47" s="33">
        <v>49</v>
      </c>
      <c r="B47" s="110"/>
      <c r="C47" s="120">
        <f>[1]Sheet1!$B$69</f>
        <v>0</v>
      </c>
      <c r="D47" s="121">
        <f>[1]Sheet1!$E$69</f>
        <v>0</v>
      </c>
      <c r="E47" s="121">
        <f>[1]Sheet1!$F$69</f>
        <v>0</v>
      </c>
      <c r="F47" s="122">
        <v>-40.147615749623071</v>
      </c>
      <c r="G47" s="122">
        <v>-57.450859766833617</v>
      </c>
      <c r="H47" s="122">
        <f t="shared" si="0"/>
        <v>17.303244017210545</v>
      </c>
    </row>
    <row r="48" spans="1:8" ht="15" customHeight="1" x14ac:dyDescent="0.2">
      <c r="A48" s="33">
        <v>15</v>
      </c>
      <c r="B48" s="110"/>
      <c r="C48" s="111" t="str">
        <f>"Prev: "&amp;[1]Sheet1!B27</f>
        <v xml:space="preserve">Prev: </v>
      </c>
      <c r="D48" s="123">
        <f>[1]Sheet1!E27</f>
        <v>0</v>
      </c>
      <c r="E48" s="123">
        <f>[1]Sheet1!F27</f>
        <v>0</v>
      </c>
      <c r="F48" s="122">
        <v>-39.500976686194633</v>
      </c>
      <c r="G48" s="122">
        <v>-23.332923350822512</v>
      </c>
      <c r="H48" s="122">
        <f t="shared" si="0"/>
        <v>16.168053335372122</v>
      </c>
    </row>
    <row r="49" spans="1:8" ht="15" customHeight="1" x14ac:dyDescent="0.2">
      <c r="A49" s="33">
        <v>5</v>
      </c>
      <c r="B49" s="110"/>
      <c r="C49" s="120" t="str">
        <f>"Adh: "&amp;[1]Sheet1!B15</f>
        <v xml:space="preserve">Adh: </v>
      </c>
      <c r="D49" s="121">
        <f>[1]Sheet1!E15</f>
        <v>0</v>
      </c>
      <c r="E49" s="121">
        <f>[1]Sheet1!F15</f>
        <v>0</v>
      </c>
      <c r="F49" s="122">
        <v>-38.444845453858193</v>
      </c>
      <c r="G49" s="122">
        <v>-24.389054583161737</v>
      </c>
      <c r="H49" s="122">
        <f t="shared" si="0"/>
        <v>14.055790870696455</v>
      </c>
    </row>
    <row r="50" spans="1:8" ht="15" customHeight="1" x14ac:dyDescent="0.2">
      <c r="A50" s="33">
        <v>62</v>
      </c>
      <c r="B50" s="110"/>
      <c r="C50" s="120">
        <f>[1]Sheet1!$B$86</f>
        <v>0</v>
      </c>
      <c r="D50" s="121">
        <f>[1]Sheet1!$E$86</f>
        <v>0</v>
      </c>
      <c r="E50" s="121">
        <f>[1]Sheet1!$F$86</f>
        <v>0</v>
      </c>
      <c r="F50" s="122">
        <v>-31.931234959444907</v>
      </c>
      <c r="G50" s="122">
        <v>-17.875819935718312</v>
      </c>
      <c r="H50" s="122">
        <f t="shared" si="0"/>
        <v>14.055415023726596</v>
      </c>
    </row>
    <row r="51" spans="1:8" ht="15" customHeight="1" x14ac:dyDescent="0.2">
      <c r="A51" s="33">
        <v>65</v>
      </c>
      <c r="B51" s="110"/>
      <c r="C51" s="120">
        <f>[1]Sheet1!$B$89</f>
        <v>0</v>
      </c>
      <c r="D51" s="121">
        <f>[1]Sheet1!$E$89</f>
        <v>0</v>
      </c>
      <c r="E51" s="121">
        <f>[1]Sheet1!$F$89</f>
        <v>0</v>
      </c>
      <c r="F51" s="122">
        <v>-38.457438882932991</v>
      </c>
      <c r="G51" s="122">
        <v>-25.495159011445708</v>
      </c>
      <c r="H51" s="122">
        <f t="shared" si="0"/>
        <v>12.962279871487283</v>
      </c>
    </row>
    <row r="52" spans="1:8" ht="15" customHeight="1" x14ac:dyDescent="0.2">
      <c r="A52" s="33">
        <v>22</v>
      </c>
      <c r="B52" s="110"/>
      <c r="C52" s="120" t="str">
        <f>"Pen: "&amp;[1]Sheet1!B36</f>
        <v xml:space="preserve">Pen: </v>
      </c>
      <c r="D52" s="121">
        <f>[1]Sheet1!E36</f>
        <v>0</v>
      </c>
      <c r="E52" s="121">
        <f>[1]Sheet1!F36</f>
        <v>0</v>
      </c>
      <c r="F52" s="122">
        <v>-37.780721713366404</v>
      </c>
      <c r="G52" s="122">
        <v>-25.053178323647955</v>
      </c>
      <c r="H52" s="122">
        <f t="shared" si="0"/>
        <v>12.727543389718448</v>
      </c>
    </row>
    <row r="53" spans="1:8" ht="15" customHeight="1" x14ac:dyDescent="0.2">
      <c r="A53" s="33">
        <v>21</v>
      </c>
      <c r="B53" s="110"/>
      <c r="C53" s="120" t="str">
        <f>"Pen: "&amp;[1]Sheet1!B35</f>
        <v xml:space="preserve">Pen: </v>
      </c>
      <c r="D53" s="121">
        <f>[1]Sheet1!E35</f>
        <v>0</v>
      </c>
      <c r="E53" s="121">
        <f>[1]Sheet1!F35</f>
        <v>0</v>
      </c>
      <c r="F53" s="122">
        <v>-36.749850332282904</v>
      </c>
      <c r="G53" s="122">
        <v>-25.389542578349278</v>
      </c>
      <c r="H53" s="122">
        <f t="shared" si="0"/>
        <v>11.360307753933625</v>
      </c>
    </row>
    <row r="54" spans="1:8" ht="15" customHeight="1" x14ac:dyDescent="0.2">
      <c r="A54" s="33">
        <v>82</v>
      </c>
      <c r="B54" s="110"/>
      <c r="C54" s="120">
        <f>[1]Sheet1!$B$108</f>
        <v>0</v>
      </c>
      <c r="D54" s="121">
        <f>[1]Sheet1!$E$108</f>
        <v>0</v>
      </c>
      <c r="E54" s="121">
        <f>[1]Sheet1!$F$108</f>
        <v>0</v>
      </c>
      <c r="F54" s="122">
        <v>-25.85408600684849</v>
      </c>
      <c r="G54" s="122">
        <v>-36.979814030171383</v>
      </c>
      <c r="H54" s="122">
        <f t="shared" si="0"/>
        <v>11.125728023322893</v>
      </c>
    </row>
    <row r="55" spans="1:8" ht="15" customHeight="1" x14ac:dyDescent="0.2">
      <c r="A55" s="33">
        <v>12</v>
      </c>
      <c r="B55" s="110"/>
      <c r="C55" s="120" t="str">
        <f>"Adh: "&amp;[1]Sheet1!B22</f>
        <v xml:space="preserve">Adh: </v>
      </c>
      <c r="D55" s="121">
        <f>[1]Sheet1!E22</f>
        <v>0</v>
      </c>
      <c r="E55" s="121">
        <f>[1]Sheet1!F22</f>
        <v>0</v>
      </c>
      <c r="F55" s="122">
        <v>-26.09837189350992</v>
      </c>
      <c r="G55" s="122">
        <v>-36.735528143509953</v>
      </c>
      <c r="H55" s="122">
        <f t="shared" si="0"/>
        <v>10.637156250000032</v>
      </c>
    </row>
    <row r="56" spans="1:8" ht="15" customHeight="1" x14ac:dyDescent="0.2">
      <c r="A56" s="33">
        <v>40</v>
      </c>
      <c r="B56" s="110"/>
      <c r="C56" s="120">
        <f>[1]Sheet1!$B$58</f>
        <v>0</v>
      </c>
      <c r="D56" s="121">
        <f>[1]Sheet1!$E$58</f>
        <v>0</v>
      </c>
      <c r="E56" s="121">
        <f>[1]Sheet1!$F$58</f>
        <v>0</v>
      </c>
      <c r="F56" s="122">
        <v>-27.477399402241076</v>
      </c>
      <c r="G56" s="122">
        <v>-35.95643748800569</v>
      </c>
      <c r="H56" s="122">
        <f t="shared" si="0"/>
        <v>8.4790380857646142</v>
      </c>
    </row>
    <row r="57" spans="1:8" ht="15" customHeight="1" x14ac:dyDescent="0.2">
      <c r="A57" s="33">
        <v>23</v>
      </c>
      <c r="B57" s="110"/>
      <c r="C57" s="120" t="str">
        <f>"Pen: "&amp;[1]Sheet1!B37</f>
        <v xml:space="preserve">Pen: </v>
      </c>
      <c r="D57" s="121">
        <f>[1]Sheet1!E37</f>
        <v>0</v>
      </c>
      <c r="E57" s="121">
        <f>[1]Sheet1!F37</f>
        <v>0</v>
      </c>
      <c r="F57" s="122">
        <v>-35.572818104714941</v>
      </c>
      <c r="G57" s="122">
        <v>-27.261081932302204</v>
      </c>
      <c r="H57" s="122">
        <f t="shared" si="0"/>
        <v>8.3117361724127363</v>
      </c>
    </row>
    <row r="58" spans="1:8" ht="15" customHeight="1" x14ac:dyDescent="0.2">
      <c r="A58" s="33">
        <v>33</v>
      </c>
      <c r="B58" s="110"/>
      <c r="C58" s="120">
        <f>[1]Sheet1!$B$49</f>
        <v>0</v>
      </c>
      <c r="D58" s="121">
        <f>[1]Sheet1!$E$49</f>
        <v>0</v>
      </c>
      <c r="E58" s="121">
        <f>[1]Sheet1!$F$49</f>
        <v>0</v>
      </c>
      <c r="F58" s="122">
        <v>-32.869995249802116</v>
      </c>
      <c r="G58" s="122">
        <v>-25.604769093338405</v>
      </c>
      <c r="H58" s="122">
        <f t="shared" si="0"/>
        <v>7.2652261564637115</v>
      </c>
    </row>
    <row r="59" spans="1:8" ht="15" customHeight="1" x14ac:dyDescent="0.2">
      <c r="A59" s="33">
        <v>44</v>
      </c>
      <c r="B59" s="110"/>
      <c r="C59" s="120">
        <f>[1]Sheet1!$B$62</f>
        <v>0</v>
      </c>
      <c r="D59" s="121">
        <f>[1]Sheet1!$E$62</f>
        <v>0</v>
      </c>
      <c r="E59" s="121">
        <f>[1]Sheet1!$F$62</f>
        <v>0</v>
      </c>
      <c r="F59" s="122">
        <v>-29.008011383312521</v>
      </c>
      <c r="G59" s="122">
        <v>-34.293392785678748</v>
      </c>
      <c r="H59" s="122">
        <f t="shared" si="0"/>
        <v>5.2853814023662267</v>
      </c>
    </row>
    <row r="60" spans="1:8" ht="15" customHeight="1" x14ac:dyDescent="0.2">
      <c r="A60" s="33">
        <v>72</v>
      </c>
      <c r="B60" s="110"/>
      <c r="C60" s="120">
        <f>[1]Sheet1!$B$96</f>
        <v>0</v>
      </c>
      <c r="D60" s="121">
        <f>[1]Sheet1!$E$96</f>
        <v>0</v>
      </c>
      <c r="E60" s="121">
        <f>[1]Sheet1!$F$96</f>
        <v>0</v>
      </c>
      <c r="F60" s="122">
        <v>-28.920911272626597</v>
      </c>
      <c r="G60" s="122">
        <v>-33.912988764390491</v>
      </c>
      <c r="H60" s="122">
        <f t="shared" si="0"/>
        <v>4.9920774917638937</v>
      </c>
    </row>
    <row r="61" spans="1:8" ht="15" customHeight="1" x14ac:dyDescent="0.2">
      <c r="A61" s="33">
        <v>41</v>
      </c>
      <c r="B61" s="110"/>
      <c r="C61" s="120">
        <f>[1]Sheet1!$B$59</f>
        <v>0</v>
      </c>
      <c r="D61" s="121">
        <f>[1]Sheet1!$E$59</f>
        <v>0</v>
      </c>
      <c r="E61" s="121">
        <f>[1]Sheet1!$F$59</f>
        <v>0</v>
      </c>
      <c r="F61" s="122">
        <v>-29.208054386064191</v>
      </c>
      <c r="G61" s="122">
        <v>-34.11523706424714</v>
      </c>
      <c r="H61" s="122">
        <f t="shared" si="0"/>
        <v>4.9071826781829486</v>
      </c>
    </row>
    <row r="62" spans="1:8" ht="15" customHeight="1" x14ac:dyDescent="0.2">
      <c r="A62" s="33">
        <v>28</v>
      </c>
      <c r="B62" s="110"/>
      <c r="C62" s="120" t="str">
        <f>"Pen: "&amp;[1]Sheet1!B42</f>
        <v xml:space="preserve">Pen: </v>
      </c>
      <c r="D62" s="121">
        <f>[1]Sheet1!E42</f>
        <v>0</v>
      </c>
      <c r="E62" s="121">
        <f>[1]Sheet1!F42</f>
        <v>0</v>
      </c>
      <c r="F62" s="122">
        <v>-29.118153143509971</v>
      </c>
      <c r="G62" s="122">
        <v>-33.715746893509959</v>
      </c>
      <c r="H62" s="122">
        <f t="shared" si="0"/>
        <v>4.5975937499999873</v>
      </c>
    </row>
    <row r="63" spans="1:8" ht="15" customHeight="1" x14ac:dyDescent="0.2">
      <c r="A63" s="33">
        <v>19</v>
      </c>
      <c r="B63" s="110"/>
      <c r="C63" s="120" t="str">
        <f>"Prev: "&amp;[1]Sheet1!B31</f>
        <v xml:space="preserve">Prev: </v>
      </c>
      <c r="D63" s="123">
        <f>[1]Sheet1!E31</f>
        <v>0</v>
      </c>
      <c r="E63" s="123">
        <f>[1]Sheet1!F31</f>
        <v>0</v>
      </c>
      <c r="F63" s="122">
        <v>-33.266029707609789</v>
      </c>
      <c r="G63" s="122">
        <v>-29.567870329410084</v>
      </c>
      <c r="H63" s="122">
        <f t="shared" si="0"/>
        <v>3.6981593781997049</v>
      </c>
    </row>
    <row r="64" spans="1:8" ht="15" customHeight="1" x14ac:dyDescent="0.2">
      <c r="A64" s="33">
        <v>86</v>
      </c>
      <c r="B64" s="110"/>
      <c r="C64" s="120">
        <f>[1]Sheet1!$B$112</f>
        <v>0</v>
      </c>
      <c r="D64" s="121">
        <f>[1]Sheet1!$E$112</f>
        <v>0</v>
      </c>
      <c r="E64" s="121">
        <f>[1]Sheet1!$F$112</f>
        <v>0</v>
      </c>
      <c r="F64" s="122">
        <v>-33.177561901086108</v>
      </c>
      <c r="G64" s="122">
        <v>-29.656338135933765</v>
      </c>
      <c r="H64" s="122">
        <f t="shared" si="0"/>
        <v>3.5212237651523424</v>
      </c>
    </row>
    <row r="65" spans="1:8" ht="15" customHeight="1" x14ac:dyDescent="0.2">
      <c r="A65" s="33">
        <v>43</v>
      </c>
      <c r="B65" s="110"/>
      <c r="C65" s="120">
        <f>[1]Sheet1!$B$61</f>
        <v>0</v>
      </c>
      <c r="D65" s="121">
        <f>[1]Sheet1!$E$61</f>
        <v>0</v>
      </c>
      <c r="E65" s="121">
        <f>[1]Sheet1!$F$61</f>
        <v>0</v>
      </c>
      <c r="F65" s="122">
        <v>-29.930249054037745</v>
      </c>
      <c r="G65" s="122">
        <v>-33.365235604398379</v>
      </c>
      <c r="H65" s="122">
        <f t="shared" si="0"/>
        <v>3.4349865503606338</v>
      </c>
    </row>
    <row r="66" spans="1:8" ht="15" customHeight="1" x14ac:dyDescent="0.2">
      <c r="A66" s="33">
        <v>58</v>
      </c>
      <c r="B66" s="110"/>
      <c r="C66" s="120">
        <f>[1]Sheet1!$B$80</f>
        <v>0</v>
      </c>
      <c r="D66" s="121">
        <f>[1]Sheet1!$E$80</f>
        <v>0</v>
      </c>
      <c r="E66" s="121">
        <f>[1]Sheet1!$F$80</f>
        <v>0</v>
      </c>
      <c r="F66" s="122">
        <v>-33.088287857672015</v>
      </c>
      <c r="G66" s="122">
        <v>-29.753864286805936</v>
      </c>
      <c r="H66" s="122">
        <f t="shared" si="0"/>
        <v>3.334423570866079</v>
      </c>
    </row>
    <row r="67" spans="1:8" ht="15" customHeight="1" x14ac:dyDescent="0.2">
      <c r="A67" s="33">
        <v>66</v>
      </c>
      <c r="B67" s="110"/>
      <c r="C67" s="120">
        <f>[1]Sheet1!$B$90</f>
        <v>0</v>
      </c>
      <c r="D67" s="121">
        <f>[1]Sheet1!$E$90</f>
        <v>0</v>
      </c>
      <c r="E67" s="121">
        <f>[1]Sheet1!$F$90</f>
        <v>0</v>
      </c>
      <c r="F67" s="122">
        <v>-32.697982210304076</v>
      </c>
      <c r="G67" s="122">
        <v>-30.349839946443524</v>
      </c>
      <c r="H67" s="122">
        <f t="shared" si="0"/>
        <v>2.3481422638605522</v>
      </c>
    </row>
    <row r="68" spans="1:8" ht="15" customHeight="1" x14ac:dyDescent="0.2">
      <c r="A68" s="33">
        <v>30</v>
      </c>
      <c r="B68" s="110"/>
      <c r="C68" s="120">
        <f>[1]Sheet1!$B$46</f>
        <v>0</v>
      </c>
      <c r="D68" s="121">
        <f>[1]Sheet1!$E$46</f>
        <v>0</v>
      </c>
      <c r="E68" s="121">
        <f>[1]Sheet1!$F$46</f>
        <v>0</v>
      </c>
      <c r="F68" s="122">
        <v>-32.573161121809676</v>
      </c>
      <c r="G68" s="122">
        <v>-30.258316203752997</v>
      </c>
      <c r="H68" s="122">
        <f t="shared" si="0"/>
        <v>2.3148449180566786</v>
      </c>
    </row>
    <row r="69" spans="1:8" ht="15" customHeight="1" x14ac:dyDescent="0.2">
      <c r="A69" s="33">
        <v>37</v>
      </c>
      <c r="B69" s="110"/>
      <c r="C69" s="120">
        <f>[1]Sheet1!$B$55</f>
        <v>0</v>
      </c>
      <c r="D69" s="121">
        <f>[1]Sheet1!$E$55</f>
        <v>0</v>
      </c>
      <c r="E69" s="121">
        <f>[1]Sheet1!$F$55</f>
        <v>0</v>
      </c>
      <c r="F69" s="122">
        <v>-32.588668704464339</v>
      </c>
      <c r="G69" s="122">
        <v>-30.549584919840754</v>
      </c>
      <c r="H69" s="122">
        <f t="shared" si="0"/>
        <v>2.0390837846235854</v>
      </c>
    </row>
    <row r="70" spans="1:8" ht="15" customHeight="1" x14ac:dyDescent="0.2">
      <c r="A70" s="33">
        <v>3</v>
      </c>
      <c r="B70" s="110"/>
      <c r="C70" s="111">
        <f>[1]Sheet1!B11</f>
        <v>0</v>
      </c>
      <c r="D70" s="129">
        <f>[1]Sheet1!E11</f>
        <v>0</v>
      </c>
      <c r="E70" s="129">
        <f>[1]Sheet1!F11</f>
        <v>0</v>
      </c>
      <c r="F70" s="129">
        <v>-30.603200018509995</v>
      </c>
      <c r="G70" s="129">
        <v>-32.230700018509992</v>
      </c>
      <c r="H70" s="122">
        <f t="shared" ref="H70:H93" si="1">ABS(F70-G70)</f>
        <v>1.6274999999999977</v>
      </c>
    </row>
    <row r="71" spans="1:8" ht="15" customHeight="1" x14ac:dyDescent="0.2">
      <c r="A71" s="33">
        <v>64</v>
      </c>
      <c r="B71" s="110"/>
      <c r="C71" s="120">
        <f>[1]Sheet1!$B$88</f>
        <v>0</v>
      </c>
      <c r="D71" s="121">
        <f>[1]Sheet1!$E$88</f>
        <v>0</v>
      </c>
      <c r="E71" s="121">
        <f>[1]Sheet1!$F$88</f>
        <v>0</v>
      </c>
      <c r="F71" s="122">
        <v>-30.623994425763158</v>
      </c>
      <c r="G71" s="122">
        <v>-32.223411759877479</v>
      </c>
      <c r="H71" s="122">
        <f t="shared" si="1"/>
        <v>1.599417334114321</v>
      </c>
    </row>
    <row r="72" spans="1:8" ht="15" customHeight="1" x14ac:dyDescent="0.2">
      <c r="A72" s="33">
        <v>11</v>
      </c>
      <c r="B72" s="110"/>
      <c r="C72" s="120" t="str">
        <f>"Adh: "&amp;[1]Sheet1!B21</f>
        <v xml:space="preserve">Adh: </v>
      </c>
      <c r="D72" s="121">
        <f>[1]Sheet1!E21</f>
        <v>0</v>
      </c>
      <c r="E72" s="121">
        <f>[1]Sheet1!F21</f>
        <v>0</v>
      </c>
      <c r="F72" s="122">
        <v>-32.086276073174076</v>
      </c>
      <c r="G72" s="122">
        <v>-30.747623963843068</v>
      </c>
      <c r="H72" s="122">
        <f t="shared" si="1"/>
        <v>1.338652109331008</v>
      </c>
    </row>
    <row r="73" spans="1:8" ht="15" customHeight="1" x14ac:dyDescent="0.2">
      <c r="A73" s="33">
        <v>27</v>
      </c>
      <c r="B73" s="110"/>
      <c r="C73" s="120" t="str">
        <f>"Pen: "&amp;[1]Sheet1!B41</f>
        <v xml:space="preserve">Pen: </v>
      </c>
      <c r="D73" s="121">
        <f>[1]Sheet1!E41</f>
        <v>0</v>
      </c>
      <c r="E73" s="121">
        <f>[1]Sheet1!F41</f>
        <v>0</v>
      </c>
      <c r="F73" s="122">
        <v>-31.93978740157371</v>
      </c>
      <c r="G73" s="122">
        <v>-30.809978924291613</v>
      </c>
      <c r="H73" s="122">
        <f t="shared" si="1"/>
        <v>1.1298084772820971</v>
      </c>
    </row>
    <row r="74" spans="1:8" ht="15" customHeight="1" x14ac:dyDescent="0.2">
      <c r="A74" s="33">
        <v>54</v>
      </c>
      <c r="B74" s="110"/>
      <c r="C74" s="120">
        <f>[1]Sheet1!$B$76</f>
        <v>0</v>
      </c>
      <c r="D74" s="121">
        <f>[1]Sheet1!$E$76</f>
        <v>0</v>
      </c>
      <c r="E74" s="121">
        <f>[1]Sheet1!$F$76</f>
        <v>0</v>
      </c>
      <c r="F74" s="122">
        <v>-31.908931798212336</v>
      </c>
      <c r="G74" s="122">
        <v>-30.931620481168693</v>
      </c>
      <c r="H74" s="122">
        <f t="shared" si="1"/>
        <v>0.97731131704364316</v>
      </c>
    </row>
    <row r="75" spans="1:8" ht="15" customHeight="1" x14ac:dyDescent="0.2">
      <c r="A75" s="33">
        <v>39</v>
      </c>
      <c r="B75" s="110"/>
      <c r="C75" s="120">
        <f>[1]Sheet1!$B$57</f>
        <v>0</v>
      </c>
      <c r="D75" s="121">
        <f>[1]Sheet1!$E$57</f>
        <v>0</v>
      </c>
      <c r="E75" s="121">
        <f>[1]Sheet1!$F$57</f>
        <v>0</v>
      </c>
      <c r="F75" s="122">
        <v>-31.028608761401188</v>
      </c>
      <c r="G75" s="122">
        <v>-31.999461904164718</v>
      </c>
      <c r="H75" s="122">
        <f t="shared" si="1"/>
        <v>0.97085314276353074</v>
      </c>
    </row>
    <row r="76" spans="1:8" ht="15" customHeight="1" x14ac:dyDescent="0.2">
      <c r="A76" s="33">
        <v>87</v>
      </c>
      <c r="B76" s="110"/>
      <c r="C76" s="120">
        <f>[1]Sheet1!$B$113</f>
        <v>0</v>
      </c>
      <c r="D76" s="121">
        <f>[1]Sheet1!$E$113</f>
        <v>0</v>
      </c>
      <c r="E76" s="121">
        <f>[1]Sheet1!$F$113</f>
        <v>0</v>
      </c>
      <c r="F76" s="122">
        <v>-31.855401941954312</v>
      </c>
      <c r="G76" s="122">
        <v>-30.978498095065618</v>
      </c>
      <c r="H76" s="122">
        <f t="shared" si="1"/>
        <v>0.87690384688869472</v>
      </c>
    </row>
    <row r="77" spans="1:8" ht="15" customHeight="1" x14ac:dyDescent="0.2">
      <c r="A77" s="33">
        <v>80</v>
      </c>
      <c r="B77" s="110"/>
      <c r="C77" s="120">
        <f>[1]Sheet1!$B$106</f>
        <v>0</v>
      </c>
      <c r="D77" s="121">
        <f>[1]Sheet1!$E$106</f>
        <v>0</v>
      </c>
      <c r="E77" s="121">
        <f>[1]Sheet1!$F$106</f>
        <v>0</v>
      </c>
      <c r="F77" s="122">
        <v>-30.992116980376409</v>
      </c>
      <c r="G77" s="122">
        <v>-31.83655847606201</v>
      </c>
      <c r="H77" s="122">
        <f t="shared" si="1"/>
        <v>0.84444149568560078</v>
      </c>
    </row>
    <row r="78" spans="1:8" ht="15" customHeight="1" x14ac:dyDescent="0.2">
      <c r="A78" s="33">
        <v>53</v>
      </c>
      <c r="B78" s="110"/>
      <c r="C78" s="120">
        <f>[1]Sheet1!$B$75</f>
        <v>0</v>
      </c>
      <c r="D78" s="121">
        <f>[1]Sheet1!$E$75</f>
        <v>0</v>
      </c>
      <c r="E78" s="121">
        <f>[1]Sheet1!$F$75</f>
        <v>0</v>
      </c>
      <c r="F78" s="122">
        <v>-31.576576904745195</v>
      </c>
      <c r="G78" s="122">
        <v>-30.884860397725845</v>
      </c>
      <c r="H78" s="122">
        <f t="shared" si="1"/>
        <v>0.6917165070193505</v>
      </c>
    </row>
    <row r="79" spans="1:8" ht="15" customHeight="1" x14ac:dyDescent="0.2">
      <c r="A79" s="33">
        <v>4</v>
      </c>
      <c r="B79" s="110"/>
      <c r="C79" s="111">
        <f>[1]Sheet1!B12</f>
        <v>0</v>
      </c>
      <c r="D79" s="129">
        <f>[1]Sheet1!E12</f>
        <v>0</v>
      </c>
      <c r="E79" s="129">
        <f>[1]Sheet1!F12</f>
        <v>0</v>
      </c>
      <c r="F79" s="129">
        <v>-31.107725018509996</v>
      </c>
      <c r="G79" s="129">
        <v>-31.726175018509991</v>
      </c>
      <c r="H79" s="122">
        <f t="shared" si="1"/>
        <v>0.61844999999999573</v>
      </c>
    </row>
    <row r="80" spans="1:8" ht="15" customHeight="1" x14ac:dyDescent="0.2">
      <c r="A80" s="33">
        <v>85</v>
      </c>
      <c r="B80" s="110"/>
      <c r="C80" s="120">
        <f>[1]Sheet1!$B$111</f>
        <v>0</v>
      </c>
      <c r="D80" s="121">
        <f>[1]Sheet1!$E$111</f>
        <v>0</v>
      </c>
      <c r="E80" s="121">
        <f>[1]Sheet1!$F$111</f>
        <v>0</v>
      </c>
      <c r="F80" s="122">
        <v>-31.585647123859189</v>
      </c>
      <c r="G80" s="122">
        <v>-31.248252913160627</v>
      </c>
      <c r="H80" s="122">
        <f t="shared" si="1"/>
        <v>0.33739421069856235</v>
      </c>
    </row>
    <row r="81" spans="1:8" ht="15" customHeight="1" x14ac:dyDescent="0.2">
      <c r="A81" s="33">
        <v>59</v>
      </c>
      <c r="B81" s="110"/>
      <c r="C81" s="120">
        <f>[1]Sheet1!$B$81</f>
        <v>0</v>
      </c>
      <c r="D81" s="121">
        <f>[1]Sheet1!$E$81</f>
        <v>0</v>
      </c>
      <c r="E81" s="121">
        <f>[1]Sheet1!$F$81</f>
        <v>0</v>
      </c>
      <c r="F81" s="122">
        <v>-31.468834212662102</v>
      </c>
      <c r="G81" s="122">
        <v>-31.347771092971925</v>
      </c>
      <c r="H81" s="122">
        <f t="shared" si="1"/>
        <v>0.12106311969017725</v>
      </c>
    </row>
    <row r="82" spans="1:8" ht="15" customHeight="1" x14ac:dyDescent="0.2">
      <c r="A82" s="33">
        <v>56</v>
      </c>
      <c r="B82" s="110"/>
      <c r="C82" s="120">
        <f>[1]Sheet1!$B$78</f>
        <v>0</v>
      </c>
      <c r="D82" s="121">
        <f>[1]Sheet1!$E$78</f>
        <v>0</v>
      </c>
      <c r="E82" s="121">
        <f>[1]Sheet1!$F$78</f>
        <v>0</v>
      </c>
      <c r="F82" s="122">
        <v>-31.466217575989958</v>
      </c>
      <c r="G82" s="122">
        <v>-31.366924498607204</v>
      </c>
      <c r="H82" s="122">
        <f t="shared" si="1"/>
        <v>9.9293077382753836E-2</v>
      </c>
    </row>
    <row r="83" spans="1:8" ht="15" customHeight="1" x14ac:dyDescent="0.2">
      <c r="A83" s="33">
        <v>57</v>
      </c>
      <c r="B83" s="110"/>
      <c r="C83" s="120">
        <f>[1]Sheet1!$B$79</f>
        <v>0</v>
      </c>
      <c r="D83" s="121">
        <f>[1]Sheet1!$E$79</f>
        <v>0</v>
      </c>
      <c r="E83" s="121">
        <f>[1]Sheet1!$F$79</f>
        <v>0</v>
      </c>
      <c r="F83" s="122">
        <v>-31.384782106486455</v>
      </c>
      <c r="G83" s="122">
        <v>-31.449117930533475</v>
      </c>
      <c r="H83" s="122">
        <f t="shared" si="1"/>
        <v>6.4335824047020651E-2</v>
      </c>
    </row>
    <row r="84" spans="1:8" ht="15" customHeight="1" x14ac:dyDescent="0.2">
      <c r="A84" s="33">
        <v>81</v>
      </c>
      <c r="B84" s="110"/>
      <c r="C84" s="120">
        <f>[1]Sheet1!$B$107</f>
        <v>0</v>
      </c>
      <c r="D84" s="121">
        <f>[1]Sheet1!$E$107</f>
        <v>0</v>
      </c>
      <c r="E84" s="121">
        <f>[1]Sheet1!$F$107</f>
        <v>0</v>
      </c>
      <c r="F84" s="122">
        <v>-31.3884482913179</v>
      </c>
      <c r="G84" s="122">
        <v>-31.444989805228943</v>
      </c>
      <c r="H84" s="122">
        <f t="shared" si="1"/>
        <v>5.6541513911042784E-2</v>
      </c>
    </row>
    <row r="85" spans="1:8" ht="15" customHeight="1" x14ac:dyDescent="0.2">
      <c r="A85" s="33">
        <v>60</v>
      </c>
      <c r="B85" s="110"/>
      <c r="C85" s="120">
        <f>[1]Sheet1!$B$82</f>
        <v>0</v>
      </c>
      <c r="D85" s="121">
        <f>[1]Sheet1!$E$82</f>
        <v>0</v>
      </c>
      <c r="E85" s="121">
        <f>[1]Sheet1!$F$82</f>
        <v>0</v>
      </c>
      <c r="F85" s="122">
        <v>-31.379026913112341</v>
      </c>
      <c r="G85" s="122">
        <v>-31.356905101626921</v>
      </c>
      <c r="H85" s="122">
        <f t="shared" si="1"/>
        <v>2.2121811485419585E-2</v>
      </c>
    </row>
    <row r="86" spans="1:8" ht="15" customHeight="1" x14ac:dyDescent="0.2">
      <c r="A86" s="33">
        <v>46</v>
      </c>
      <c r="B86" s="110"/>
      <c r="C86" s="120">
        <f>[1]Sheet1!$B$64</f>
        <v>0</v>
      </c>
      <c r="D86" s="121">
        <f>[1]Sheet1!$E$64</f>
        <v>0</v>
      </c>
      <c r="E86" s="121">
        <f>[1]Sheet1!$F$64</f>
        <v>0</v>
      </c>
      <c r="F86" s="122">
        <v>-31.416950018509965</v>
      </c>
      <c r="G86" s="122">
        <v>-31.41695001850718</v>
      </c>
      <c r="H86" s="122">
        <f t="shared" si="1"/>
        <v>2.7853275241795927E-12</v>
      </c>
    </row>
    <row r="87" spans="1:8" ht="15" customHeight="1" x14ac:dyDescent="0.2">
      <c r="A87" s="33">
        <v>42</v>
      </c>
      <c r="B87" s="110"/>
      <c r="C87" s="120">
        <f>[1]Sheet1!$B$60</f>
        <v>0</v>
      </c>
      <c r="D87" s="121">
        <f>[1]Sheet1!$E$60</f>
        <v>0</v>
      </c>
      <c r="E87" s="121">
        <f>[1]Sheet1!$F$60</f>
        <v>0</v>
      </c>
      <c r="F87" s="122">
        <v>-31.416950018509965</v>
      </c>
      <c r="G87" s="122">
        <v>-31.416950018509965</v>
      </c>
      <c r="H87" s="122">
        <f t="shared" si="1"/>
        <v>0</v>
      </c>
    </row>
    <row r="88" spans="1:8" ht="15" customHeight="1" x14ac:dyDescent="0.2">
      <c r="A88" s="33">
        <v>48</v>
      </c>
      <c r="B88" s="110"/>
      <c r="C88" s="120">
        <f>[1]Sheet1!$B$68</f>
        <v>0</v>
      </c>
      <c r="D88" s="121">
        <f>[1]Sheet1!$E$68</f>
        <v>0</v>
      </c>
      <c r="E88" s="121">
        <f>[1]Sheet1!$F$68</f>
        <v>0</v>
      </c>
      <c r="F88" s="122">
        <v>-31.416950018509965</v>
      </c>
      <c r="G88" s="122">
        <v>-31.416950018509965</v>
      </c>
      <c r="H88" s="122">
        <f t="shared" si="1"/>
        <v>0</v>
      </c>
    </row>
    <row r="89" spans="1:8" ht="15" customHeight="1" x14ac:dyDescent="0.2">
      <c r="A89" s="33">
        <v>75</v>
      </c>
      <c r="B89" s="110"/>
      <c r="C89" s="120">
        <f>[1]Sheet1!$B$101</f>
        <v>0</v>
      </c>
      <c r="D89" s="121">
        <f>[1]Sheet1!$E$101</f>
        <v>0</v>
      </c>
      <c r="E89" s="121">
        <f>[1]Sheet1!$F$101</f>
        <v>0</v>
      </c>
      <c r="F89" s="122">
        <v>-31.416950018509965</v>
      </c>
      <c r="G89" s="122">
        <v>-31.416950018509965</v>
      </c>
      <c r="H89" s="122">
        <f t="shared" si="1"/>
        <v>0</v>
      </c>
    </row>
    <row r="90" spans="1:8" ht="15" customHeight="1" x14ac:dyDescent="0.2">
      <c r="A90" s="33">
        <v>76</v>
      </c>
      <c r="B90" s="110"/>
      <c r="C90" s="120">
        <f>[1]Sheet1!$B$102</f>
        <v>0</v>
      </c>
      <c r="D90" s="121">
        <f>[1]Sheet1!$E$102</f>
        <v>0</v>
      </c>
      <c r="E90" s="121">
        <f>[1]Sheet1!$F$102</f>
        <v>0</v>
      </c>
      <c r="F90" s="122">
        <v>-31.416950018509965</v>
      </c>
      <c r="G90" s="122">
        <v>-31.416950018509965</v>
      </c>
      <c r="H90" s="122">
        <f t="shared" si="1"/>
        <v>0</v>
      </c>
    </row>
    <row r="91" spans="1:8" ht="15" customHeight="1" x14ac:dyDescent="0.2">
      <c r="A91" s="33">
        <v>77</v>
      </c>
      <c r="B91" s="110"/>
      <c r="C91" s="120">
        <f>[1]Sheet1!$B$103</f>
        <v>0</v>
      </c>
      <c r="D91" s="121">
        <f>[1]Sheet1!$E$103</f>
        <v>0</v>
      </c>
      <c r="E91" s="121">
        <f>[1]Sheet1!$F$103</f>
        <v>0</v>
      </c>
      <c r="F91" s="122">
        <v>-31.416950018509965</v>
      </c>
      <c r="G91" s="122">
        <v>-31.416950018509965</v>
      </c>
      <c r="H91" s="122">
        <f t="shared" si="1"/>
        <v>0</v>
      </c>
    </row>
    <row r="92" spans="1:8" x14ac:dyDescent="0.2">
      <c r="A92" s="33">
        <v>78</v>
      </c>
      <c r="B92" s="110"/>
      <c r="C92" s="120">
        <f>[1]Sheet1!$B$104</f>
        <v>0</v>
      </c>
      <c r="D92" s="121">
        <f>[1]Sheet1!$E$104</f>
        <v>0</v>
      </c>
      <c r="E92" s="121">
        <f>[1]Sheet1!$F$104</f>
        <v>0</v>
      </c>
      <c r="F92" s="122">
        <v>-31.416950018509965</v>
      </c>
      <c r="G92" s="122">
        <v>-31.416950018509965</v>
      </c>
      <c r="H92" s="122">
        <f t="shared" si="1"/>
        <v>0</v>
      </c>
    </row>
    <row r="93" spans="1:8" x14ac:dyDescent="0.2">
      <c r="A93" s="33">
        <v>83</v>
      </c>
      <c r="B93" s="110"/>
      <c r="C93" s="120">
        <f>[1]Sheet1!$B$109</f>
        <v>0</v>
      </c>
      <c r="D93" s="121">
        <f>[1]Sheet1!$E$109</f>
        <v>0</v>
      </c>
      <c r="E93" s="121">
        <f>[1]Sheet1!$F$109</f>
        <v>0</v>
      </c>
      <c r="F93" s="122">
        <v>-31.416950018509965</v>
      </c>
      <c r="G93" s="122">
        <v>-31.416950018509965</v>
      </c>
      <c r="H93" s="122">
        <f t="shared" si="1"/>
        <v>0</v>
      </c>
    </row>
    <row r="94" spans="1:8" x14ac:dyDescent="0.2">
      <c r="F94">
        <v>-31.416950018509965</v>
      </c>
      <c r="G94">
        <v>-31.416950018509965</v>
      </c>
    </row>
  </sheetData>
  <conditionalFormatting sqref="B6:H93">
    <cfRule type="expression" dxfId="2" priority="1">
      <formula>MOD(ROW(),2)=0</formula>
    </cfRule>
  </conditionalFormatting>
  <pageMargins left="0.7" right="0.7" top="0.75" bottom="0.75" header="0.3" footer="0.3"/>
  <pageSetup orientation="portrait" horizontalDpi="4294967292" verticalDpi="4294967292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523D3-139E-4030-9BC1-1DC16B465B8C}">
  <sheetPr codeName="Sheet05"/>
  <dimension ref="A1:DA607"/>
  <sheetViews>
    <sheetView showGridLines="0" tabSelected="1" zoomScale="80" zoomScaleNormal="8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H58" sqref="H58"/>
    </sheetView>
  </sheetViews>
  <sheetFormatPr defaultRowHeight="14.25" x14ac:dyDescent="0.2"/>
  <cols>
    <col min="1" max="1" width="2.625" customWidth="1"/>
    <col min="2" max="2" width="39.375" bestFit="1" customWidth="1"/>
    <col min="3" max="12" width="12.625" customWidth="1"/>
    <col min="13" max="13" width="15.625" customWidth="1"/>
    <col min="14" max="15" width="12.625" customWidth="1"/>
    <col min="16" max="16" width="2.625" customWidth="1"/>
    <col min="17" max="17" width="17.625" bestFit="1" customWidth="1"/>
    <col min="19" max="19" width="28.5" bestFit="1" customWidth="1"/>
    <col min="21" max="21" width="25.125" bestFit="1" customWidth="1"/>
    <col min="23" max="23" width="2.625" customWidth="1"/>
    <col min="24" max="28" width="10.625" customWidth="1"/>
    <col min="29" max="29" width="2.625" customWidth="1"/>
    <col min="30" max="49" width="12.625" customWidth="1"/>
    <col min="50" max="50" width="2.625" customWidth="1"/>
    <col min="51" max="71" width="12.625" customWidth="1"/>
    <col min="72" max="72" width="2.625" customWidth="1"/>
    <col min="73" max="73" width="40.625" customWidth="1"/>
    <col min="74" max="74" width="22.125" bestFit="1" customWidth="1"/>
    <col min="75" max="79" width="12.625" customWidth="1"/>
    <col min="81" max="81" width="200.625" customWidth="1"/>
    <col min="86" max="86" width="11.25" bestFit="1" customWidth="1"/>
    <col min="87" max="87" width="15.875" bestFit="1" customWidth="1"/>
    <col min="88" max="88" width="15.25" bestFit="1" customWidth="1"/>
    <col min="89" max="89" width="13.25" bestFit="1" customWidth="1"/>
    <col min="90" max="96" width="10.625" customWidth="1"/>
    <col min="97" max="97" width="15.875" bestFit="1" customWidth="1"/>
    <col min="98" max="98" width="9.875" bestFit="1" customWidth="1"/>
    <col min="99" max="105" width="10.625" customWidth="1"/>
    <col min="106" max="106" width="5.875" bestFit="1" customWidth="1"/>
  </cols>
  <sheetData>
    <row r="1" spans="1:105" s="5" customFormat="1" ht="30" customHeight="1" thickBot="1" x14ac:dyDescent="0.25">
      <c r="A1" s="4" t="s">
        <v>0</v>
      </c>
    </row>
    <row r="2" spans="1:105" ht="15" customHeight="1" thickBot="1" x14ac:dyDescent="0.25"/>
    <row r="3" spans="1:105" ht="15" customHeight="1" x14ac:dyDescent="0.2">
      <c r="B3" s="244" t="s">
        <v>153</v>
      </c>
      <c r="C3" s="281"/>
      <c r="E3" s="23" t="s">
        <v>42</v>
      </c>
      <c r="F3" s="24"/>
      <c r="G3" s="24"/>
      <c r="H3" s="24"/>
      <c r="I3" s="25"/>
      <c r="K3" s="3" t="s">
        <v>47</v>
      </c>
      <c r="L3" s="3"/>
      <c r="M3" s="3"/>
      <c r="N3" s="3"/>
      <c r="Q3" s="7" t="s">
        <v>3</v>
      </c>
      <c r="R3" s="6"/>
      <c r="S3" s="6"/>
      <c r="T3" s="6"/>
      <c r="U3" s="6"/>
      <c r="V3" s="6"/>
      <c r="W3" s="6"/>
      <c r="X3" s="6"/>
      <c r="Y3" s="6"/>
      <c r="Z3" s="6"/>
      <c r="AA3" s="6"/>
      <c r="AD3" s="14" t="s">
        <v>16</v>
      </c>
      <c r="AE3" s="14"/>
      <c r="AF3" s="297">
        <f ca="1">SUMIF(AF6:OFFSET(AF6,horizon,0),"&lt;&gt;#N/A")</f>
        <v>0.75967349365350945</v>
      </c>
      <c r="AG3" s="297">
        <f ca="1">SUMIF(AG6:OFFSET(AG6,horizon,0),"&lt;&gt;#N/A")</f>
        <v>0.72941346237738225</v>
      </c>
      <c r="AH3" s="297">
        <f ca="1">SUMIF(AH6:OFFSET(AH6,horizon,0),"&lt;&gt;#N/A")</f>
        <v>0.74410282942593431</v>
      </c>
      <c r="AI3" s="297">
        <f ca="1">SUMIF(AI6:OFFSET(AI6,horizon,0),"&lt;&gt;#N/A")</f>
        <v>4.3037747477438935E-3</v>
      </c>
      <c r="AJ3" s="297">
        <f ca="1">SUMIF(AJ6:OFFSET(AJ6,horizon,0),"&lt;&gt;#N/A")</f>
        <v>6.3351187436295378E-2</v>
      </c>
      <c r="AK3" s="297">
        <f ca="1">SUMIF(AK6:OFFSET(AK6,horizon,0),"&lt;&gt;#N/A")</f>
        <v>5.5674953367981974E-3</v>
      </c>
      <c r="AL3" s="297">
        <f ca="1">SUMIF(AL6:OFFSET(AL6,horizon,0),"&lt;&gt;#N/A")</f>
        <v>8.0549619831529168E-2</v>
      </c>
      <c r="AM3" s="297">
        <f ca="1">SUMIF(AM6:OFFSET(AM6,horizon,0),"&lt;&gt;#N/A")</f>
        <v>1.2263203608210865E-3</v>
      </c>
      <c r="AN3" s="297">
        <f ca="1">SUMIF(AN6:OFFSET(AN6,horizon,0),"&lt;&gt;#N/A")</f>
        <v>1.763383577972772E-2</v>
      </c>
      <c r="AO3" s="297">
        <f ca="1">SUMIF(AO6:OFFSET(AO6,horizon,0),"&lt;&gt;#N/A")</f>
        <v>33.056077016960067</v>
      </c>
      <c r="AP3" s="297">
        <f ca="1">SUMIF(AP6:OFFSET(AP6,horizon,0),"&lt;&gt;#N/A")</f>
        <v>0.10494222492515591</v>
      </c>
      <c r="AQ3" s="297">
        <f ca="1">SUMIF(AQ6:OFFSET(AQ6,horizon,0),"&lt;&gt;#N/A")</f>
        <v>9.7801094323345644E-3</v>
      </c>
      <c r="AR3" s="297">
        <f ca="1">SUMIF(AR6:OFFSET(AR6,horizon,0),"&lt;&gt;#N/A")</f>
        <v>1.6370551995302305</v>
      </c>
      <c r="AS3" s="1"/>
      <c r="AT3" s="1"/>
      <c r="AU3" s="298">
        <f ca="1">SUMIF(AU6:OFFSET(AU6,horizon,0),"&lt;&gt;#N/A")</f>
        <v>31466.313458897886</v>
      </c>
      <c r="AV3" s="297">
        <f ca="1">SUMIF(AV6:OFFSET(AV6,horizon,0),"&lt;&gt;#N/A")</f>
        <v>20.954782743204778</v>
      </c>
      <c r="AW3" s="297">
        <f ca="1">SUMIF(AW6:OFFSET(AW6,horizon,0),"&lt;&gt;#N/A")</f>
        <v>22.144529360699739</v>
      </c>
      <c r="AY3" s="15" t="s">
        <v>25</v>
      </c>
      <c r="AZ3" s="15"/>
      <c r="BA3" s="301">
        <f ca="1">SUMIF(BA6:OFFSET(BA6,horizon,0),"&lt;&gt;#N/A")</f>
        <v>0.37094616662593655</v>
      </c>
      <c r="BB3" s="301">
        <f ca="1">SUMIF(BB6:OFFSET(BB6,horizon,0),"&lt;&gt;#N/A")</f>
        <v>0.36433797894880121</v>
      </c>
      <c r="BC3" s="301">
        <f ca="1">SUMIF(BC6:OFFSET(BC6,horizon,0),"&lt;&gt;#N/A")</f>
        <v>0.37342528518898194</v>
      </c>
      <c r="BD3" s="301">
        <f ca="1">SUMIF(BD6:OFFSET(BD6,horizon,0),"&lt;&gt;#N/A")</f>
        <v>6.8998553094447385E-2</v>
      </c>
      <c r="BE3" s="301">
        <f ca="1">SUMIF(BE6:OFFSET(BE6,horizon,0),"&lt;&gt;#N/A")</f>
        <v>0.36280792451708987</v>
      </c>
      <c r="BF3" s="301">
        <f ca="1">SUMIF(BF6:OFFSET(BF6,horizon,0),"&lt;&gt;#N/A")</f>
        <v>0.13069581010781628</v>
      </c>
      <c r="BG3" s="301">
        <f ca="1">SUMIF(BG6:OFFSET(BG6,horizon,0),"&lt;&gt;#N/A")</f>
        <v>0.46130217245106542</v>
      </c>
      <c r="BH3" s="301">
        <f ca="1">SUMIF(BH6:OFFSET(BH6,horizon,0),"&lt;&gt;#N/A")</f>
        <v>3.4286698413520694E-2</v>
      </c>
      <c r="BI3" s="301">
        <f ca="1">SUMIF(BI6:OFFSET(BI6,horizon,0),"&lt;&gt;#N/A")</f>
        <v>0.1009877733854886</v>
      </c>
      <c r="BJ3" s="301">
        <f ca="1">SUMIF(BJ6:OFFSET(BJ6,horizon,0),"&lt;&gt;#N/A")</f>
        <v>33.056077016960067</v>
      </c>
      <c r="BK3" s="301">
        <f ca="1">SUMIF(BK6:OFFSET(BK6,horizon,0),"&lt;&gt;#N/A")</f>
        <v>0.11156739635263356</v>
      </c>
      <c r="BL3" s="301">
        <f ca="1">SUMIF(BL6:OFFSET(BL6,horizon,0),"&lt;&gt;#N/A")</f>
        <v>1.0293888493049278E-2</v>
      </c>
      <c r="BM3" s="301">
        <f ca="1">SUMIF(BM6:OFFSET(BM6,horizon,0),"&lt;&gt;#N/A")</f>
        <v>1.7504020701431946</v>
      </c>
      <c r="BN3" s="16"/>
      <c r="BO3" s="16"/>
      <c r="BP3" s="302">
        <f ca="1">SUMIF(BP6:OFFSET(BP6,horizon,0),"&lt;&gt;#N/A")</f>
        <v>33546.919968463008</v>
      </c>
      <c r="BQ3" s="301">
        <f ca="1">SUMIF(BQ6:OFFSET(BQ6,horizon,0),"&lt;&gt;#N/A")</f>
        <v>20.932605415074452</v>
      </c>
      <c r="BR3" s="301">
        <f ca="1">SUMIF(BR6:OFFSET(BR6,horizon,0),"&lt;&gt;#N/A")</f>
        <v>22.139092314168693</v>
      </c>
      <c r="BS3" s="35"/>
      <c r="BU3" s="270" t="s">
        <v>188</v>
      </c>
      <c r="BV3" s="264"/>
      <c r="BW3" s="264"/>
      <c r="BX3" s="264"/>
      <c r="BY3" s="264"/>
      <c r="BZ3" s="264"/>
      <c r="CA3" s="264"/>
      <c r="CD3" t="s">
        <v>229</v>
      </c>
      <c r="CH3" s="3" t="s">
        <v>322</v>
      </c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193" t="s">
        <v>323</v>
      </c>
    </row>
    <row r="4" spans="1:105" ht="15" customHeight="1" x14ac:dyDescent="0.2">
      <c r="B4" s="20" t="s">
        <v>3</v>
      </c>
      <c r="C4" s="20"/>
      <c r="E4" s="26"/>
      <c r="F4" s="27" t="s">
        <v>20</v>
      </c>
      <c r="G4" s="27" t="s">
        <v>21</v>
      </c>
      <c r="H4" s="27" t="s">
        <v>22</v>
      </c>
      <c r="I4" s="28" t="s">
        <v>152</v>
      </c>
      <c r="K4" s="252" t="s">
        <v>146</v>
      </c>
      <c r="L4" s="253">
        <f>SUM(Parameters!C19:C22)</f>
        <v>657.5</v>
      </c>
      <c r="M4" s="13" t="s">
        <v>26</v>
      </c>
      <c r="N4" s="243">
        <v>0.2</v>
      </c>
      <c r="Q4" s="8" t="str">
        <f>B37</f>
        <v>Prevalence</v>
      </c>
      <c r="R4" s="8"/>
      <c r="S4" s="8" t="str">
        <f>B42</f>
        <v>Pathogenicity</v>
      </c>
      <c r="T4" s="8"/>
      <c r="U4" s="8" t="str">
        <f>B56</f>
        <v>Intervention/Behavior - TEST</v>
      </c>
      <c r="V4" s="8"/>
      <c r="W4" s="8"/>
      <c r="X4" s="13" t="s">
        <v>175</v>
      </c>
      <c r="Y4" s="13" t="s">
        <v>176</v>
      </c>
      <c r="Z4" s="13" t="s">
        <v>178</v>
      </c>
      <c r="AA4" s="13" t="s">
        <v>177</v>
      </c>
      <c r="AD4" s="13" t="s">
        <v>118</v>
      </c>
      <c r="AE4" s="13" t="s">
        <v>191</v>
      </c>
      <c r="AF4" s="13" t="s">
        <v>175</v>
      </c>
      <c r="AG4" s="13" t="s">
        <v>176</v>
      </c>
      <c r="AH4" s="13" t="s">
        <v>174</v>
      </c>
      <c r="AI4" s="13" t="s">
        <v>185</v>
      </c>
      <c r="AJ4" s="13"/>
      <c r="AK4" s="13"/>
      <c r="AL4" s="13"/>
      <c r="AM4" s="13"/>
      <c r="AN4" s="13"/>
      <c r="AO4" s="13"/>
      <c r="AP4" s="13" t="s">
        <v>23</v>
      </c>
      <c r="AQ4" s="13" t="s">
        <v>24</v>
      </c>
      <c r="AR4" s="13" t="s">
        <v>17</v>
      </c>
      <c r="AS4" s="13" t="s">
        <v>18</v>
      </c>
      <c r="AT4" s="13" t="s">
        <v>19</v>
      </c>
      <c r="AU4" s="13" t="s">
        <v>20</v>
      </c>
      <c r="AV4" s="13" t="s">
        <v>21</v>
      </c>
      <c r="AW4" s="13" t="s">
        <v>22</v>
      </c>
      <c r="AY4" s="13" t="s">
        <v>118</v>
      </c>
      <c r="AZ4" s="13" t="s">
        <v>191</v>
      </c>
      <c r="BA4" s="13" t="s">
        <v>175</v>
      </c>
      <c r="BB4" s="13" t="s">
        <v>176</v>
      </c>
      <c r="BC4" s="13" t="s">
        <v>174</v>
      </c>
      <c r="BD4" s="13" t="s">
        <v>185</v>
      </c>
      <c r="BE4" s="13"/>
      <c r="BF4" s="13"/>
      <c r="BG4" s="13"/>
      <c r="BH4" s="13"/>
      <c r="BI4" s="13"/>
      <c r="BJ4" s="13"/>
      <c r="BK4" s="13" t="s">
        <v>23</v>
      </c>
      <c r="BL4" s="13" t="s">
        <v>24</v>
      </c>
      <c r="BM4" s="13" t="s">
        <v>17</v>
      </c>
      <c r="BN4" s="13" t="s">
        <v>18</v>
      </c>
      <c r="BO4" s="13" t="s">
        <v>19</v>
      </c>
      <c r="BP4" s="13" t="s">
        <v>20</v>
      </c>
      <c r="BQ4" s="13" t="s">
        <v>21</v>
      </c>
      <c r="BR4" s="13" t="s">
        <v>22</v>
      </c>
      <c r="BS4" s="35"/>
      <c r="BU4" s="340" t="s">
        <v>189</v>
      </c>
      <c r="BV4" s="340"/>
      <c r="BW4" s="340" t="s">
        <v>190</v>
      </c>
      <c r="BX4" s="340"/>
      <c r="BY4" s="340"/>
      <c r="BZ4" s="340"/>
      <c r="CA4" s="340"/>
      <c r="CD4" s="292" t="s">
        <v>191</v>
      </c>
      <c r="CE4" s="292" t="s">
        <v>228</v>
      </c>
      <c r="CH4" s="288"/>
      <c r="CI4" s="8"/>
      <c r="CJ4" s="374" t="s">
        <v>4</v>
      </c>
      <c r="CK4" s="288"/>
      <c r="CL4" s="288"/>
      <c r="CM4" s="288"/>
      <c r="CN4" s="288"/>
      <c r="CO4" s="288"/>
      <c r="CP4" s="288"/>
      <c r="CQ4" s="288"/>
      <c r="CR4" s="288"/>
      <c r="CS4" s="288"/>
      <c r="CT4" s="288"/>
      <c r="CU4" s="288"/>
      <c r="CV4" s="288"/>
      <c r="CW4" s="288"/>
      <c r="CX4" s="288"/>
      <c r="CY4" s="288"/>
      <c r="CZ4" s="288"/>
      <c r="DA4" s="288"/>
    </row>
    <row r="5" spans="1:105" ht="15" customHeight="1" x14ac:dyDescent="0.2">
      <c r="B5" s="21" t="s">
        <v>16</v>
      </c>
      <c r="C5" s="21"/>
      <c r="E5" s="26" t="s">
        <v>43</v>
      </c>
      <c r="F5" s="164">
        <f ca="1">AU3</f>
        <v>31466.313458897886</v>
      </c>
      <c r="G5" s="303">
        <f t="shared" ref="G5:H5" ca="1" si="0">AV3</f>
        <v>20.954782743204778</v>
      </c>
      <c r="H5" s="303">
        <f t="shared" ca="1" si="0"/>
        <v>22.144529360699739</v>
      </c>
      <c r="I5" s="30"/>
      <c r="K5" s="34" t="s">
        <v>132</v>
      </c>
      <c r="L5" s="254">
        <f>ppn_util_bc</f>
        <v>0.75</v>
      </c>
      <c r="M5" s="296"/>
      <c r="N5" s="34"/>
      <c r="AD5" s="12"/>
      <c r="AE5" s="12"/>
      <c r="AF5" s="12"/>
      <c r="AG5" s="12"/>
      <c r="AH5" s="12"/>
      <c r="AI5" s="266" t="s">
        <v>179</v>
      </c>
      <c r="AJ5" s="266" t="s">
        <v>180</v>
      </c>
      <c r="AK5" s="266" t="s">
        <v>181</v>
      </c>
      <c r="AL5" s="266" t="s">
        <v>182</v>
      </c>
      <c r="AM5" s="266" t="s">
        <v>183</v>
      </c>
      <c r="AN5" s="266" t="s">
        <v>184</v>
      </c>
      <c r="AO5" s="13" t="s">
        <v>217</v>
      </c>
      <c r="AP5" s="12"/>
      <c r="AQ5" s="12"/>
      <c r="AR5" s="12"/>
      <c r="AS5" s="12"/>
      <c r="AT5" s="12"/>
      <c r="AU5" s="12"/>
      <c r="AV5" s="12"/>
      <c r="AW5" s="12"/>
      <c r="BA5" s="12"/>
      <c r="BB5" s="12"/>
      <c r="BC5" s="12"/>
      <c r="BD5" s="13" t="s">
        <v>179</v>
      </c>
      <c r="BE5" s="13" t="s">
        <v>180</v>
      </c>
      <c r="BF5" s="13" t="s">
        <v>181</v>
      </c>
      <c r="BG5" s="13" t="s">
        <v>182</v>
      </c>
      <c r="BH5" s="13" t="s">
        <v>183</v>
      </c>
      <c r="BI5" s="13" t="s">
        <v>184</v>
      </c>
      <c r="BJ5" s="13" t="s">
        <v>217</v>
      </c>
      <c r="BK5" s="12"/>
      <c r="BL5" s="12"/>
      <c r="BM5" s="12"/>
      <c r="BN5" s="12"/>
      <c r="BO5" s="12"/>
      <c r="BS5" s="35"/>
      <c r="BU5" s="265"/>
      <c r="BV5" s="265"/>
      <c r="BW5" s="267"/>
      <c r="BX5" s="268"/>
      <c r="BY5" s="268"/>
      <c r="BZ5" s="268"/>
      <c r="CA5" s="268"/>
      <c r="CD5" s="138">
        <v>0</v>
      </c>
      <c r="CE5" s="291">
        <v>5.313E-3</v>
      </c>
      <c r="CH5" s="12" t="s">
        <v>321</v>
      </c>
      <c r="CI5" s="12" t="s">
        <v>301</v>
      </c>
      <c r="CJ5" s="375" t="s">
        <v>317</v>
      </c>
      <c r="CK5" s="12" t="s">
        <v>320</v>
      </c>
      <c r="CL5" s="12" t="s">
        <v>319</v>
      </c>
      <c r="CM5" s="12" t="s">
        <v>101</v>
      </c>
      <c r="CN5" s="12" t="s">
        <v>103</v>
      </c>
      <c r="CO5" s="12" t="s">
        <v>324</v>
      </c>
      <c r="CP5" s="12" t="s">
        <v>37</v>
      </c>
      <c r="CQ5" s="12" t="s">
        <v>325</v>
      </c>
      <c r="CR5" s="12" t="s">
        <v>32</v>
      </c>
      <c r="CS5" s="285" t="s">
        <v>318</v>
      </c>
      <c r="CT5" s="12" t="s">
        <v>320</v>
      </c>
      <c r="CU5" s="12" t="s">
        <v>319</v>
      </c>
      <c r="CV5" s="12" t="s">
        <v>101</v>
      </c>
      <c r="CW5" s="12" t="s">
        <v>103</v>
      </c>
      <c r="CX5" s="12" t="s">
        <v>324</v>
      </c>
      <c r="CY5" s="12" t="s">
        <v>37</v>
      </c>
      <c r="CZ5" s="12" t="s">
        <v>325</v>
      </c>
      <c r="DA5" s="12" t="s">
        <v>32</v>
      </c>
    </row>
    <row r="6" spans="1:105" ht="15" customHeight="1" x14ac:dyDescent="0.2">
      <c r="B6" s="22" t="s">
        <v>25</v>
      </c>
      <c r="C6" s="22"/>
      <c r="E6" s="26" t="s">
        <v>44</v>
      </c>
      <c r="F6" s="164">
        <f ca="1">BP3</f>
        <v>33546.919968463008</v>
      </c>
      <c r="G6" s="303">
        <f t="shared" ref="G6:H6" ca="1" si="1">BQ3</f>
        <v>20.932605415074452</v>
      </c>
      <c r="H6" s="303">
        <f t="shared" ca="1" si="1"/>
        <v>22.139092314168693</v>
      </c>
      <c r="I6" s="306">
        <f ca="1">F7/G7</f>
        <v>-93816.824882527711</v>
      </c>
      <c r="K6" s="34" t="s">
        <v>80</v>
      </c>
      <c r="L6" s="254">
        <f>pen_bc</f>
        <v>0.875</v>
      </c>
      <c r="M6" s="8"/>
      <c r="N6" s="34"/>
      <c r="U6" s="9" t="s">
        <v>7</v>
      </c>
      <c r="V6" s="250">
        <f>boc_unk_int_mast*boc_test_int_path_mast</f>
        <v>0.05</v>
      </c>
      <c r="X6" s="261">
        <f>R12*T7*V6</f>
        <v>1.8460782316294028E-4</v>
      </c>
      <c r="AD6" s="12">
        <v>0</v>
      </c>
      <c r="AE6" s="12">
        <f t="shared" ref="AE6:AE37" si="2">age+AD6</f>
        <v>45</v>
      </c>
      <c r="AF6" s="260">
        <f>SUM(X6:X54)</f>
        <v>1.0918895026000002E-2</v>
      </c>
      <c r="AG6" s="260">
        <f>SUM(Y6:Y54)</f>
        <v>1.0459447513000002E-2</v>
      </c>
      <c r="AH6" s="260">
        <f>SUM(Z6:Z54)</f>
        <v>1.0365303867000001E-2</v>
      </c>
      <c r="AI6" s="289">
        <f>AA9</f>
        <v>3.3229408169329249E-3</v>
      </c>
      <c r="AJ6" s="289">
        <f>AA14</f>
        <v>9.8900391553325591E-3</v>
      </c>
      <c r="AK6" s="289">
        <f>AA24</f>
        <v>4.2250450284893699E-3</v>
      </c>
      <c r="AL6" s="289">
        <f>AA29</f>
        <v>1.2574963884963618E-2</v>
      </c>
      <c r="AM6" s="289">
        <f>AA39</f>
        <v>9.2494229457770695E-4</v>
      </c>
      <c r="AN6" s="289">
        <f>AA44</f>
        <v>2.7528975127038245E-3</v>
      </c>
      <c r="AO6" s="260">
        <f>AA19+AA34+AA49+AA54</f>
        <v>0.93456552490099998</v>
      </c>
      <c r="AP6" s="290">
        <v>0</v>
      </c>
      <c r="AQ6" s="290">
        <v>0</v>
      </c>
      <c r="AR6" s="290">
        <v>0</v>
      </c>
      <c r="AS6" s="290">
        <v>0</v>
      </c>
      <c r="AT6" s="260">
        <f>SUM(AF6:AS6)</f>
        <v>1</v>
      </c>
      <c r="AU6" s="118">
        <f>L4+(boc_cost_mast*SUM(AI6,AK6,AM6)*(boc_tr_mast_path+boc_tr_both_path)+SUM(AJ6,AL6,AN6)*(boc_tr_mast_vus+boc_tr_both_vus)+AP6*boc_cost_bc+AQ6*boc_cost_oc+AR6*boc_cost_pc+(AP6*VLOOKUP(AE6,boc_trpr_bc_death,20,TRUE)+AQ6*VLOOKUP(AE6,boc_trpr_oc_death,TRUE)*boc_cost_death))/((1+discount)^AD6)</f>
        <v>710.8650232157753</v>
      </c>
      <c r="AV6" s="35">
        <f t="shared" ref="AV6:AV37" si="3">(SUM(AF6:AH6)*boc_util_int+SUM(AI6:AN6)*boc_util_no_v+AO6*boc_util_no_nv+SUM(AP6:AQ6)*boc_util_c+AR6*boc_util_pc-SUM(AI6,AK6,AM6)*(boc_tr_mast_path*boc_disutil_mast+boc_tr_ooph_path*boc_disutil_ooph+boc_tr_both_path*boc_disutil_both)-SUM(AJ6,AL6,AN6)*(boc_tr_mast_vus*boc_disutil_mast+boc_tr_ooph_vus*boc_disutil_ooph+boc_tr_both_vus*boc_disutil_both))/((1+discount)^AD6)</f>
        <v>0.94932417458746998</v>
      </c>
      <c r="AW6" s="35">
        <f t="shared" ref="AW6:AW37" si="4">(1-AS6)/((1+discount)^AD6)</f>
        <v>1</v>
      </c>
      <c r="AY6" s="12">
        <v>0</v>
      </c>
      <c r="AZ6" s="12">
        <f t="shared" ref="AZ6:AZ37" si="5">age+AY6</f>
        <v>45</v>
      </c>
      <c r="BA6" s="260">
        <f>SUM(X57:X105)</f>
        <v>1.0000000000000002E-2</v>
      </c>
      <c r="BB6" s="260">
        <f>SUM(Y57:Y105)</f>
        <v>1.0000000000000002E-2</v>
      </c>
      <c r="BC6" s="260">
        <f>SUM(Z57:Z105)</f>
        <v>1.0000000000000002E-2</v>
      </c>
      <c r="BD6" s="260">
        <f>AA60</f>
        <v>3.5813917693610412E-3</v>
      </c>
      <c r="BE6" s="260">
        <f>AA65</f>
        <v>1.0315417183518907E-2</v>
      </c>
      <c r="BF6" s="260">
        <f>AA75</f>
        <v>4.5536596418163204E-3</v>
      </c>
      <c r="BG6" s="260">
        <f>AA80</f>
        <v>1.3115822546682483E-2</v>
      </c>
      <c r="BH6" s="260">
        <f>AA90</f>
        <v>9.9688225082263972E-4</v>
      </c>
      <c r="BI6" s="260">
        <f>AA95</f>
        <v>2.8713017067986128E-3</v>
      </c>
      <c r="BJ6" s="261">
        <f>AA70+AA85+AA100+AA105</f>
        <v>0.93456552490099998</v>
      </c>
      <c r="BK6" s="12">
        <v>0</v>
      </c>
      <c r="BL6" s="12">
        <v>0</v>
      </c>
      <c r="BM6" s="12">
        <v>0</v>
      </c>
      <c r="BN6" s="12">
        <v>0</v>
      </c>
      <c r="BO6" s="260">
        <f>SUM(BA6:BN6)</f>
        <v>1</v>
      </c>
      <c r="BP6" s="118">
        <f>(boc_cost_mast*SUM(BD6,BF6,BH6)*(boc_tr_mast_path+boc_tr_both_path)+SUM(BE6,BG6,BI6)*(boc_tr_mast_vus+boc_tr_both_vus)+BK6*boc_cost_bc+BL6*boc_cost_oc+BM6*boc_cost_pc+(BK6*VLOOKUP(AZ6,boc_trpr_bc_death,20,TRUE)+BL6*VLOOKUP(AZ6,boc_trpr_oc_death,TRUE)*boc_cost_death))/((1+discount)^AY6)</f>
        <v>57.515548457419712</v>
      </c>
      <c r="BQ6" s="35">
        <f t="shared" ref="BQ6:BQ37" si="6">(SUM(BA6:BC6)*boc_util_int+SUM(BD6:BJ6)*boc_util_no_nv+SUM(BK6:BL6)*boc_util_c+BM6*boc_util_pc-SUM(BD6,BF6,BH6)*(boc_tr_mast_path*boc_disutil_mast+boc_tr_ooph_path*boc_disutil_ooph+boc_tr_both_path*boc_disutil_both)-SUM(BE6,BG6,BI6)*(boc_tr_mast_vus*boc_disutil_mast+boc_tr_ooph_vus*boc_disutil_ooph+boc_tr_both_vus*boc_disutil_both))/((1+discount)^AY6)</f>
        <v>0.94928037790252995</v>
      </c>
      <c r="BR6" s="35">
        <f t="shared" ref="BR6:BR37" si="7">(1-BN6)/((1+discount)^AY6)</f>
        <v>1</v>
      </c>
      <c r="BS6" s="35"/>
      <c r="BU6" s="265"/>
      <c r="BV6" s="265"/>
      <c r="BW6" s="267"/>
      <c r="BX6" s="268"/>
      <c r="BY6" s="268"/>
      <c r="BZ6" s="268"/>
      <c r="CA6" s="268"/>
      <c r="CD6" s="138">
        <v>1</v>
      </c>
      <c r="CE6" s="291">
        <v>3.4499999999999998E-4</v>
      </c>
      <c r="CH6" s="12">
        <v>19</v>
      </c>
      <c r="CI6" s="12" t="s">
        <v>302</v>
      </c>
      <c r="CJ6" s="376">
        <v>0.2</v>
      </c>
      <c r="CK6" s="260">
        <f>CJ6/100000</f>
        <v>1.9999999999999999E-6</v>
      </c>
      <c r="CL6" s="289">
        <f>1-EXP(-CK6)</f>
        <v>1.9999979999907325E-6</v>
      </c>
      <c r="CM6" s="289">
        <f>1-EXP(-(CK6-z*(SQRT((CK6*(1-CK6))/100000))))</f>
        <v>-6.7652395245865193E-6</v>
      </c>
      <c r="CN6" s="289">
        <f>1-EXP(-(CK6+z*(SQRT((CK6*(1-CK6))/100000))))</f>
        <v>1.0765158695802413E-5</v>
      </c>
      <c r="CO6" s="290">
        <f>CL6^2*(1-CL6)/((CN6-CM6)/(2*z))^2-CL6</f>
        <v>0.19999839999736069</v>
      </c>
      <c r="CP6" s="290">
        <f>(CL6^2*(1-CL6)/((CN6-CM6)/(2*z))^2-CL6)*(1-CL6)/CL6</f>
        <v>99999.10000004372</v>
      </c>
      <c r="CQ6" s="289">
        <f ca="1">_xlfn.BETA.INV(RAND(),CO6,CP6)</f>
        <v>6.8305583305061646E-6</v>
      </c>
      <c r="CR6" s="289">
        <f>IF(psa,CQ6,CL6)</f>
        <v>1.9999979999907325E-6</v>
      </c>
      <c r="CS6" s="373">
        <v>0</v>
      </c>
      <c r="CT6" s="12">
        <f>CS6/100000</f>
        <v>0</v>
      </c>
      <c r="CU6" s="289">
        <f>1-EXP(-CT6)</f>
        <v>0</v>
      </c>
      <c r="CV6" s="289">
        <f>1-EXP(-(CT6-z*(SQRT((CT6*(1-CT6))/100000))))</f>
        <v>0</v>
      </c>
      <c r="CW6" s="289">
        <f>1-EXP(-(CT6+z*(SQRT((CT6*(1-CT6))/100000))))</f>
        <v>0</v>
      </c>
      <c r="CX6" s="290" t="e">
        <f>CU6^2*(1-CU6)/((CW6-CV6)/(2*z))^2-CU6</f>
        <v>#DIV/0!</v>
      </c>
      <c r="CY6" s="290" t="e">
        <f>(CU6^2*(1-CU6)/((CW6-CV6)/(2*z))^2-CU6)*(1-CU6)/CU6</f>
        <v>#DIV/0!</v>
      </c>
      <c r="CZ6" s="289">
        <v>0</v>
      </c>
      <c r="DA6" s="289">
        <f>IF(psa,CZ6,CU6)</f>
        <v>0</v>
      </c>
    </row>
    <row r="7" spans="1:105" ht="15" customHeight="1" thickBot="1" x14ac:dyDescent="0.25">
      <c r="B7" s="269" t="s">
        <v>187</v>
      </c>
      <c r="C7" s="269"/>
      <c r="E7" s="31" t="s">
        <v>45</v>
      </c>
      <c r="F7" s="304">
        <f ca="1">F5-F6</f>
        <v>-2080.6065095651211</v>
      </c>
      <c r="G7" s="305">
        <f t="shared" ref="G7:H7" ca="1" si="8">G5-G6</f>
        <v>2.2177328130325691E-2</v>
      </c>
      <c r="H7" s="305">
        <f t="shared" ca="1" si="8"/>
        <v>5.4370465310462635E-3</v>
      </c>
      <c r="I7" s="32"/>
      <c r="K7" s="34" t="s">
        <v>79</v>
      </c>
      <c r="L7" s="255">
        <f>prev_bc</f>
        <v>0.1</v>
      </c>
      <c r="M7" s="34"/>
      <c r="N7" s="34"/>
      <c r="S7" s="9" t="s">
        <v>11</v>
      </c>
      <c r="T7" s="251">
        <f>boc_path_high_path</f>
        <v>9.4143645999999997E-2</v>
      </c>
      <c r="U7" s="9" t="s">
        <v>8</v>
      </c>
      <c r="V7" s="250">
        <f>boc_unk_int_ooph*boc_test_int_path_ooph</f>
        <v>0.03</v>
      </c>
      <c r="Y7" s="261">
        <f>R12*T7*V7</f>
        <v>1.1076469389776416E-4</v>
      </c>
      <c r="AD7" s="12">
        <v>1</v>
      </c>
      <c r="AE7" s="12">
        <f t="shared" si="2"/>
        <v>46</v>
      </c>
      <c r="AF7" s="260">
        <f>AF6*(1-VLOOKUP(AE7,boc_trpr_bc,11,TRUE)*boc_rr_bc_mast-VLOOKUP(AE7,boc_trpr_oc,11,TRUE)*boc_rr_oc_mast-VLOOKUP(AE7,mortt,2,FALSE))+SUM(AI6,AK6,AM6)*boc_tr_mast_path+SUM(AJ6,AL6,AN6)*boc_tr_mast_vus</f>
        <v>1.4271919151153931E-2</v>
      </c>
      <c r="AG7" s="260">
        <f>AG6*(1-VLOOKUP(AE7,boc_trpr_bc,11,TRUE)*boc_rr_bc_ooph-VLOOKUP(AE7,boc_trpr_oc,11,TRUE)*boc_rr_oc_ooph-VLOOKUP(AE7,mortt,2,FALSE))+SUM(AI6,AK6,AM6)*boc_tr_ooph_path+SUM(AJ6,AL6,AN6)*boc_tr_ooph_vus</f>
        <v>1.3809093308987693E-2</v>
      </c>
      <c r="AH7" s="260">
        <f>AH6*(1-VLOOKUP(AE7,boc_trpr_bc,11,TRUE)*boc_rr_bc_both-VLOOKUP(AE7,boc_trpr_oc,11,TRUE)*boc_rr_oc_both-VLOOKUP(AE7,mortt,2,FALSE))+SUM(AI6,AK6,AM6)*boc_tr_both_path+SUM(AJ6,AL6,AN6)*boc_tr_both_vus</f>
        <v>1.3721061815744716E-2</v>
      </c>
      <c r="AI7" s="289">
        <f>AI6*(1-VLOOKUP(AE7,boc_trpr_bc,11,TRUE)*boc_rr_bc_hip-VLOOKUP(AE7,boc_trpr_oc,11,TRUE)*boc_rr_oc_hip-boc_tr_mast_path-boc_tr_ooph_path-boc_tr_both_path-VLOOKUP(AE7,mortt,2,FALSE))</f>
        <v>7.5793736740553219E-4</v>
      </c>
      <c r="AJ7" s="289">
        <f>AJ6*(1-VLOOKUP(AE7,boc_trpr_bc,11,TRUE)*boc_rr_bc_hiv-VLOOKUP(AE7,boc_trpr_oc,11,TRUE)*boc_rr_oc_hiv-boc_tr_mast_vus-boc_tr_ooph_vus-boc_tr_both_vus-VLOOKUP(AE7,mortt,2,FALSE))</f>
        <v>8.3706742951261126E-3</v>
      </c>
      <c r="AK7" s="289">
        <f>AK6*(1-VLOOKUP(AE7,boc_trpr_bc,11,TRUE)*boc_rr_bc_modp-VLOOKUP(AE7,boc_trpr_oc,11,TRUE)*boc_rr_oc_modp-boc_tr_mast_path-boc_tr_ooph_path-boc_tr_both_path-VLOOKUP(AE7,mortt,2,FALSE))</f>
        <v>1.0192700671992629E-3</v>
      </c>
      <c r="AL7" s="289">
        <f>AL6*(1-VLOOKUP(AE7,boc_trpr_bc,11,TRUE)*boc_rr_bc_modv-VLOOKUP(AE7,boc_trpr_oc,11,TRUE)*boc_rr_oc_modv-boc_tr_mast_vus-boc_tr_ooph_vus-boc_tr_both_vus-VLOOKUP(AE7,mortt,2,FALSE))</f>
        <v>1.0643125401303296E-2</v>
      </c>
      <c r="AM7" s="289">
        <f>AM6*(1-VLOOKUP(AE7,boc_trpr_bc,11,TRUE)*boc_rr_bc_lop-VLOOKUP(AE7,boc_trpr_oc,11,TRUE)*boc_rr_oc_lop-boc_tr_mast_path-boc_tr_ooph_path-boc_tr_both_path-VLOOKUP(AE7,mortt,2,FALSE))</f>
        <v>2.2739533775829245E-4</v>
      </c>
      <c r="AN7" s="289">
        <f>AN6*(1-VLOOKUP(AE7,boc_trpr_bc,11,TRUE)*boc_rr_bc_lov-VLOOKUP(AE7,boc_trpr_oc,11,TRUE)*boc_rr_oc_lov-boc_tr_mast_vus-boc_tr_ooph_vus-boc_tr_both_vus-VLOOKUP(AE7,mortt,2,FALSE))</f>
        <v>2.3299815182512952E-3</v>
      </c>
      <c r="AO7" s="260">
        <f>AO6*(1-VLOOKUP(AE7,boc_trpr_bc,11,TRUE)*boc_rr_bc_np-VLOOKUP(AE7,boc_trpr_oc,11,TRUE)*boc_rr_oc_np-VLOOKUP(AE7,mortt,2,FALSE))</f>
        <v>0.93129992531281147</v>
      </c>
      <c r="AP7" s="260">
        <f>AF6*VLOOKUP(AE7,boc_trpr_bc,11,TRUE)*boc_rr_bc_mast+AG6*VLOOKUP(AE7,boc_trpr_bc,11,TRUE)*boc_rr_bc_ooph+AH6*VLOOKUP(AE7,boc_trpr_bc,11,TRUE)*boc_rr_bc_both+AI6*VLOOKUP(AE7,boc_trpr_bc,11,TRUE)*boc_rr_bc_hip+AJ6*VLOOKUP(AE7,boc_trpr_bc,11,TRUE)*boc_rr_bc_hiv+AK6*VLOOKUP(AE7,boc_trpr_bc,11,TRUE)*boc_rr_bc_modp+AL6*VLOOKUP(AE7,boc_trpr_bc,11,TRUE)*boc_rr_bc_modv+AM6*VLOOKUP(AE7,boc_trpr_bc,11,TRUE)*boc_rr_bc_lop+AN6*VLOOKUP(AE7,boc_trpr_bc,11,TRUE)*boc_rr_bc_lov+AO6*VLOOKUP(AE7,boc_trpr_bc,11,TRUE)*boc_rr_bc_np</f>
        <v>1.2772673372323505E-3</v>
      </c>
      <c r="AQ7" s="260">
        <f>AF6*VLOOKUP(AE7,boc_trpr_oc,11,TRUE)*boc_rr_oc_mast+AG6*VLOOKUP(AE7,boc_trpr_oc,11,TRUE)*boc_rr_oc_ooph+AH6*VLOOKUP(AE7,boc_trpr_oc,11,TRUE)*boc_rr_oc_both+AI6*VLOOKUP(AE7,boc_trpr_oc,11,TRUE)*boc_rr_oc_hip+AJ6*VLOOKUP(AE7,boc_trpr_oc,11,TRUE)*boc_rr_oc_hiv+AK6*VLOOKUP(AE7,boc_trpr_oc,11,TRUE)*boc_rr_oc_modp+AL6*VLOOKUP(AE7,boc_trpr_oc,11,TRUE)*boc_rr_oc_modv+AM6*VLOOKUP(AE7,boc_trpr_oc,11,TRUE)*boc_rr_oc_lop+AN6*VLOOKUP(AE7,boc_trpr_oc,11,TRUE)*boc_rr_oc_lov+AO6*VLOOKUP(AE7,boc_trpr_oc,11,TRUE)*boc_rr_oc_np</f>
        <v>9.3349087025960823E-5</v>
      </c>
      <c r="AR7" s="260">
        <f>AP6*(1-VLOOKUP(AE7,boc_trpr_bc_death,20,TRUE))+AQ6*(1-VLOOKUP(AE7,boc_trpr_oc_death,20,TRUE))+AR6*(1-VLOOKUP(AE7,mortt,2,FALSE)*boc_rr_death_pc)</f>
        <v>0</v>
      </c>
      <c r="AS7" s="260">
        <f>AS6+SUM(AF6:AO6)*VLOOKUP(AE7,mortt,2,FALSE)+AP6*VLOOKUP(AE7,boc_trpr_bc_death,20,TRUE)+AQ6*VLOOKUP(AE7,boc_trpr_bc_death,20,TRUE)+AR6*VLOOKUP(AE7,mortt,2,FALSE)*boc_rr_death_pc</f>
        <v>2.1789999999999999E-3</v>
      </c>
      <c r="AT7" s="260">
        <f>SUM(AF7:AS7)</f>
        <v>0.99999999999999989</v>
      </c>
      <c r="AU7" s="118">
        <f>(boc_cost_mast*SUM(AI7,AK7,AM7)*(boc_tr_mast_path+boc_tr_both_path)+SUM(AJ7,AL7,AN7)*(boc_tr_mast_vus+boc_tr_both_vus)+AP7*boc_cost_bc+AQ7*boc_cost_oc+AR7*boc_cost_pc+(AP7*VLOOKUP(AE7,boc_trpr_bc_death,20,TRUE)+AQ7*VLOOKUP(AE7,boc_trpr_oc_death,TRUE)*boc_cost_death))/((1+discount)^AD7)</f>
        <v>378.75640658036616</v>
      </c>
      <c r="AV7" s="35">
        <f t="shared" si="3"/>
        <v>0.91981620348116133</v>
      </c>
      <c r="AW7" s="35">
        <f t="shared" si="4"/>
        <v>0.96875825242718439</v>
      </c>
      <c r="AY7" s="12">
        <v>1</v>
      </c>
      <c r="AZ7" s="12">
        <f t="shared" si="5"/>
        <v>46</v>
      </c>
      <c r="BA7" s="260">
        <f>BA6*(1-VLOOKUP(AZ7,boc_trpr_bc,11,TRUE)*boc_rr_bc_mast-VLOOKUP(AZ7,boc_trpr_oc,11,TRUE)*boc_rr_oc_mast-VLOOKUP(AZ7,mortt,2,FALSE))</f>
        <v>9.9760937920605388E-3</v>
      </c>
      <c r="BB7" s="260">
        <f>BB6*(1-VLOOKUP(AZ7,boc_trpr_bc,11,TRUE)*boc_rr_bc_ooph-VLOOKUP(AZ7,boc_trpr_oc,11,TRUE)*boc_rr_oc_ooph-VLOOKUP(AZ7,mortt,2,FALSE))</f>
        <v>9.9718137438658538E-3</v>
      </c>
      <c r="BC7" s="260">
        <f>BC6*(1-VLOOKUP(AZ7,boc_trpr_bc,11,TRUE)*boc_rr_bc_both-VLOOKUP(AZ7,boc_trpr_oc,11,TRUE)*boc_rr_oc_both-VLOOKUP(AZ7,mortt,2,FALSE))</f>
        <v>9.9774544825649708E-3</v>
      </c>
      <c r="BD7" s="289">
        <f>BD6*(1-VLOOKUP(AZ7,boc_trpr_bc,11,TRUE)*boc_rr_bc_hip-VLOOKUP(AZ7,boc_trpr_oc,11,TRUE)*boc_rr_oc_hip-VLOOKUP(AZ7,mortt,2,FALSE))</f>
        <v>3.5029318785578544E-3</v>
      </c>
      <c r="BE7" s="289">
        <f>BE6*(1-VLOOKUP(AZ7,boc_trpr_bc,11,TRUE)*boc_rr_bc_hiv-VLOOKUP(AZ7,boc_trpr_oc,11,TRUE)*boc_rr_oc_hiv-VLOOKUP(AZ7,mortt,2,FALSE))</f>
        <v>1.027801587459486E-2</v>
      </c>
      <c r="BF7" s="289">
        <f>BF6*(1-VLOOKUP(AZ7,boc_trpr_bc,11,TRUE)*boc_rr_bc_modp-VLOOKUP(AZ7,boc_trpr_oc,11,TRUE)*boc_rr_oc_modp-VLOOKUP(AZ7,mortt,2,FALSE))</f>
        <v>4.5137913593436682E-3</v>
      </c>
      <c r="BG7" s="289">
        <f>BG6*(1-VLOOKUP(AZ7,boc_trpr_bc,11,TRUE)*boc_rr_bc_modv-VLOOKUP(AZ7,boc_trpr_oc,11,TRUE)*boc_rr_oc_modv-VLOOKUP(AZ7,mortt,2,FALSE))</f>
        <v>1.3068267617770329E-2</v>
      </c>
      <c r="BH7" s="289">
        <f>BH6*(1-VLOOKUP(AZ7,boc_trpr_bc,11,TRUE)*boc_rr_bc_lop-VLOOKUP(AZ7,boc_trpr_oc,11,TRUE)*boc_rr_oc_lop-VLOOKUP(AZ7,mortt,2,FALSE))</f>
        <v>9.927433299231393E-4</v>
      </c>
      <c r="BI7" s="289">
        <f>BI6*(1-VLOOKUP(AZ7,boc_trpr_bc,11,TRUE)*boc_rr_bc_lov-VLOOKUP(AZ7,boc_trpr_oc,11,TRUE)*boc_rr_oc_lov-VLOOKUP(AZ7,mortt,2,FALSE))</f>
        <v>2.860891033120606E-3</v>
      </c>
      <c r="BJ7" s="260">
        <f>BJ6*(1-VLOOKUP(AZ7,boc_trpr_bc,11,TRUE)*boc_rr_bc_np-VLOOKUP(AZ7,boc_trpr_oc,11,TRUE)*boc_rr_oc_np-VLOOKUP(AZ7,mortt,2,FALSE))</f>
        <v>0.93129992531281147</v>
      </c>
      <c r="BK7" s="260">
        <f>BA6*VLOOKUP(AZ7,boc_trpr_bc,11,TRUE)*boc_rr_bc_mast+BB6*VLOOKUP(AZ7,boc_trpr_bc,11,TRUE)*boc_rr_bc_ooph+BC6*VLOOKUP(AZ7,boc_trpr_bc,11,TRUE)*boc_rr_bc_both+BD6*VLOOKUP(AZ7,boc_trpr_bc,11,TRUE)*boc_rr_bc_hip+BE6*VLOOKUP(AZ7,boc_trpr_bc,11,TRUE)*boc_rr_bc_hiv+BF6*VLOOKUP(AZ7,boc_trpr_bc,11,TRUE)*boc_rr_bc_modp+BG6*VLOOKUP(AZ7,boc_trpr_bc,11,TRUE)*boc_rr_bc_modv+BH6*VLOOKUP(AZ7,boc_trpr_bc,11,TRUE)*boc_rr_bc_lop+BI6*VLOOKUP(AZ7,boc_trpr_bc,11,TRUE)*boc_rr_bc_lov+BJ6*VLOOKUP(AZ7,boc_trpr_bc,11,TRUE)*boc_rr_bc_np</f>
        <v>1.2852089814779045E-3</v>
      </c>
      <c r="BL7" s="260">
        <f>BA6*VLOOKUP(AZ7,boc_trpr_oc,11,TRUE)*boc_rr_oc_mast+BB6*VLOOKUP(AZ7,boc_trpr_oc,11,TRUE)*boc_rr_oc_ooph+BC6*VLOOKUP(AZ7,boc_trpr_oc,11,TRUE)*boc_rr_oc_both+BD6*VLOOKUP(AZ7,boc_trpr_oc,11,TRUE)*boc_rr_oc_hip+BE6*VLOOKUP(AZ7,boc_trpr_oc,11,TRUE)*boc_rr_oc_hiv+BF6*VLOOKUP(AZ7,boc_trpr_oc,11,TRUE)*boc_rr_oc_modp+BG6*VLOOKUP(AZ7,boc_trpr_oc,11,TRUE)*boc_rr_oc_modv+BH6*VLOOKUP(AZ7,boc_trpr_oc,11,TRUE)*boc_rr_oc_lop+BI6*VLOOKUP(AZ7,boc_trpr_oc,11,TRUE)*boc_rr_oc_lov+BJ6*VLOOKUP(AZ7,boc_trpr_oc,11,TRUE)*boc_rr_oc_np</f>
        <v>9.3862593908724978E-5</v>
      </c>
      <c r="BM7" s="260">
        <f>BK6*(1-VLOOKUP(AZ7,boc_trpr_bc_death,20,TRUE))+BL6*(1-VLOOKUP(AZ7,boc_trpr_oc_death,20,TRUE))+BM6*(1-VLOOKUP(AZ7,mortt,2,FALSE)*boc_rr_death_pc)</f>
        <v>0</v>
      </c>
      <c r="BN7" s="260">
        <f>BN6+SUM(BA6:BJ6)*VLOOKUP(AZ7,mortt,2,FALSE)+BK6*VLOOKUP(AZ7,boc_trpr_bc_death,20,TRUE)+BL6*VLOOKUP(AZ7,boc_trpr_bc_death,20,TRUE)+BM6*VLOOKUP(AZ7,mortt,2,FALSE)*boc_rr_death_pc</f>
        <v>2.1789999999999999E-3</v>
      </c>
      <c r="BO7" s="260">
        <f>SUM(BA7:BN7)</f>
        <v>1</v>
      </c>
      <c r="BP7" s="118">
        <f>(boc_cost_mast*SUM(BD7,BF7,BH7)*(boc_tr_mast_path+boc_tr_both_path)+SUM(BE7,BG7,BI7)*(boc_tr_mast_vus+boc_tr_both_vus)+BK7*boc_cost_bc+BL7*boc_cost_oc+BM7*boc_cost_pc+(BK7*VLOOKUP(AZ7,boc_trpr_bc_death,20,TRUE)+BL7*VLOOKUP(AZ7,boc_trpr_oc_death,TRUE)*boc_cost_death))/((1+discount)^AY7)</f>
        <v>423.67207298833654</v>
      </c>
      <c r="BQ7" s="35">
        <f t="shared" si="6"/>
        <v>0.91942771280586966</v>
      </c>
      <c r="BR7" s="35">
        <f t="shared" si="7"/>
        <v>0.96875825242718439</v>
      </c>
      <c r="BS7" s="35"/>
      <c r="BU7" s="265"/>
      <c r="BV7" s="265"/>
      <c r="BW7" s="267"/>
      <c r="BX7" s="268"/>
      <c r="BY7" s="268"/>
      <c r="BZ7" s="268"/>
      <c r="CA7" s="268"/>
      <c r="CD7" s="138">
        <v>2</v>
      </c>
      <c r="CE7" s="291">
        <v>2.1800000000000001E-4</v>
      </c>
      <c r="CH7" s="12">
        <v>24</v>
      </c>
      <c r="CI7" s="12" t="s">
        <v>303</v>
      </c>
      <c r="CJ7" s="376">
        <v>1.5</v>
      </c>
      <c r="CK7" s="260">
        <f t="shared" ref="CK7:CK20" si="9">CJ7/100000</f>
        <v>1.5E-5</v>
      </c>
      <c r="CL7" s="289">
        <f t="shared" ref="CL7:CL20" si="10">1-EXP(-CK7)</f>
        <v>1.4999887500533049E-5</v>
      </c>
      <c r="CM7" s="289">
        <f t="shared" ref="CM7:CM20" si="11">1-EXP(-(CK7-z*(SQRT((CK7*(1-CK7))/100000))))</f>
        <v>-9.0044188865157082E-6</v>
      </c>
      <c r="CN7" s="289">
        <f t="shared" ref="CN7:CN20" si="12">1-EXP(-(CK7+z*(SQRT((CK7*(1-CK7))/100000))))</f>
        <v>3.9003617686050873E-5</v>
      </c>
      <c r="CO7" s="290">
        <f t="shared" ref="CO7:CO20" si="13">CL7^2*(1-CL7)/((CN7-CM7)/(2*z))^2-CL7</f>
        <v>1.5000075001792261</v>
      </c>
      <c r="CP7" s="290">
        <f t="shared" ref="CP7:CP20" si="14">(CL7^2*(1-CL7)/((CN7-CM7)/(2*z))^2-CL7)*(1-CL7)/CL7</f>
        <v>99999.750010269665</v>
      </c>
      <c r="CQ7" s="289">
        <f t="shared" ref="CQ7:CQ20" ca="1" si="15">_xlfn.BETA.INV(RAND(),CO7,CP7)</f>
        <v>9.3614809048716404E-6</v>
      </c>
      <c r="CR7" s="289">
        <f>IF(psa,CQ7,CL7)</f>
        <v>1.4999887500533049E-5</v>
      </c>
      <c r="CS7" s="373">
        <v>0.1</v>
      </c>
      <c r="CT7" s="12">
        <f t="shared" ref="CT7:CT20" si="16">CS7/100000</f>
        <v>9.9999999999999995E-7</v>
      </c>
      <c r="CU7" s="289">
        <f t="shared" ref="CU7:CU20" si="17">1-EXP(-CT7)</f>
        <v>9.9999949998430537E-7</v>
      </c>
      <c r="CV7" s="289">
        <f t="shared" ref="CV7:CV20" si="18">1-EXP(-(CT7-z*(SQRT((CT7*(1-CT7))/100000))))</f>
        <v>-5.1979607333940692E-6</v>
      </c>
      <c r="CW7" s="289">
        <f t="shared" ref="CW7:CW20" si="19">1-EXP(-(CT7+z*(SQRT((CT7*(1-CT7))/100000))))</f>
        <v>7.1979213188688718E-6</v>
      </c>
      <c r="CX7" s="290">
        <f t="shared" ref="CX7:CX20" si="20">CU7^2*(1-CU7)/((CW7-CV7)/(2*z))^2-CU7</f>
        <v>9.9999099997245128E-2</v>
      </c>
      <c r="CY7" s="290">
        <f t="shared" ref="CY7:CY20" si="21">(CU7^2*(1-CU7)/((CW7-CV7)/(2*z))^2-CU7)*(1-CU7)/CU7</f>
        <v>99999.049999289578</v>
      </c>
      <c r="CZ7" s="289">
        <f t="shared" ref="CZ7:CZ20" ca="1" si="22">_xlfn.BETA.INV(RAND(),CX7,CY7)</f>
        <v>1.5509409999281409E-5</v>
      </c>
      <c r="DA7" s="289">
        <f>IF(psa,CZ7,CU7)</f>
        <v>9.9999949998430537E-7</v>
      </c>
    </row>
    <row r="8" spans="1:105" ht="15" customHeight="1" x14ac:dyDescent="0.2">
      <c r="S8" s="11"/>
      <c r="U8" s="9" t="s">
        <v>6</v>
      </c>
      <c r="V8" s="250">
        <f>boc_unk_int_both*boc_test_int_path_both</f>
        <v>0.02</v>
      </c>
      <c r="Z8" s="261">
        <f>R12*T7*V8</f>
        <v>7.3843129265176109E-5</v>
      </c>
      <c r="AD8" s="12">
        <v>2</v>
      </c>
      <c r="AE8" s="12">
        <f t="shared" si="2"/>
        <v>47</v>
      </c>
      <c r="AF8" s="260">
        <f>AF7*(1-VLOOKUP(AE8,boc_trpr_bc,11,TRUE)*boc_rr_bc_mast-VLOOKUP(AE8,boc_trpr_oc,11,TRUE)*boc_rr_oc_mast-VLOOKUP(AE8,mortt,2,FALSE))+SUM(AI7,AK7,AM7)*boc_tr_mast_path+SUM(AJ7,AL7,AN7)*boc_tr_mast_vus</f>
        <v>1.5803043151830669E-2</v>
      </c>
      <c r="AG8" s="260">
        <f>AG7*(1-VLOOKUP(AE8,boc_trpr_bc,11,TRUE)*boc_rr_bc_ooph-VLOOKUP(AE8,boc_trpr_oc,11,TRUE)*boc_rr_oc_ooph-VLOOKUP(AE8,mortt,2,FALSE))+SUM(AI7,AK7,AM7)*boc_tr_ooph_path+SUM(AJ7,AL7,AN7)*boc_tr_ooph_vus</f>
        <v>1.5335513825465701E-2</v>
      </c>
      <c r="AH8" s="260">
        <f>AH7*(1-VLOOKUP(AE8,boc_trpr_bc,11,TRUE)*boc_rr_bc_both-VLOOKUP(AE8,boc_trpr_oc,11,TRUE)*boc_rr_oc_both-VLOOKUP(AE8,mortt,2,FALSE))+SUM(AI7,AK7,AM7)*boc_tr_both_path+SUM(AJ7,AL7,AN7)*boc_tr_both_vus</f>
        <v>1.5255489255316106E-2</v>
      </c>
      <c r="AI8" s="289">
        <f>AI7*(1-VLOOKUP(AE8,boc_trpr_bc,11,TRUE)*boc_rr_bc_hip-VLOOKUP(AE8,boc_trpr_oc,11,TRUE)*boc_rr_oc_hip-boc_tr_mast_path-boc_tr_ooph_path-boc_tr_both_path-VLOOKUP(AE8,mortt,2,FALSE))</f>
        <v>1.7271524003823247E-4</v>
      </c>
      <c r="AJ8" s="289">
        <f>AJ7*(1-VLOOKUP(AE8,boc_trpr_bc,11,TRUE)*boc_rr_bc_hiv-VLOOKUP(AE8,boc_trpr_oc,11,TRUE)*boc_rr_oc_hiv-boc_tr_mast_vus-boc_tr_ooph_vus-boc_tr_both_vus-VLOOKUP(AE8,mortt,2,FALSE))</f>
        <v>7.0829065920297056E-3</v>
      </c>
      <c r="AK8" s="289">
        <f>AK7*(1-VLOOKUP(AE8,boc_trpr_bc,11,TRUE)*boc_rr_bc_modp-VLOOKUP(AE8,boc_trpr_oc,11,TRUE)*boc_rr_oc_modp-boc_tr_mast_path-boc_tr_ooph_path-boc_tr_both_path-VLOOKUP(AE8,mortt,2,FALSE))</f>
        <v>2.4567240364315747E-4</v>
      </c>
      <c r="AL8" s="289">
        <f>AL7*(1-VLOOKUP(AE8,boc_trpr_bc,11,TRUE)*boc_rr_bc_modv-VLOOKUP(AE8,boc_trpr_oc,11,TRUE)*boc_rr_oc_modv-boc_tr_mast_vus-boc_tr_ooph_vus-boc_tr_both_vus-VLOOKUP(AE8,mortt,2,FALSE))</f>
        <v>9.0057575300215627E-3</v>
      </c>
      <c r="AM8" s="289">
        <f>AM7*(1-VLOOKUP(AE8,boc_trpr_bc,11,TRUE)*boc_rr_bc_lop-VLOOKUP(AE8,boc_trpr_oc,11,TRUE)*boc_rr_oc_lop-boc_tr_mast_path-boc_tr_ooph_path-boc_tr_both_path-VLOOKUP(AE8,mortt,2,FALSE))</f>
        <v>5.5855374822150985E-5</v>
      </c>
      <c r="AN8" s="289">
        <f>AN7*(1-VLOOKUP(AE8,boc_trpr_bc,11,TRUE)*boc_rr_bc_lov-VLOOKUP(AE8,boc_trpr_oc,11,TRUE)*boc_rr_oc_lov-boc_tr_mast_vus-boc_tr_ooph_vus-boc_tr_both_vus-VLOOKUP(AE8,mortt,2,FALSE))</f>
        <v>1.9715307122316894E-3</v>
      </c>
      <c r="AO8" s="260">
        <f>AO7*(1-VLOOKUP(AE8,boc_trpr_bc,11,TRUE)*boc_rr_bc_np-VLOOKUP(AE8,boc_trpr_oc,11,TRUE)*boc_rr_oc_np-VLOOKUP(AE8,mortt,2,FALSE))</f>
        <v>0.92784364444123557</v>
      </c>
      <c r="AP8" s="260">
        <f>AF7*VLOOKUP(AE8,boc_trpr_bc,11,TRUE)*boc_rr_bc_mast+AG7*VLOOKUP(AE8,boc_trpr_bc,11,TRUE)*boc_rr_bc_ooph+AH7*VLOOKUP(AE8,boc_trpr_bc,11,TRUE)*boc_rr_bc_both+AI7*VLOOKUP(AE8,boc_trpr_bc,11,TRUE)*boc_rr_bc_hip+AJ7*VLOOKUP(AE8,boc_trpr_bc,11,TRUE)*boc_rr_bc_hiv+AK7*VLOOKUP(AE8,boc_trpr_bc,11,TRUE)*boc_rr_bc_modp+AL7*VLOOKUP(AE8,boc_trpr_bc,11,TRUE)*boc_rr_bc_modv+AM7*VLOOKUP(AE8,boc_trpr_bc,11,TRUE)*boc_rr_bc_lop+AN7*VLOOKUP(AE8,boc_trpr_bc,11,TRUE)*boc_rr_bc_lov+AO7*VLOOKUP(AE8,boc_trpr_bc,11,TRUE)*boc_rr_bc_np</f>
        <v>1.2026305932830825E-3</v>
      </c>
      <c r="AQ8" s="260">
        <f>AF7*VLOOKUP(AE8,boc_trpr_oc,11,TRUE)*boc_rr_oc_mast+AG7*VLOOKUP(AE8,boc_trpr_oc,11,TRUE)*boc_rr_oc_ooph+AH7*VLOOKUP(AE8,boc_trpr_oc,11,TRUE)*boc_rr_oc_both+AI7*VLOOKUP(AE8,boc_trpr_oc,11,TRUE)*boc_rr_oc_hip+AJ7*VLOOKUP(AE8,boc_trpr_oc,11,TRUE)*boc_rr_oc_hiv+AK7*VLOOKUP(AE8,boc_trpr_oc,11,TRUE)*boc_rr_oc_modp+AL7*VLOOKUP(AE8,boc_trpr_oc,11,TRUE)*boc_rr_oc_modv+AM7*VLOOKUP(AE8,boc_trpr_oc,11,TRUE)*boc_rr_oc_lop+AN7*VLOOKUP(AE8,boc_trpr_oc,11,TRUE)*boc_rr_oc_lov+AO7*VLOOKUP(AE8,boc_trpr_oc,11,TRUE)*boc_rr_oc_np</f>
        <v>8.8129336776554516E-5</v>
      </c>
      <c r="AR8" s="260">
        <f>AP7*(1-VLOOKUP(AE8,boc_trpr_bc_death,20,TRUE))+AQ7*(1-VLOOKUP(AE8,boc_trpr_oc_death,20,TRUE))+AR7*(1-VLOOKUP(AE8,mortt,2,FALSE)*boc_rr_death_pc)</f>
        <v>1.3704521679492449E-3</v>
      </c>
      <c r="AS8" s="260">
        <f>AS7+SUM(AF7:AO7)*VLOOKUP(AE8,mortt,2,FALSE)+AP7*VLOOKUP(AE8,boc_trpr_bc_death,20,TRUE)+AQ7*VLOOKUP(AE8,boc_trpr_bc_death,20,TRUE)+AR7*VLOOKUP(AE8,mortt,2,FALSE)*boc_rr_death_pc</f>
        <v>4.56666917628049E-3</v>
      </c>
      <c r="AT8" s="260">
        <f t="shared" ref="AT8:AT29" si="23">SUM(AF8:AS8)</f>
        <v>1.0000000098009241</v>
      </c>
      <c r="AU8" s="118">
        <f>(boc_cost_mast*SUM(AI8,AK8,AM8)*(boc_tr_mast_path+boc_tr_both_path)+SUM(AJ8,AL8,AN8)*(boc_tr_mast_vus+boc_tr_both_vus)+AP8*boc_cost_bc+AQ8*boc_cost_oc+AR8*boc_cost_pc+(AP8*VLOOKUP(AE8,boc_trpr_bc_death,20,TRUE)+AQ8*VLOOKUP(AE8,boc_trpr_oc_death,TRUE)*boc_cost_death))/((1+discount)^AD8)</f>
        <v>348.50887512855553</v>
      </c>
      <c r="AV8" s="35">
        <f t="shared" si="3"/>
        <v>0.89087256130440129</v>
      </c>
      <c r="AW8" s="35">
        <f t="shared" si="4"/>
        <v>0.93829138544982527</v>
      </c>
      <c r="AY8" s="12">
        <v>2</v>
      </c>
      <c r="AZ8" s="12">
        <f t="shared" si="5"/>
        <v>47</v>
      </c>
      <c r="BA8" s="260">
        <f>BA7*(1-VLOOKUP(AZ8,boc_trpr_bc,11,TRUE)*boc_rr_bc_mast-VLOOKUP(AZ8,boc_trpr_oc,11,TRUE)*boc_rr_oc_mast-VLOOKUP(AZ8,mortt,2,FALSE))</f>
        <v>9.9500799224460038E-3</v>
      </c>
      <c r="BB8" s="260">
        <f>BB7*(1-VLOOKUP(AZ8,boc_trpr_bc,11,TRUE)*boc_rr_bc_ooph-VLOOKUP(AZ8,boc_trpr_oc,11,TRUE)*boc_rr_oc_ooph-VLOOKUP(AZ8,mortt,2,FALSE))</f>
        <v>9.9415430506527742E-3</v>
      </c>
      <c r="BC8" s="260">
        <f>BC7*(1-VLOOKUP(AZ8,boc_trpr_bc,11,TRUE)*boc_rr_bc_both-VLOOKUP(AZ8,boc_trpr_oc,11,TRUE)*boc_rr_oc_both-VLOOKUP(AZ8,mortt,2,FALSE))</f>
        <v>9.9527946875428638E-3</v>
      </c>
      <c r="BD8" s="289">
        <f>BD7*(1-VLOOKUP(AZ8,boc_trpr_bc,11,TRUE)*boc_rr_bc_hip-VLOOKUP(AZ8,boc_trpr_oc,11,TRUE)*boc_rr_oc_hip-VLOOKUP(AZ8,mortt,2,FALSE))</f>
        <v>3.4254307236574943E-3</v>
      </c>
      <c r="BE8" s="289">
        <f>BE7*(1-VLOOKUP(AZ8,boc_trpr_bc,11,TRUE)*boc_rr_bc_hiv-VLOOKUP(AZ8,boc_trpr_oc,11,TRUE)*boc_rr_oc_hiv-VLOOKUP(AZ8,mortt,2,FALSE))</f>
        <v>1.0238519844692881E-2</v>
      </c>
      <c r="BF8" s="289">
        <f>BF7*(1-VLOOKUP(AZ8,boc_trpr_bc,11,TRUE)*boc_rr_bc_modp-VLOOKUP(AZ8,boc_trpr_oc,11,TRUE)*boc_rr_oc_modp-VLOOKUP(AZ8,mortt,2,FALSE))</f>
        <v>4.4732926396469641E-3</v>
      </c>
      <c r="BG8" s="289">
        <f>BG7*(1-VLOOKUP(AZ8,boc_trpr_bc,11,TRUE)*boc_rr_bc_modv-VLOOKUP(AZ8,boc_trpr_oc,11,TRUE)*boc_rr_oc_modv-VLOOKUP(AZ8,mortt,2,FALSE))</f>
        <v>1.3018049297921816E-2</v>
      </c>
      <c r="BH8" s="289">
        <f>BH7*(1-VLOOKUP(AZ8,boc_trpr_bc,11,TRUE)*boc_rr_bc_lop-VLOOKUP(AZ8,boc_trpr_oc,11,TRUE)*boc_rr_oc_lop-VLOOKUP(AZ8,mortt,2,FALSE))</f>
        <v>9.8840616796341558E-4</v>
      </c>
      <c r="BI8" s="289">
        <f>BI7*(1-VLOOKUP(AZ8,boc_trpr_bc,11,TRUE)*boc_rr_bc_lov-VLOOKUP(AZ8,boc_trpr_oc,11,TRUE)*boc_rr_oc_lov-VLOOKUP(AZ8,mortt,2,FALSE))</f>
        <v>2.8498972927752803E-3</v>
      </c>
      <c r="BJ8" s="260">
        <f>BJ7*(1-VLOOKUP(AZ8,boc_trpr_bc,11,TRUE)*boc_rr_bc_np-VLOOKUP(AZ8,boc_trpr_oc,11,TRUE)*boc_rr_oc_np-VLOOKUP(AZ8,mortt,2,FALSE))</f>
        <v>0.92784364444123557</v>
      </c>
      <c r="BK8" s="260">
        <f>BA7*VLOOKUP(AZ8,boc_trpr_bc,11,TRUE)*boc_rr_bc_mast+BB7*VLOOKUP(AZ8,boc_trpr_bc,11,TRUE)*boc_rr_bc_ooph+BC7*VLOOKUP(AZ8,boc_trpr_bc,11,TRUE)*boc_rr_bc_both+BD7*VLOOKUP(AZ8,boc_trpr_bc,11,TRUE)*boc_rr_bc_hip+BE7*VLOOKUP(AZ8,boc_trpr_bc,11,TRUE)*boc_rr_bc_hiv+BF7*VLOOKUP(AZ8,boc_trpr_bc,11,TRUE)*boc_rr_bc_modp+BG7*VLOOKUP(AZ8,boc_trpr_bc,11,TRUE)*boc_rr_bc_modv+BH7*VLOOKUP(AZ8,boc_trpr_bc,11,TRUE)*boc_rr_bc_lop+BI7*VLOOKUP(AZ8,boc_trpr_bc,11,TRUE)*boc_rr_bc_lov+BJ7*VLOOKUP(AZ8,boc_trpr_bc,11,TRUE)*boc_rr_bc_np</f>
        <v>1.2793587454566727E-3</v>
      </c>
      <c r="BL8" s="260">
        <f>BA7*VLOOKUP(AZ8,boc_trpr_oc,11,TRUE)*boc_rr_oc_mast+BB7*VLOOKUP(AZ8,boc_trpr_oc,11,TRUE)*boc_rr_oc_ooph+BC7*VLOOKUP(AZ8,boc_trpr_oc,11,TRUE)*boc_rr_oc_both+BD7*VLOOKUP(AZ8,boc_trpr_oc,11,TRUE)*boc_rr_oc_hip+BE7*VLOOKUP(AZ8,boc_trpr_oc,11,TRUE)*boc_rr_oc_hiv+BF7*VLOOKUP(AZ8,boc_trpr_oc,11,TRUE)*boc_rr_oc_modp+BG7*VLOOKUP(AZ8,boc_trpr_oc,11,TRUE)*boc_rr_oc_modv+BH7*VLOOKUP(AZ8,boc_trpr_oc,11,TRUE)*boc_rr_oc_lop+BI7*VLOOKUP(AZ8,boc_trpr_oc,11,TRUE)*boc_rr_oc_lov+BJ7*VLOOKUP(AZ8,boc_trpr_oc,11,TRUE)*boc_rr_oc_np</f>
        <v>9.3436750116243687E-5</v>
      </c>
      <c r="BM8" s="260">
        <f>BK7*(1-VLOOKUP(AZ8,boc_trpr_bc_death,20,TRUE))+BL7*(1-VLOOKUP(AZ8,boc_trpr_oc_death,20,TRUE))+BM7*(1-VLOOKUP(AZ8,mortt,2,FALSE)*boc_rr_death_pc)</f>
        <v>1.3789062992557596E-3</v>
      </c>
      <c r="BN8" s="260">
        <f>BN7+SUM(BA7:BJ7)*VLOOKUP(AZ8,mortt,2,FALSE)+BK7*VLOOKUP(AZ8,boc_trpr_bc_death,20,TRUE)+BL7*VLOOKUP(AZ8,boc_trpr_bc_death,20,TRUE)+BM7*VLOOKUP(AZ8,mortt,2,FALSE)*boc_rr_death_pc</f>
        <v>4.5666499914743964E-3</v>
      </c>
      <c r="BO8" s="260">
        <f t="shared" ref="BO8:BO34" si="24">SUM(BA8:BN8)</f>
        <v>1.0000000098548381</v>
      </c>
      <c r="BP8" s="118">
        <f>(boc_cost_mast*SUM(BD8,BF8,BH8)*(boc_tr_mast_path+boc_tr_both_path)+SUM(BE8,BG8,BI8)*(boc_tr_mast_vus+boc_tr_both_vus)+BK8*boc_cost_bc+BL8*boc_cost_oc+BM8*boc_cost_pc+(BK8*VLOOKUP(AZ8,boc_trpr_bc_death,20,TRUE)+BL8*VLOOKUP(AZ8,boc_trpr_oc_death,TRUE)*boc_cost_death))/((1+discount)^AY8)</f>
        <v>419.03843741291246</v>
      </c>
      <c r="BQ8" s="35">
        <f t="shared" si="6"/>
        <v>0.89038784124329984</v>
      </c>
      <c r="BR8" s="35">
        <f t="shared" si="7"/>
        <v>0.93829140353334495</v>
      </c>
      <c r="BS8" s="35"/>
      <c r="BU8" s="265"/>
      <c r="BV8" s="265"/>
      <c r="BW8" s="267"/>
      <c r="BX8" s="268"/>
      <c r="BY8" s="268"/>
      <c r="BZ8" s="268"/>
      <c r="CA8" s="268"/>
      <c r="CD8" s="138">
        <v>3</v>
      </c>
      <c r="CE8" s="291">
        <v>1.5799999999999999E-4</v>
      </c>
      <c r="CH8" s="12">
        <v>29</v>
      </c>
      <c r="CI8" s="12" t="s">
        <v>304</v>
      </c>
      <c r="CJ8" s="376">
        <v>9.1999999999999993</v>
      </c>
      <c r="CK8" s="260">
        <f t="shared" si="9"/>
        <v>9.1999999999999987E-5</v>
      </c>
      <c r="CL8" s="289">
        <f t="shared" si="10"/>
        <v>9.1995768129793376E-5</v>
      </c>
      <c r="CM8" s="289">
        <f t="shared" si="11"/>
        <v>3.2553553744096853E-5</v>
      </c>
      <c r="CN8" s="289">
        <f t="shared" si="12"/>
        <v>1.5143444902365744E-4</v>
      </c>
      <c r="CO8" s="290">
        <f t="shared" si="13"/>
        <v>9.2007544777676173</v>
      </c>
      <c r="CP8" s="290">
        <f t="shared" si="14"/>
        <v>100003.60053858408</v>
      </c>
      <c r="CQ8" s="289">
        <f t="shared" ca="1" si="15"/>
        <v>7.7647045562829738E-5</v>
      </c>
      <c r="CR8" s="289">
        <f>IF(psa,CQ8,CL8)</f>
        <v>9.1995768129793376E-5</v>
      </c>
      <c r="CS8" s="373">
        <v>0.7</v>
      </c>
      <c r="CT8" s="12">
        <f t="shared" si="16"/>
        <v>6.9999999999999999E-6</v>
      </c>
      <c r="CU8" s="289">
        <f t="shared" si="17"/>
        <v>6.9999755000216268E-6</v>
      </c>
      <c r="CV8" s="289">
        <f t="shared" si="18"/>
        <v>-9.3982219622201768E-6</v>
      </c>
      <c r="CW8" s="289">
        <f t="shared" si="19"/>
        <v>2.3397904063915398E-5</v>
      </c>
      <c r="CX8" s="290">
        <f t="shared" si="20"/>
        <v>0.69999789999281437</v>
      </c>
      <c r="CY8" s="290">
        <f t="shared" si="21"/>
        <v>99999.350000939536</v>
      </c>
      <c r="CZ8" s="289">
        <f t="shared" ca="1" si="22"/>
        <v>1.8003601744420727E-5</v>
      </c>
      <c r="DA8" s="289">
        <f>IF(psa,CZ8,CU8)</f>
        <v>6.9999755000216268E-6</v>
      </c>
    </row>
    <row r="9" spans="1:105" ht="15" customHeight="1" x14ac:dyDescent="0.2">
      <c r="S9" s="11"/>
      <c r="U9" s="9" t="s">
        <v>9</v>
      </c>
      <c r="V9" s="250">
        <f>1-SUM(V6,V7,V8)</f>
        <v>0.9</v>
      </c>
      <c r="X9" s="12"/>
      <c r="Y9" s="12"/>
      <c r="Z9" s="12"/>
      <c r="AA9" s="261">
        <f>R12*T7*V9</f>
        <v>3.3229408169329249E-3</v>
      </c>
      <c r="AD9" s="12">
        <v>3</v>
      </c>
      <c r="AE9" s="12">
        <f t="shared" si="2"/>
        <v>48</v>
      </c>
      <c r="AF9" s="260">
        <f>AF8*(1-VLOOKUP(AE9,boc_trpr_bc,11,TRUE)*boc_rr_bc_mast-VLOOKUP(AE9,boc_trpr_oc,11,TRUE)*boc_rr_oc_mast-VLOOKUP(AE9,mortt,2,FALSE))+SUM(AI8,AK8,AM8)*boc_tr_mast_path+SUM(AJ8,AL8,AN8)*boc_tr_mast_vus</f>
        <v>1.6779343922150341E-2</v>
      </c>
      <c r="AG9" s="260">
        <f>AG8*(1-VLOOKUP(AE9,boc_trpr_bc,11,TRUE)*boc_rr_bc_ooph-VLOOKUP(AE9,boc_trpr_oc,11,TRUE)*boc_rr_oc_ooph-VLOOKUP(AE9,mortt,2,FALSE))+SUM(AI8,AK8,AM8)*boc_tr_ooph_path+SUM(AJ8,AL8,AN8)*boc_tr_ooph_vus</f>
        <v>1.6306590216189128E-2</v>
      </c>
      <c r="AH9" s="260">
        <f>AH8*(1-VLOOKUP(AE9,boc_trpr_bc,11,TRUE)*boc_rr_bc_both-VLOOKUP(AE9,boc_trpr_oc,11,TRUE)*boc_rr_oc_both-VLOOKUP(AE9,mortt,2,FALSE))+SUM(AI8,AK8,AM8)*boc_tr_both_path+SUM(AJ8,AL8,AN8)*boc_tr_both_vus</f>
        <v>1.6235434359850552E-2</v>
      </c>
      <c r="AI9" s="289">
        <f>AI8*(1-VLOOKUP(AE9,boc_trpr_bc,11,TRUE)*boc_rr_bc_hip-VLOOKUP(AE9,boc_trpr_oc,11,TRUE)*boc_rr_oc_hip-boc_tr_mast_path-boc_tr_ooph_path-boc_tr_both_path-VLOOKUP(AE9,mortt,2,FALSE))</f>
        <v>3.9313157310787065E-5</v>
      </c>
      <c r="AJ9" s="289">
        <f>AJ8*(1-VLOOKUP(AE9,boc_trpr_bc,11,TRUE)*boc_rr_bc_hiv-VLOOKUP(AE9,boc_trpr_oc,11,TRUE)*boc_rr_oc_hiv-boc_tr_mast_vus-boc_tr_ooph_vus-boc_tr_both_vus-VLOOKUP(AE9,mortt,2,FALSE))</f>
        <v>5.9914323298487721E-3</v>
      </c>
      <c r="AK9" s="289">
        <f>AK8*(1-VLOOKUP(AE9,boc_trpr_bc,11,TRUE)*boc_rr_bc_modp-VLOOKUP(AE9,boc_trpr_oc,11,TRUE)*boc_rr_oc_modp-boc_tr_mast_path-boc_tr_ooph_path-boc_tr_both_path-VLOOKUP(AE9,mortt,2,FALSE))</f>
        <v>5.9150736761982994E-5</v>
      </c>
      <c r="AL9" s="289">
        <f>AL8*(1-VLOOKUP(AE9,boc_trpr_bc,11,TRUE)*boc_rr_bc_modv-VLOOKUP(AE9,boc_trpr_oc,11,TRUE)*boc_rr_oc_modv-boc_tr_mast_vus-boc_tr_ooph_vus-boc_tr_both_vus-VLOOKUP(AE9,mortt,2,FALSE))</f>
        <v>7.6179723845105759E-3</v>
      </c>
      <c r="AM9" s="289">
        <f>AM8*(1-VLOOKUP(AE9,boc_trpr_bc,11,TRUE)*boc_rr_bc_lop-VLOOKUP(AE9,boc_trpr_oc,11,TRUE)*boc_rr_oc_lop-boc_tr_mast_path-boc_tr_ooph_path-boc_tr_both_path-VLOOKUP(AE9,mortt,2,FALSE))</f>
        <v>1.37054642611763E-5</v>
      </c>
      <c r="AN9" s="289">
        <f>AN8*(1-VLOOKUP(AE9,boc_trpr_bc,11,TRUE)*boc_rr_bc_lov-VLOOKUP(AE9,boc_trpr_oc,11,TRUE)*boc_rr_oc_lov-boc_tr_mast_vus-boc_tr_ooph_vus-boc_tr_both_vus-VLOOKUP(AE9,mortt,2,FALSE))</f>
        <v>1.6677182869878483E-3</v>
      </c>
      <c r="AO9" s="260">
        <f>AO8*(1-VLOOKUP(AE9,boc_trpr_bc,11,TRUE)*boc_rr_bc_np-VLOOKUP(AE9,boc_trpr_oc,11,TRUE)*boc_rr_oc_np-VLOOKUP(AE9,mortt,2,FALSE))</f>
        <v>0.9241617348532436</v>
      </c>
      <c r="AP9" s="260">
        <f>AF8*VLOOKUP(AE9,boc_trpr_bc,11,TRUE)*boc_rr_bc_mast+AG8*VLOOKUP(AE9,boc_trpr_bc,11,TRUE)*boc_rr_bc_ooph+AH8*VLOOKUP(AE9,boc_trpr_bc,11,TRUE)*boc_rr_bc_both+AI8*VLOOKUP(AE9,boc_trpr_bc,11,TRUE)*boc_rr_bc_hip+AJ8*VLOOKUP(AE9,boc_trpr_bc,11,TRUE)*boc_rr_bc_hiv+AK8*VLOOKUP(AE9,boc_trpr_bc,11,TRUE)*boc_rr_bc_modp+AL8*VLOOKUP(AE9,boc_trpr_bc,11,TRUE)*boc_rr_bc_modv+AM8*VLOOKUP(AE9,boc_trpr_bc,11,TRUE)*boc_rr_bc_lop+AN8*VLOOKUP(AE9,boc_trpr_bc,11,TRUE)*boc_rr_bc_lov+AO8*VLOOKUP(AE9,boc_trpr_bc,11,TRUE)*boc_rr_bc_np</f>
        <v>1.1793765893479162E-3</v>
      </c>
      <c r="AQ9" s="260">
        <f>AF8*VLOOKUP(AE9,boc_trpr_oc,11,TRUE)*boc_rr_oc_mast+AG8*VLOOKUP(AE9,boc_trpr_oc,11,TRUE)*boc_rr_oc_ooph+AH8*VLOOKUP(AE9,boc_trpr_oc,11,TRUE)*boc_rr_oc_both+AI8*VLOOKUP(AE9,boc_trpr_oc,11,TRUE)*boc_rr_oc_hip+AJ8*VLOOKUP(AE9,boc_trpr_oc,11,TRUE)*boc_rr_oc_hiv+AK8*VLOOKUP(AE9,boc_trpr_oc,11,TRUE)*boc_rr_oc_modp+AL8*VLOOKUP(AE9,boc_trpr_oc,11,TRUE)*boc_rr_oc_modv+AM8*VLOOKUP(AE9,boc_trpr_oc,11,TRUE)*boc_rr_oc_lop+AN8*VLOOKUP(AE9,boc_trpr_oc,11,TRUE)*boc_rr_oc_lov+AO8*VLOOKUP(AE9,boc_trpr_oc,11,TRUE)*boc_rr_oc_np</f>
        <v>8.6531769190739167E-5</v>
      </c>
      <c r="AR9" s="260">
        <f>AP8*(1-VLOOKUP(AE9,boc_trpr_bc_death,20,TRUE))+AQ8*(1-VLOOKUP(AE9,boc_trpr_oc_death,20,TRUE))+AR8*(1-VLOOKUP(AE9,mortt,2,FALSE)*boc_rr_death_pc)</f>
        <v>2.6556037203953027E-3</v>
      </c>
      <c r="AS9" s="260">
        <f>AS8+SUM(AF8:AO8)*VLOOKUP(AE9,mortt,2,FALSE)+AP8*VLOOKUP(AE9,boc_trpr_bc_death,20,TRUE)+AQ8*VLOOKUP(AE9,boc_trpr_bc_death,20,TRUE)+AR8*VLOOKUP(AE9,mortt,2,FALSE)*boc_rr_death_pc</f>
        <v>7.2061112637662305E-3</v>
      </c>
      <c r="AT9" s="260">
        <f t="shared" si="23"/>
        <v>1.000000019053815</v>
      </c>
      <c r="AU9" s="118">
        <f>(boc_cost_mast*SUM(AI9,AK9,AM9)*(boc_tr_mast_path+boc_tr_both_path)+SUM(AJ9,AL9,AN9)*(boc_tr_mast_vus+boc_tr_both_vus)+AP9*boc_cost_bc+AQ9*boc_cost_oc+AR9*boc_cost_pc+(AP9*VLOOKUP(AE9,boc_trpr_bc_death,20,TRUE)+AQ9*VLOOKUP(AE9,boc_trpr_oc_death,TRUE)*boc_cost_death))/((1+discount)^AD9)</f>
        <v>339.36266519198739</v>
      </c>
      <c r="AV9" s="35">
        <f t="shared" si="3"/>
        <v>0.86255797292168657</v>
      </c>
      <c r="AW9" s="35">
        <f t="shared" si="4"/>
        <v>0.90854704673375308</v>
      </c>
      <c r="AY9" s="12">
        <v>3</v>
      </c>
      <c r="AZ9" s="12">
        <f t="shared" si="5"/>
        <v>48</v>
      </c>
      <c r="BA9" s="260">
        <f>BA8*(1-VLOOKUP(AZ9,boc_trpr_bc,11,TRUE)*boc_rr_bc_mast-VLOOKUP(AZ9,boc_trpr_oc,11,TRUE)*boc_rr_oc_mast-VLOOKUP(AZ9,mortt,2,FALSE))</f>
        <v>9.9215767165987383E-3</v>
      </c>
      <c r="BB9" s="260">
        <f>BB8*(1-VLOOKUP(AZ9,boc_trpr_bc,11,TRUE)*boc_rr_bc_ooph-VLOOKUP(AZ9,boc_trpr_oc,11,TRUE)*boc_rr_oc_ooph-VLOOKUP(AZ9,mortt,2,FALSE))</f>
        <v>9.908809271367329E-3</v>
      </c>
      <c r="BC9" s="260">
        <f>BC8*(1-VLOOKUP(AZ9,boc_trpr_bc,11,TRUE)*boc_rr_bc_both-VLOOKUP(AZ9,boc_trpr_oc,11,TRUE)*boc_rr_oc_both-VLOOKUP(AZ9,mortt,2,FALSE))</f>
        <v>9.9256379722454397E-3</v>
      </c>
      <c r="BD9" s="289">
        <f>BD8*(1-VLOOKUP(AZ9,boc_trpr_bc,11,TRUE)*boc_rr_bc_hip-VLOOKUP(AZ9,boc_trpr_oc,11,TRUE)*boc_rr_oc_hip-VLOOKUP(AZ9,mortt,2,FALSE))</f>
        <v>3.3487639192780502E-3</v>
      </c>
      <c r="BE9" s="289">
        <f>BE8*(1-VLOOKUP(AZ9,boc_trpr_bc,11,TRUE)*boc_rr_bc_hiv-VLOOKUP(AZ9,boc_trpr_oc,11,TRUE)*boc_rr_oc_hiv-VLOOKUP(AZ9,mortt,2,FALSE))</f>
        <v>1.0196544289268328E-2</v>
      </c>
      <c r="BF9" s="289">
        <f>BF8*(1-VLOOKUP(AZ9,boc_trpr_bc,11,TRUE)*boc_rr_bc_modp-VLOOKUP(AZ9,boc_trpr_oc,11,TRUE)*boc_rr_oc_modp-VLOOKUP(AZ9,mortt,2,FALSE))</f>
        <v>4.4320076470802479E-3</v>
      </c>
      <c r="BG9" s="289">
        <f>BG8*(1-VLOOKUP(AZ9,boc_trpr_bc,11,TRUE)*boc_rr_bc_modv-VLOOKUP(AZ9,boc_trpr_oc,11,TRUE)*boc_rr_oc_modv-VLOOKUP(AZ9,mortt,2,FALSE))</f>
        <v>1.296467831675331E-2</v>
      </c>
      <c r="BH9" s="289">
        <f>BH8*(1-VLOOKUP(AZ9,boc_trpr_bc,11,TRUE)*boc_rr_bc_lop-VLOOKUP(AZ9,boc_trpr_oc,11,TRUE)*boc_rr_oc_lop-VLOOKUP(AZ9,mortt,2,FALSE))</f>
        <v>9.8383393409523403E-4</v>
      </c>
      <c r="BI9" s="289">
        <f>BI8*(1-VLOOKUP(AZ9,boc_trpr_bc,11,TRUE)*boc_rr_bc_lov-VLOOKUP(AZ9,boc_trpr_oc,11,TRUE)*boc_rr_oc_lov-VLOOKUP(AZ9,mortt,2,FALSE))</f>
        <v>2.8382133752186639E-3</v>
      </c>
      <c r="BJ9" s="260">
        <f>BJ8*(1-VLOOKUP(AZ9,boc_trpr_bc,11,TRUE)*boc_rr_bc_np-VLOOKUP(AZ9,boc_trpr_oc,11,TRUE)*boc_rr_oc_np-VLOOKUP(AZ9,mortt,2,FALSE))</f>
        <v>0.9241617348532436</v>
      </c>
      <c r="BK9" s="260">
        <f>BA8*VLOOKUP(AZ9,boc_trpr_bc,11,TRUE)*boc_rr_bc_mast+BB8*VLOOKUP(AZ9,boc_trpr_bc,11,TRUE)*boc_rr_bc_ooph+BC8*VLOOKUP(AZ9,boc_trpr_bc,11,TRUE)*boc_rr_bc_both+BD8*VLOOKUP(AZ9,boc_trpr_bc,11,TRUE)*boc_rr_bc_hip+BE8*VLOOKUP(AZ9,boc_trpr_bc,11,TRUE)*boc_rr_bc_hiv+BF8*VLOOKUP(AZ9,boc_trpr_bc,11,TRUE)*boc_rr_bc_modp+BG8*VLOOKUP(AZ9,boc_trpr_bc,11,TRUE)*boc_rr_bc_modv+BH8*VLOOKUP(AZ9,boc_trpr_bc,11,TRUE)*boc_rr_bc_lop+BI8*VLOOKUP(AZ9,boc_trpr_bc,11,TRUE)*boc_rr_bc_lov+BJ8*VLOOKUP(AZ9,boc_trpr_bc,11,TRUE)*boc_rr_bc_np</f>
        <v>1.2732791954649259E-3</v>
      </c>
      <c r="BL9" s="260">
        <f>BA8*VLOOKUP(AZ9,boc_trpr_oc,11,TRUE)*boc_rr_oc_mast+BB8*VLOOKUP(AZ9,boc_trpr_oc,11,TRUE)*boc_rr_oc_ooph+BC8*VLOOKUP(AZ9,boc_trpr_oc,11,TRUE)*boc_rr_oc_both+BD8*VLOOKUP(AZ9,boc_trpr_oc,11,TRUE)*boc_rr_oc_hip+BE8*VLOOKUP(AZ9,boc_trpr_oc,11,TRUE)*boc_rr_oc_hiv+BF8*VLOOKUP(AZ9,boc_trpr_oc,11,TRUE)*boc_rr_oc_modp+BG8*VLOOKUP(AZ9,boc_trpr_oc,11,TRUE)*boc_rr_oc_modv+BH8*VLOOKUP(AZ9,boc_trpr_oc,11,TRUE)*boc_rr_oc_lop+BI8*VLOOKUP(AZ9,boc_trpr_oc,11,TRUE)*boc_rr_oc_lov+BJ8*VLOOKUP(AZ9,boc_trpr_oc,11,TRUE)*boc_rr_oc_np</f>
        <v>9.2994139065409956E-5</v>
      </c>
      <c r="BM9" s="260">
        <f>BK8*(1-VLOOKUP(AZ9,boc_trpr_bc_death,20,TRUE))+BL8*(1-VLOOKUP(AZ9,boc_trpr_oc_death,20,TRUE))+BM8*(1-VLOOKUP(AZ9,mortt,2,FALSE)*boc_rr_death_pc)</f>
        <v>2.7460499133811749E-3</v>
      </c>
      <c r="BN9" s="260">
        <f>BN8+SUM(BA8:BJ8)*VLOOKUP(AZ9,mortt,2,FALSE)+BK8*VLOOKUP(AZ9,boc_trpr_bc_death,20,TRUE)+BL8*VLOOKUP(AZ9,boc_trpr_bc_death,20,TRUE)+BM8*VLOOKUP(AZ9,mortt,2,FALSE)*boc_rr_death_pc</f>
        <v>7.2058961219056052E-3</v>
      </c>
      <c r="BO9" s="260">
        <f t="shared" si="24"/>
        <v>1.0000000196649661</v>
      </c>
      <c r="BP9" s="118">
        <f>(boc_cost_mast*SUM(BD9,BF9,BH9)*(boc_tr_mast_path+boc_tr_both_path)+SUM(BE9,BG9,BI9)*(boc_tr_mast_vus+boc_tr_both_vus)+BK9*boc_cost_bc+BL9*boc_cost_oc+BM9*boc_cost_pc+(BK9*VLOOKUP(AZ9,boc_trpr_bc_death,20,TRUE)+BL9*VLOOKUP(AZ9,boc_trpr_oc_death,TRUE)*boc_cost_death))/((1+discount)^AY9)</f>
        <v>414.16888829969605</v>
      </c>
      <c r="BQ9" s="35">
        <f t="shared" si="6"/>
        <v>0.86204207156916113</v>
      </c>
      <c r="BR9" s="35">
        <f t="shared" si="7"/>
        <v>0.90854724361903239</v>
      </c>
      <c r="BS9" s="35"/>
      <c r="BU9" s="265"/>
      <c r="BV9" s="265"/>
      <c r="BW9" s="267"/>
      <c r="BX9" s="268"/>
      <c r="BY9" s="268"/>
      <c r="BZ9" s="268"/>
      <c r="CA9" s="268"/>
      <c r="CD9" s="138">
        <v>4</v>
      </c>
      <c r="CE9" s="291">
        <v>1.2999999999999999E-4</v>
      </c>
      <c r="CH9" s="12">
        <v>34</v>
      </c>
      <c r="CI9" s="12" t="s">
        <v>305</v>
      </c>
      <c r="CJ9" s="376">
        <v>27.3</v>
      </c>
      <c r="CK9" s="260">
        <f t="shared" si="9"/>
        <v>2.7300000000000002E-4</v>
      </c>
      <c r="CL9" s="289">
        <f t="shared" si="10"/>
        <v>2.7296273889088063E-4</v>
      </c>
      <c r="CM9" s="289">
        <f t="shared" si="11"/>
        <v>1.7059248099171587E-4</v>
      </c>
      <c r="CN9" s="289">
        <f t="shared" si="12"/>
        <v>3.753225153322326E-4</v>
      </c>
      <c r="CO9" s="290">
        <f t="shared" si="13"/>
        <v>27.307182046634246</v>
      </c>
      <c r="CP9" s="290">
        <f t="shared" si="14"/>
        <v>100012.65489332858</v>
      </c>
      <c r="CQ9" s="289">
        <f t="shared" ca="1" si="15"/>
        <v>2.4370258822068743E-4</v>
      </c>
      <c r="CR9" s="289">
        <f>IF(psa,CQ9,CL9)</f>
        <v>2.7296273889088063E-4</v>
      </c>
      <c r="CS9" s="373">
        <v>2.6</v>
      </c>
      <c r="CT9" s="12">
        <f t="shared" si="16"/>
        <v>2.6000000000000002E-5</v>
      </c>
      <c r="CU9" s="289">
        <f t="shared" si="17"/>
        <v>2.5999662002895718E-5</v>
      </c>
      <c r="CV9" s="289">
        <f t="shared" si="18"/>
        <v>-5.6030744908230901E-6</v>
      </c>
      <c r="CW9" s="289">
        <f t="shared" si="19"/>
        <v>5.7601399769402484E-5</v>
      </c>
      <c r="CX9" s="290">
        <f t="shared" si="20"/>
        <v>2.6000416013719598</v>
      </c>
      <c r="CY9" s="290">
        <f t="shared" si="21"/>
        <v>100000.30003772964</v>
      </c>
      <c r="CZ9" s="289">
        <f t="shared" ca="1" si="22"/>
        <v>1.4229566193478539E-5</v>
      </c>
      <c r="DA9" s="289">
        <f>IF(psa,CZ9,CU9)</f>
        <v>2.5999662002895718E-5</v>
      </c>
    </row>
    <row r="10" spans="1:105" ht="15" customHeight="1" x14ac:dyDescent="0.2">
      <c r="S10" s="11"/>
      <c r="AD10" s="12">
        <v>4</v>
      </c>
      <c r="AE10" s="12">
        <f t="shared" si="2"/>
        <v>49</v>
      </c>
      <c r="AF10" s="260">
        <f>AF9*(1-VLOOKUP(AE10,boc_trpr_bc,11,TRUE)*boc_rr_bc_mast-VLOOKUP(AE10,boc_trpr_oc,11,TRUE)*boc_rr_oc_mast-VLOOKUP(AE10,mortt,2,FALSE))+SUM(AI9,AK9,AM9)*boc_tr_mast_path+SUM(AJ9,AL9,AN9)*boc_tr_mast_vus</f>
        <v>1.7516437515206124E-2</v>
      </c>
      <c r="AG10" s="260">
        <f>AG9*(1-VLOOKUP(AE10,boc_trpr_bc,11,TRUE)*boc_rr_bc_ooph-VLOOKUP(AE10,boc_trpr_oc,11,TRUE)*boc_rr_oc_ooph-VLOOKUP(AE10,mortt,2,FALSE))+SUM(AI9,AK9,AM9)*boc_tr_ooph_path+SUM(AJ9,AL9,AN9)*boc_tr_ooph_vus</f>
        <v>1.7034629917140193E-2</v>
      </c>
      <c r="AH10" s="260">
        <f>AH9*(1-VLOOKUP(AE10,boc_trpr_bc,11,TRUE)*boc_rr_bc_both-VLOOKUP(AE10,boc_trpr_oc,11,TRUE)*boc_rr_oc_both-VLOOKUP(AE10,mortt,2,FALSE))+SUM(AI9,AK9,AM9)*boc_tr_both_path+SUM(AJ9,AL9,AN9)*boc_tr_both_vus</f>
        <v>1.6977809747606473E-2</v>
      </c>
      <c r="AI10" s="289">
        <f>AI9*(1-VLOOKUP(AE10,boc_trpr_bc,11,TRUE)*boc_rr_bc_hip-VLOOKUP(AE10,boc_trpr_oc,11,TRUE)*boc_rr_oc_hip-boc_tr_mast_path-boc_tr_ooph_path-boc_tr_both_path-VLOOKUP(AE10,mortt,2,FALSE))</f>
        <v>8.517539988934523E-6</v>
      </c>
      <c r="AJ10" s="289">
        <f>AJ9*(1-VLOOKUP(AE10,boc_trpr_bc,11,TRUE)*boc_rr_bc_hiv-VLOOKUP(AE10,boc_trpr_oc,11,TRUE)*boc_rr_oc_hiv-boc_tr_mast_vus-boc_tr_ooph_vus-boc_tr_both_vus-VLOOKUP(AE10,mortt,2,FALSE))</f>
        <v>5.0617840899481537E-3</v>
      </c>
      <c r="AK10" s="289">
        <f>AK9*(1-VLOOKUP(AE10,boc_trpr_bc,11,TRUE)*boc_rr_bc_modp-VLOOKUP(AE10,boc_trpr_oc,11,TRUE)*boc_rr_oc_modp-boc_tr_mast_path-boc_tr_ooph_path-boc_tr_both_path-VLOOKUP(AE10,mortt,2,FALSE))</f>
        <v>1.4014638516955702E-5</v>
      </c>
      <c r="AL10" s="289">
        <f>AL9*(1-VLOOKUP(AE10,boc_trpr_bc,11,TRUE)*boc_rr_bc_modv-VLOOKUP(AE10,boc_trpr_oc,11,TRUE)*boc_rr_oc_modv-boc_tr_mast_vus-boc_tr_ooph_vus-boc_tr_both_vus-VLOOKUP(AE10,mortt,2,FALSE))</f>
        <v>6.4359454118299835E-3</v>
      </c>
      <c r="AM10" s="289">
        <f>AM9*(1-VLOOKUP(AE10,boc_trpr_bc,11,TRUE)*boc_rr_bc_lop-VLOOKUP(AE10,boc_trpr_oc,11,TRUE)*boc_rr_oc_lop-boc_tr_mast_path-boc_tr_ooph_path-boc_tr_both_path-VLOOKUP(AE10,mortt,2,FALSE))</f>
        <v>3.3444920365495916E-6</v>
      </c>
      <c r="AN10" s="289">
        <f>AN9*(1-VLOOKUP(AE10,boc_trpr_bc,11,TRUE)*boc_rr_bc_lov-VLOOKUP(AE10,boc_trpr_oc,11,TRUE)*boc_rr_oc_lov-boc_tr_mast_vus-boc_tr_ooph_vus-boc_tr_both_vus-VLOOKUP(AE10,mortt,2,FALSE))</f>
        <v>1.4089502187206965E-3</v>
      </c>
      <c r="AO10" s="260">
        <f>AO9*(1-VLOOKUP(AE10,boc_trpr_bc,11,TRUE)*boc_rr_bc_np-VLOOKUP(AE10,boc_trpr_oc,11,TRUE)*boc_rr_oc_np-VLOOKUP(AE10,mortt,2,FALSE))</f>
        <v>0.91957769314586957</v>
      </c>
      <c r="AP10" s="260">
        <f>AF9*VLOOKUP(AE10,boc_trpr_bc,11,TRUE)*boc_rr_bc_mast+AG9*VLOOKUP(AE10,boc_trpr_bc,11,TRUE)*boc_rr_bc_ooph+AH9*VLOOKUP(AE10,boc_trpr_bc,11,TRUE)*boc_rr_bc_both+AI9*VLOOKUP(AE10,boc_trpr_bc,11,TRUE)*boc_rr_bc_hip+AJ9*VLOOKUP(AE10,boc_trpr_bc,11,TRUE)*boc_rr_bc_hiv+AK9*VLOOKUP(AE10,boc_trpr_bc,11,TRUE)*boc_rr_bc_modp+AL9*VLOOKUP(AE10,boc_trpr_bc,11,TRUE)*boc_rr_bc_modv+AM9*VLOOKUP(AE10,boc_trpr_bc,11,TRUE)*boc_rr_bc_lop+AN9*VLOOKUP(AE10,boc_trpr_bc,11,TRUE)*boc_rr_bc_lov+AO9*VLOOKUP(AE10,boc_trpr_bc,11,TRUE)*boc_rr_bc_np</f>
        <v>1.7931568858536272E-3</v>
      </c>
      <c r="AQ10" s="260">
        <f>AF9*VLOOKUP(AE10,boc_trpr_oc,11,TRUE)*boc_rr_oc_mast+AG9*VLOOKUP(AE10,boc_trpr_oc,11,TRUE)*boc_rr_oc_ooph+AH9*VLOOKUP(AE10,boc_trpr_oc,11,TRUE)*boc_rr_oc_both+AI9*VLOOKUP(AE10,boc_trpr_oc,11,TRUE)*boc_rr_oc_hip+AJ9*VLOOKUP(AE10,boc_trpr_oc,11,TRUE)*boc_rr_oc_hiv+AK9*VLOOKUP(AE10,boc_trpr_oc,11,TRUE)*boc_rr_oc_modp+AL9*VLOOKUP(AE10,boc_trpr_oc,11,TRUE)*boc_rr_oc_modv+AM9*VLOOKUP(AE10,boc_trpr_oc,11,TRUE)*boc_rr_oc_lop+AN9*VLOOKUP(AE10,boc_trpr_oc,11,TRUE)*boc_rr_oc_lov+AO9*VLOOKUP(AE10,boc_trpr_oc,11,TRUE)*boc_rr_oc_np</f>
        <v>1.3974937177681622E-4</v>
      </c>
      <c r="AR10" s="260">
        <f>AP9*(1-VLOOKUP(AE10,boc_trpr_bc_death,20,TRUE))+AQ9*(1-VLOOKUP(AE10,boc_trpr_oc_death,20,TRUE))+AR9*(1-VLOOKUP(AE10,mortt,2,FALSE)*boc_rr_death_pc)</f>
        <v>3.9095912765481685E-3</v>
      </c>
      <c r="AS10" s="260">
        <f>AS9+SUM(AF9:AO9)*VLOOKUP(AE10,mortt,2,FALSE)+AP9*VLOOKUP(AE10,boc_trpr_bc_death,20,TRUE)+AQ9*VLOOKUP(AE10,boc_trpr_bc_death,20,TRUE)+AR9*VLOOKUP(AE10,mortt,2,FALSE)*boc_rr_death_pc</f>
        <v>1.0118407953997103E-2</v>
      </c>
      <c r="AT10" s="260">
        <f t="shared" si="23"/>
        <v>1.0000000322050395</v>
      </c>
      <c r="AU10" s="118">
        <f>(boc_cost_mast*SUM(AI10,AK10,AM10)*(boc_tr_mast_path+boc_tr_both_path)+SUM(AJ10,AL10,AN10)*(boc_tr_mast_vus+boc_tr_both_vus)+AP10*boc_cost_bc+AQ10*boc_cost_oc+AR10*boc_cost_pc+(AP10*VLOOKUP(AE10,boc_trpr_bc_death,20,TRUE)+AQ10*VLOOKUP(AE10,boc_trpr_oc_death,TRUE)*boc_cost_death))/((1+discount)^AD10)</f>
        <v>561.71703603685728</v>
      </c>
      <c r="AV10" s="35">
        <f t="shared" si="3"/>
        <v>0.83480136183159581</v>
      </c>
      <c r="AW10" s="35">
        <f t="shared" si="4"/>
        <v>0.87949697350303546</v>
      </c>
      <c r="AY10" s="12">
        <v>4</v>
      </c>
      <c r="AZ10" s="12">
        <f t="shared" si="5"/>
        <v>49</v>
      </c>
      <c r="BA10" s="260">
        <f>BA9*(1-VLOOKUP(AZ10,boc_trpr_bc,11,TRUE)*boc_rr_bc_mast-VLOOKUP(AZ10,boc_trpr_oc,11,TRUE)*boc_rr_oc_mast-VLOOKUP(AZ10,mortt,2,FALSE))</f>
        <v>9.8891707424119072E-3</v>
      </c>
      <c r="BB10" s="260">
        <f>BB9*(1-VLOOKUP(AZ10,boc_trpr_bc,11,TRUE)*boc_rr_bc_ooph-VLOOKUP(AZ10,boc_trpr_oc,11,TRUE)*boc_rr_oc_ooph-VLOOKUP(AZ10,mortt,2,FALSE))</f>
        <v>9.870005048710254E-3</v>
      </c>
      <c r="BC10" s="260">
        <f>BC9*(1-VLOOKUP(AZ10,boc_trpr_bc,11,TRUE)*boc_rr_bc_both-VLOOKUP(AZ10,boc_trpr_oc,11,TRUE)*boc_rr_oc_both-VLOOKUP(AZ10,mortt,2,FALSE))</f>
        <v>9.8953617030815393E-3</v>
      </c>
      <c r="BD10" s="289">
        <f>BD9*(1-VLOOKUP(AZ10,boc_trpr_bc,11,TRUE)*boc_rr_bc_hip-VLOOKUP(AZ10,boc_trpr_oc,11,TRUE)*boc_rr_oc_hip-VLOOKUP(AZ10,mortt,2,FALSE))</f>
        <v>3.2371119840705932E-3</v>
      </c>
      <c r="BE10" s="289">
        <f>BE9*(1-VLOOKUP(AZ10,boc_trpr_bc,11,TRUE)*boc_rr_bc_hiv-VLOOKUP(AZ10,boc_trpr_oc,11,TRUE)*boc_rr_oc_hiv-VLOOKUP(AZ10,mortt,2,FALSE))</f>
        <v>1.0143900168780301E-2</v>
      </c>
      <c r="BF10" s="289">
        <f>BF9*(1-VLOOKUP(AZ10,boc_trpr_bc,11,TRUE)*boc_rr_bc_modp-VLOOKUP(AZ10,boc_trpr_oc,11,TRUE)*boc_rr_oc_modp-VLOOKUP(AZ10,mortt,2,FALSE))</f>
        <v>4.3740853873718314E-3</v>
      </c>
      <c r="BG10" s="289">
        <f>BG9*(1-VLOOKUP(AZ10,boc_trpr_bc,11,TRUE)*boc_rr_bc_modv-VLOOKUP(AZ10,boc_trpr_oc,11,TRUE)*boc_rr_oc_modv-VLOOKUP(AZ10,mortt,2,FALSE))</f>
        <v>1.2897742493396565E-2</v>
      </c>
      <c r="BH10" s="289">
        <f>BH9*(1-VLOOKUP(AZ10,boc_trpr_bc,11,TRUE)*boc_rr_bc_lop-VLOOKUP(AZ10,boc_trpr_oc,11,TRUE)*boc_rr_oc_lop-VLOOKUP(AZ10,mortt,2,FALSE))</f>
        <v>9.7795668351364747E-4</v>
      </c>
      <c r="BI10" s="289">
        <f>BI9*(1-VLOOKUP(AZ10,boc_trpr_bc,11,TRUE)*boc_rr_bc_lov-VLOOKUP(AZ10,boc_trpr_oc,11,TRUE)*boc_rr_oc_lov-VLOOKUP(AZ10,mortt,2,FALSE))</f>
        <v>2.823559857060262E-3</v>
      </c>
      <c r="BJ10" s="260">
        <f>BJ9*(1-VLOOKUP(AZ10,boc_trpr_bc,11,TRUE)*boc_rr_bc_np-VLOOKUP(AZ10,boc_trpr_oc,11,TRUE)*boc_rr_oc_np-VLOOKUP(AZ10,mortt,2,FALSE))</f>
        <v>0.91957769314586957</v>
      </c>
      <c r="BK10" s="260">
        <f>BA9*VLOOKUP(AZ10,boc_trpr_bc,11,TRUE)*boc_rr_bc_mast+BB9*VLOOKUP(AZ10,boc_trpr_bc,11,TRUE)*boc_rr_bc_ooph+BC9*VLOOKUP(AZ10,boc_trpr_bc,11,TRUE)*boc_rr_bc_both+BD9*VLOOKUP(AZ10,boc_trpr_bc,11,TRUE)*boc_rr_bc_hip+BE9*VLOOKUP(AZ10,boc_trpr_bc,11,TRUE)*boc_rr_bc_hiv+BF9*VLOOKUP(AZ10,boc_trpr_bc,11,TRUE)*boc_rr_bc_modp+BG9*VLOOKUP(AZ10,boc_trpr_bc,11,TRUE)*boc_rr_bc_modv+BH9*VLOOKUP(AZ10,boc_trpr_bc,11,TRUE)*boc_rr_bc_lop+BI9*VLOOKUP(AZ10,boc_trpr_bc,11,TRUE)*boc_rr_bc_lov+BJ9*VLOOKUP(AZ10,boc_trpr_bc,11,TRUE)*boc_rr_bc_np</f>
        <v>1.9446603898393704E-3</v>
      </c>
      <c r="BL10" s="260">
        <f>BA9*VLOOKUP(AZ10,boc_trpr_oc,11,TRUE)*boc_rr_oc_mast+BB9*VLOOKUP(AZ10,boc_trpr_oc,11,TRUE)*boc_rr_oc_ooph+BC9*VLOOKUP(AZ10,boc_trpr_oc,11,TRUE)*boc_rr_oc_both+BD9*VLOOKUP(AZ10,boc_trpr_oc,11,TRUE)*boc_rr_oc_hip+BE9*VLOOKUP(AZ10,boc_trpr_oc,11,TRUE)*boc_rr_oc_hiv+BF9*VLOOKUP(AZ10,boc_trpr_oc,11,TRUE)*boc_rr_oc_modp+BG9*VLOOKUP(AZ10,boc_trpr_oc,11,TRUE)*boc_rr_oc_modv+BH9*VLOOKUP(AZ10,boc_trpr_oc,11,TRUE)*boc_rr_oc_lop+BI9*VLOOKUP(AZ10,boc_trpr_oc,11,TRUE)*boc_rr_oc_lov+BJ9*VLOOKUP(AZ10,boc_trpr_oc,11,TRUE)*boc_rr_oc_np</f>
        <v>1.5074897077744305E-4</v>
      </c>
      <c r="BM10" s="260">
        <f>BK9*(1-VLOOKUP(AZ10,boc_trpr_bc_death,20,TRUE))+BL9*(1-VLOOKUP(AZ10,boc_trpr_oc_death,20,TRUE))+BM9*(1-VLOOKUP(AZ10,mortt,2,FALSE)*boc_rr_death_pc)</f>
        <v>4.099985639362049E-3</v>
      </c>
      <c r="BN10" s="260">
        <f>BN9+SUM(BA9:BJ9)*VLOOKUP(AZ10,mortt,2,FALSE)+BK9*VLOOKUP(AZ10,boc_trpr_bc_death,20,TRUE)+BL9*VLOOKUP(AZ10,boc_trpr_bc_death,20,TRUE)+BM9*VLOOKUP(AZ10,mortt,2,FALSE)*boc_rr_death_pc</f>
        <v>1.0118051584105512E-2</v>
      </c>
      <c r="BO10" s="260">
        <f t="shared" si="24"/>
        <v>1.000000033798351</v>
      </c>
      <c r="BP10" s="118">
        <f>(boc_cost_mast*SUM(BD10,BF10,BH10)*(boc_tr_mast_path+boc_tr_both_path)+SUM(BE10,BG10,BI10)*(boc_tr_mast_vus+boc_tr_both_vus)+BK10*boc_cost_bc+BL10*boc_cost_oc+BM10*boc_cost_pc+(BK10*VLOOKUP(AZ10,boc_trpr_bc_death,20,TRUE)+BL10*VLOOKUP(AZ10,boc_trpr_oc_death,TRUE)*boc_cost_death))/((1+discount)^AY10)</f>
        <v>653.72870084046087</v>
      </c>
      <c r="BQ10" s="35">
        <f t="shared" si="6"/>
        <v>0.83426753754825256</v>
      </c>
      <c r="BR10" s="35">
        <f t="shared" si="7"/>
        <v>0.87949729013306843</v>
      </c>
      <c r="BS10" s="35"/>
      <c r="BU10" s="265"/>
      <c r="BV10" s="265"/>
      <c r="BW10" s="267"/>
      <c r="BX10" s="268"/>
      <c r="BY10" s="268"/>
      <c r="BZ10" s="268"/>
      <c r="CA10" s="268"/>
      <c r="CD10" s="138">
        <v>5</v>
      </c>
      <c r="CE10" s="291">
        <v>1.21E-4</v>
      </c>
      <c r="CH10" s="12">
        <v>39</v>
      </c>
      <c r="CI10" s="12" t="s">
        <v>306</v>
      </c>
      <c r="CJ10" s="376">
        <v>60.8</v>
      </c>
      <c r="CK10" s="260">
        <f t="shared" si="9"/>
        <v>6.0799999999999993E-4</v>
      </c>
      <c r="CL10" s="289">
        <f t="shared" si="10"/>
        <v>6.0781520545361012E-4</v>
      </c>
      <c r="CM10" s="289">
        <f t="shared" si="11"/>
        <v>4.5511594271130384E-4</v>
      </c>
      <c r="CN10" s="289">
        <f t="shared" si="12"/>
        <v>7.6049114051424116E-4</v>
      </c>
      <c r="CO10" s="290">
        <f t="shared" si="13"/>
        <v>60.836382474833712</v>
      </c>
      <c r="CP10" s="290">
        <f t="shared" si="14"/>
        <v>100029.4244879023</v>
      </c>
      <c r="CQ10" s="289">
        <f t="shared" ca="1" si="15"/>
        <v>4.980969941839672E-4</v>
      </c>
      <c r="CR10" s="289">
        <f>IF(psa,CQ10,CL10)</f>
        <v>6.0781520545361012E-4</v>
      </c>
      <c r="CS10" s="373">
        <v>6.5</v>
      </c>
      <c r="CT10" s="12">
        <f t="shared" si="16"/>
        <v>6.4999999999999994E-5</v>
      </c>
      <c r="CU10" s="289">
        <f t="shared" si="17"/>
        <v>6.4997887545770183E-5</v>
      </c>
      <c r="CV10" s="289">
        <f t="shared" si="18"/>
        <v>1.5032038036544293E-5</v>
      </c>
      <c r="CW10" s="289">
        <f t="shared" si="19"/>
        <v>1.1496124043142153E-4</v>
      </c>
      <c r="CX10" s="290">
        <f t="shared" si="20"/>
        <v>6.5003575264564919</v>
      </c>
      <c r="CY10" s="290">
        <f t="shared" si="21"/>
        <v>100002.25026346985</v>
      </c>
      <c r="CZ10" s="289">
        <f t="shared" ca="1" si="22"/>
        <v>5.7628311264860686E-5</v>
      </c>
      <c r="DA10" s="289">
        <f>IF(psa,CZ10,CU10)</f>
        <v>6.4997887545770183E-5</v>
      </c>
    </row>
    <row r="11" spans="1:105" ht="15" customHeight="1" x14ac:dyDescent="0.2">
      <c r="S11" s="11"/>
      <c r="U11" s="9" t="s">
        <v>7</v>
      </c>
      <c r="V11" s="250">
        <f>boc_unk_int_mast*boc_test_int_vus_mast</f>
        <v>0.03</v>
      </c>
      <c r="X11" s="261">
        <f>R12*T12*V11</f>
        <v>3.1903352113976001E-4</v>
      </c>
      <c r="AD11" s="12">
        <v>5</v>
      </c>
      <c r="AE11" s="12">
        <f t="shared" si="2"/>
        <v>50</v>
      </c>
      <c r="AF11" s="260">
        <f>AF10*(1-VLOOKUP(AE11,boc_trpr_bc,11,TRUE)*boc_rr_bc_mast-VLOOKUP(AE11,boc_trpr_oc,11,TRUE)*boc_rr_oc_mast-VLOOKUP(AE11,mortt,2,FALSE))+SUM(AI10,AK10,AM10)*boc_tr_mast_path+SUM(AJ10,AL10,AN10)*boc_tr_mast_vus</f>
        <v>1.8106088632860239E-2</v>
      </c>
      <c r="AG11" s="260">
        <f>AG10*(1-VLOOKUP(AE11,boc_trpr_bc,11,TRUE)*boc_rr_bc_ooph-VLOOKUP(AE11,boc_trpr_oc,11,TRUE)*boc_rr_oc_ooph-VLOOKUP(AE11,mortt,2,FALSE))+SUM(AI10,AK10,AM10)*boc_tr_ooph_path+SUM(AJ10,AL10,AN10)*boc_tr_ooph_vus</f>
        <v>1.7614919415601931E-2</v>
      </c>
      <c r="AH11" s="260">
        <f>AH10*(1-VLOOKUP(AE11,boc_trpr_bc,11,TRUE)*boc_rr_bc_both-VLOOKUP(AE11,boc_trpr_oc,11,TRUE)*boc_rr_oc_both-VLOOKUP(AE11,mortt,2,FALSE))+SUM(AI10,AK10,AM10)*boc_tr_both_path+SUM(AJ10,AL10,AN10)*boc_tr_both_vus</f>
        <v>1.7573037582223443E-2</v>
      </c>
      <c r="AI11" s="289">
        <f>AI10*(1-VLOOKUP(AE11,boc_trpr_bc,11,TRUE)*boc_rr_bc_hip-VLOOKUP(AE11,boc_trpr_oc,11,TRUE)*boc_rr_oc_hip-boc_tr_mast_path-boc_tr_ooph_path-boc_tr_both_path-VLOOKUP(AE11,mortt,2,FALSE))</f>
        <v>1.8429977220726343E-6</v>
      </c>
      <c r="AJ11" s="289">
        <f>AJ10*(1-VLOOKUP(AE11,boc_trpr_bc,11,TRUE)*boc_rr_bc_hiv-VLOOKUP(AE11,boc_trpr_oc,11,TRUE)*boc_rr_oc_hiv-boc_tr_mast_vus-boc_tr_ooph_vus-boc_tr_both_vus-VLOOKUP(AE11,mortt,2,FALSE))</f>
        <v>4.2749553786429837E-3</v>
      </c>
      <c r="AK11" s="289">
        <f>AK10*(1-VLOOKUP(AE11,boc_trpr_bc,11,TRUE)*boc_rr_bc_modp-VLOOKUP(AE11,boc_trpr_oc,11,TRUE)*boc_rr_oc_modp-boc_tr_mast_path-boc_tr_ooph_path-boc_tr_both_path-VLOOKUP(AE11,mortt,2,FALSE))</f>
        <v>3.316549078056311E-6</v>
      </c>
      <c r="AL11" s="289">
        <f>AL10*(1-VLOOKUP(AE11,boc_trpr_bc,11,TRUE)*boc_rr_bc_modv-VLOOKUP(AE11,boc_trpr_oc,11,TRUE)*boc_rr_oc_modv-boc_tr_mast_vus-boc_tr_ooph_vus-boc_tr_both_vus-VLOOKUP(AE11,mortt,2,FALSE))</f>
        <v>5.4355102797829982E-3</v>
      </c>
      <c r="AM11" s="289">
        <f>AM10*(1-VLOOKUP(AE11,boc_trpr_bc,11,TRUE)*boc_rr_bc_lop-VLOOKUP(AE11,boc_trpr_oc,11,TRUE)*boc_rr_oc_lop-boc_tr_mast_path-boc_tr_ooph_path-boc_tr_both_path-VLOOKUP(AE11,mortt,2,FALSE))</f>
        <v>8.1520045621938789E-7</v>
      </c>
      <c r="AN11" s="289">
        <f>AN10*(1-VLOOKUP(AE11,boc_trpr_bc,11,TRUE)*boc_rr_bc_lov-VLOOKUP(AE11,boc_trpr_oc,11,TRUE)*boc_rr_oc_lov-boc_tr_mast_vus-boc_tr_ooph_vus-boc_tr_both_vus-VLOOKUP(AE11,mortt,2,FALSE))</f>
        <v>1.1899360400854124E-3</v>
      </c>
      <c r="AO11" s="260">
        <f>AO10*(1-VLOOKUP(AE11,boc_trpr_bc,11,TRUE)*boc_rr_bc_np-VLOOKUP(AE11,boc_trpr_oc,11,TRUE)*boc_rr_oc_np-VLOOKUP(AE11,mortt,2,FALSE))</f>
        <v>0.91475706836547244</v>
      </c>
      <c r="AP11" s="260">
        <f>AF10*VLOOKUP(AE11,boc_trpr_bc,11,TRUE)*boc_rr_bc_mast+AG10*VLOOKUP(AE11,boc_trpr_bc,11,TRUE)*boc_rr_bc_ooph+AH10*VLOOKUP(AE11,boc_trpr_bc,11,TRUE)*boc_rr_bc_both+AI10*VLOOKUP(AE11,boc_trpr_bc,11,TRUE)*boc_rr_bc_hip+AJ10*VLOOKUP(AE11,boc_trpr_bc,11,TRUE)*boc_rr_bc_hiv+AK10*VLOOKUP(AE11,boc_trpr_bc,11,TRUE)*boc_rr_bc_modp+AL10*VLOOKUP(AE11,boc_trpr_bc,11,TRUE)*boc_rr_bc_modv+AM10*VLOOKUP(AE11,boc_trpr_bc,11,TRUE)*boc_rr_bc_lop+AN10*VLOOKUP(AE11,boc_trpr_bc,11,TRUE)*boc_rr_bc_lov+AO10*VLOOKUP(AE11,boc_trpr_bc,11,TRUE)*boc_rr_bc_np</f>
        <v>1.7792047751990373E-3</v>
      </c>
      <c r="AQ11" s="260">
        <f>AF10*VLOOKUP(AE11,boc_trpr_oc,11,TRUE)*boc_rr_oc_mast+AG10*VLOOKUP(AE11,boc_trpr_oc,11,TRUE)*boc_rr_oc_ooph+AH10*VLOOKUP(AE11,boc_trpr_oc,11,TRUE)*boc_rr_oc_both+AI10*VLOOKUP(AE11,boc_trpr_oc,11,TRUE)*boc_rr_oc_hip+AJ10*VLOOKUP(AE11,boc_trpr_oc,11,TRUE)*boc_rr_oc_hiv+AK10*VLOOKUP(AE11,boc_trpr_oc,11,TRUE)*boc_rr_oc_modp+AL10*VLOOKUP(AE11,boc_trpr_oc,11,TRUE)*boc_rr_oc_modv+AM10*VLOOKUP(AE11,boc_trpr_oc,11,TRUE)*boc_rr_oc_lop+AN10*VLOOKUP(AE11,boc_trpr_oc,11,TRUE)*boc_rr_oc_lov+AO10*VLOOKUP(AE11,boc_trpr_oc,11,TRUE)*boc_rr_oc_np</f>
        <v>1.3874570734407089E-4</v>
      </c>
      <c r="AR11" s="260">
        <f>AP10*(1-VLOOKUP(AE11,boc_trpr_bc_death,20,TRUE))+AQ10*(1-VLOOKUP(AE11,boc_trpr_oc_death,20,TRUE))+AR10*(1-VLOOKUP(AE11,mortt,2,FALSE)*boc_rr_death_pc)</f>
        <v>5.8232820920079524E-3</v>
      </c>
      <c r="AS11" s="260">
        <f>AS10+SUM(AF10:AO10)*VLOOKUP(AE11,mortt,2,FALSE)+AP10*VLOOKUP(AE11,boc_trpr_bc_death,20,TRUE)+AQ10*VLOOKUP(AE11,boc_trpr_bc_death,20,TRUE)+AR10*VLOOKUP(AE11,mortt,2,FALSE)*boc_rr_death_pc</f>
        <v>1.3301330427875655E-2</v>
      </c>
      <c r="AT11" s="260">
        <f t="shared" si="23"/>
        <v>1.0000000534443525</v>
      </c>
      <c r="AU11" s="118">
        <f>(boc_cost_mast*SUM(AI11,AK11,AM11)*(boc_tr_mast_path+boc_tr_both_path)+SUM(AJ11,AL11,AN11)*(boc_tr_mast_vus+boc_tr_both_vus)+AP11*boc_cost_bc+AQ11*boc_cost_oc+AR11*boc_cost_pc+(AP11*VLOOKUP(AE11,boc_trpr_bc_death,20,TRUE)+AQ11*VLOOKUP(AE11,boc_trpr_oc_death,TRUE)*boc_cost_death))/((1+discount)^AD11)</f>
        <v>554.22314749902603</v>
      </c>
      <c r="AV11" s="35">
        <f t="shared" si="3"/>
        <v>0.80773346362906995</v>
      </c>
      <c r="AW11" s="35">
        <f t="shared" si="4"/>
        <v>0.8511349399130822</v>
      </c>
      <c r="AY11" s="12">
        <v>5</v>
      </c>
      <c r="AZ11" s="12">
        <f t="shared" si="5"/>
        <v>50</v>
      </c>
      <c r="BA11" s="260">
        <f>BA10*(1-VLOOKUP(AZ11,boc_trpr_bc,11,TRUE)*boc_rr_bc_mast-VLOOKUP(AZ11,boc_trpr_oc,11,TRUE)*boc_rr_oc_mast-VLOOKUP(AZ11,mortt,2,FALSE))</f>
        <v>9.8540818668615797E-3</v>
      </c>
      <c r="BB11" s="260">
        <f>BB10*(1-VLOOKUP(AZ11,boc_trpr_bc,11,TRUE)*boc_rr_bc_ooph-VLOOKUP(AZ11,boc_trpr_oc,11,TRUE)*boc_rr_oc_ooph-VLOOKUP(AZ11,mortt,2,FALSE))</f>
        <v>9.828569447156401E-3</v>
      </c>
      <c r="BC11" s="260">
        <f>BC10*(1-VLOOKUP(AZ11,boc_trpr_bc,11,TRUE)*boc_rr_bc_both-VLOOKUP(AZ11,boc_trpr_oc,11,TRUE)*boc_rr_oc_both-VLOOKUP(AZ11,mortt,2,FALSE))</f>
        <v>9.8623872939129845E-3</v>
      </c>
      <c r="BD11" s="289">
        <f>BD10*(1-VLOOKUP(AZ11,boc_trpr_bc,11,TRUE)*boc_rr_bc_hip-VLOOKUP(AZ11,boc_trpr_oc,11,TRUE)*boc_rr_oc_hip-VLOOKUP(AZ11,mortt,2,FALSE))</f>
        <v>3.1282697970408434E-3</v>
      </c>
      <c r="BE11" s="289">
        <f>BE10*(1-VLOOKUP(AZ11,boc_trpr_bc,11,TRUE)*boc_rr_bc_hiv-VLOOKUP(AZ11,boc_trpr_oc,11,TRUE)*boc_rr_oc_hiv-VLOOKUP(AZ11,mortt,2,FALSE))</f>
        <v>1.0088667266746468E-2</v>
      </c>
      <c r="BF11" s="289">
        <f>BF10*(1-VLOOKUP(AZ11,boc_trpr_bc,11,TRUE)*boc_rr_bc_modp-VLOOKUP(AZ11,boc_trpr_oc,11,TRUE)*boc_rr_oc_modp-VLOOKUP(AZ11,mortt,2,FALSE))</f>
        <v>4.3156866261935987E-3</v>
      </c>
      <c r="BG11" s="289">
        <f>BG10*(1-VLOOKUP(AZ11,boc_trpr_bc,11,TRUE)*boc_rr_bc_modv-VLOOKUP(AZ11,boc_trpr_oc,11,TRUE)*boc_rr_oc_modv-VLOOKUP(AZ11,mortt,2,FALSE))</f>
        <v>1.2827515092126603E-2</v>
      </c>
      <c r="BH11" s="289">
        <f>BH10*(1-VLOOKUP(AZ11,boc_trpr_bc,11,TRUE)*boc_rr_bc_lop-VLOOKUP(AZ11,boc_trpr_oc,11,TRUE)*boc_rr_oc_lop-VLOOKUP(AZ11,mortt,2,FALSE))</f>
        <v>9.7183875880677776E-4</v>
      </c>
      <c r="BI11" s="289">
        <f>BI10*(1-VLOOKUP(AZ11,boc_trpr_bc,11,TRUE)*boc_rr_bc_lov-VLOOKUP(AZ11,boc_trpr_oc,11,TRUE)*boc_rr_oc_lov-VLOOKUP(AZ11,mortt,2,FALSE))</f>
        <v>2.8081857502200106E-3</v>
      </c>
      <c r="BJ11" s="260">
        <f>BJ10*(1-VLOOKUP(AZ11,boc_trpr_bc,11,TRUE)*boc_rr_bc_np-VLOOKUP(AZ11,boc_trpr_oc,11,TRUE)*boc_rr_oc_np-VLOOKUP(AZ11,mortt,2,FALSE))</f>
        <v>0.91475706836547244</v>
      </c>
      <c r="BK11" s="260">
        <f>BA10*VLOOKUP(AZ11,boc_trpr_bc,11,TRUE)*boc_rr_bc_mast+BB10*VLOOKUP(AZ11,boc_trpr_bc,11,TRUE)*boc_rr_bc_ooph+BC10*VLOOKUP(AZ11,boc_trpr_bc,11,TRUE)*boc_rr_bc_both+BD10*VLOOKUP(AZ11,boc_trpr_bc,11,TRUE)*boc_rr_bc_hip+BE10*VLOOKUP(AZ11,boc_trpr_bc,11,TRUE)*boc_rr_bc_hiv+BF10*VLOOKUP(AZ11,boc_trpr_bc,11,TRUE)*boc_rr_bc_modp+BG10*VLOOKUP(AZ11,boc_trpr_bc,11,TRUE)*boc_rr_bc_modv+BH10*VLOOKUP(AZ11,boc_trpr_bc,11,TRUE)*boc_rr_bc_lop+BI10*VLOOKUP(AZ11,boc_trpr_bc,11,TRUE)*boc_rr_bc_lov+BJ10*VLOOKUP(AZ11,boc_trpr_bc,11,TRUE)*boc_rr_bc_np</f>
        <v>1.9319940428365028E-3</v>
      </c>
      <c r="BL11" s="260">
        <f>BA10*VLOOKUP(AZ11,boc_trpr_oc,11,TRUE)*boc_rr_oc_mast+BB10*VLOOKUP(AZ11,boc_trpr_oc,11,TRUE)*boc_rr_oc_ooph+BC10*VLOOKUP(AZ11,boc_trpr_oc,11,TRUE)*boc_rr_oc_both+BD10*VLOOKUP(AZ11,boc_trpr_oc,11,TRUE)*boc_rr_oc_hip+BE10*VLOOKUP(AZ11,boc_trpr_oc,11,TRUE)*boc_rr_oc_hiv+BF10*VLOOKUP(AZ11,boc_trpr_oc,11,TRUE)*boc_rr_oc_modp+BG10*VLOOKUP(AZ11,boc_trpr_oc,11,TRUE)*boc_rr_oc_modv+BH10*VLOOKUP(AZ11,boc_trpr_oc,11,TRUE)*boc_rr_oc_lop+BI10*VLOOKUP(AZ11,boc_trpr_oc,11,TRUE)*boc_rr_oc_lov+BJ10*VLOOKUP(AZ11,boc_trpr_oc,11,TRUE)*boc_rr_oc_np</f>
        <v>1.4977052899839373E-4</v>
      </c>
      <c r="BM11" s="260">
        <f>BK10*(1-VLOOKUP(AZ11,boc_trpr_bc_death,20,TRUE))+BL10*(1-VLOOKUP(AZ11,boc_trpr_oc_death,20,TRUE))+BM10*(1-VLOOKUP(AZ11,mortt,2,FALSE)*boc_rr_death_pc)</f>
        <v>6.1752308802994031E-3</v>
      </c>
      <c r="BN11" s="260">
        <f>BN10+SUM(BA10:BJ10)*VLOOKUP(AZ11,mortt,2,FALSE)+BK10*VLOOKUP(AZ11,boc_trpr_bc_death,20,TRUE)+BL10*VLOOKUP(AZ11,boc_trpr_bc_death,20,TRUE)+BM10*VLOOKUP(AZ11,mortt,2,FALSE)*boc_rr_death_pc</f>
        <v>1.33007909927271E-2</v>
      </c>
      <c r="BO11" s="260">
        <f t="shared" si="24"/>
        <v>1.000000056709399</v>
      </c>
      <c r="BP11" s="118">
        <f>(boc_cost_mast*SUM(BD11,BF11,BH11)*(boc_tr_mast_path+boc_tr_both_path)+SUM(BE11,BG11,BI11)*(boc_tr_mast_vus+boc_tr_both_vus)+BK11*boc_cost_bc+BL11*boc_cost_oc+BM11*boc_cost_pc+(BK11*VLOOKUP(AZ11,boc_trpr_bc_death,20,TRUE)+BL11*VLOOKUP(AZ11,boc_trpr_oc_death,TRUE)*boc_cost_death))/((1+discount)^AY11)</f>
        <v>643.95635194863519</v>
      </c>
      <c r="BQ11" s="35">
        <f t="shared" si="6"/>
        <v>0.80719176074206145</v>
      </c>
      <c r="BR11" s="35">
        <f t="shared" si="7"/>
        <v>0.85113540523457998</v>
      </c>
      <c r="BS11" s="35"/>
      <c r="BU11" s="265"/>
      <c r="BV11" s="265"/>
      <c r="BW11" s="267"/>
      <c r="BX11" s="268"/>
      <c r="BY11" s="268"/>
      <c r="BZ11" s="268"/>
      <c r="CA11" s="268"/>
      <c r="CD11" s="138">
        <v>6</v>
      </c>
      <c r="CE11" s="291">
        <v>1.07E-4</v>
      </c>
      <c r="CH11" s="12">
        <v>44</v>
      </c>
      <c r="CI11" s="12" t="s">
        <v>307</v>
      </c>
      <c r="CJ11" s="376">
        <v>122.7</v>
      </c>
      <c r="CK11" s="260">
        <f t="shared" si="9"/>
        <v>1.227E-3</v>
      </c>
      <c r="CL11" s="289">
        <f t="shared" si="10"/>
        <v>1.226247543286263E-3</v>
      </c>
      <c r="CM11" s="289">
        <f t="shared" si="11"/>
        <v>1.0095180550325766E-3</v>
      </c>
      <c r="CN11" s="289">
        <f t="shared" si="12"/>
        <v>1.4429300124022548E-3</v>
      </c>
      <c r="CO11" s="290">
        <f t="shared" si="13"/>
        <v>122.84952509293193</v>
      </c>
      <c r="CP11" s="290">
        <f t="shared" si="14"/>
        <v>100060.45014024484</v>
      </c>
      <c r="CQ11" s="289">
        <f t="shared" ca="1" si="15"/>
        <v>1.3533215003305177E-3</v>
      </c>
      <c r="CR11" s="289">
        <f>IF(psa,CQ11,CL11)</f>
        <v>1.226247543286263E-3</v>
      </c>
      <c r="CS11" s="373">
        <v>12.7</v>
      </c>
      <c r="CT11" s="12">
        <f t="shared" si="16"/>
        <v>1.27E-4</v>
      </c>
      <c r="CU11" s="289">
        <f t="shared" si="17"/>
        <v>1.269919358414251E-4</v>
      </c>
      <c r="CV11" s="289">
        <f t="shared" si="18"/>
        <v>5.7155449147527904E-5</v>
      </c>
      <c r="CW11" s="289">
        <f t="shared" si="19"/>
        <v>1.9682354512151612E-4</v>
      </c>
      <c r="CX11" s="290">
        <f t="shared" si="20"/>
        <v>12.701486109354624</v>
      </c>
      <c r="CY11" s="290">
        <f t="shared" si="21"/>
        <v>100005.35103980046</v>
      </c>
      <c r="CZ11" s="289">
        <f t="shared" ca="1" si="22"/>
        <v>1.1645823418453427E-4</v>
      </c>
      <c r="DA11" s="289">
        <f>IF(psa,CZ11,CU11)</f>
        <v>1.269919358414251E-4</v>
      </c>
    </row>
    <row r="12" spans="1:105" ht="15" customHeight="1" x14ac:dyDescent="0.2">
      <c r="Q12" s="9" t="s">
        <v>10</v>
      </c>
      <c r="R12" s="263">
        <f>$L$7*boc_find_high</f>
        <v>3.9218328800000007E-2</v>
      </c>
      <c r="S12" s="9" t="s">
        <v>12</v>
      </c>
      <c r="T12" s="251">
        <f>boc_path_high_vus</f>
        <v>0.27116022099999998</v>
      </c>
      <c r="U12" s="9" t="s">
        <v>8</v>
      </c>
      <c r="V12" s="250">
        <f>boc_unk_int_ooph*boc_test_int_vus_ooph</f>
        <v>0.02</v>
      </c>
      <c r="Y12" s="261">
        <f>R12*T12*V12</f>
        <v>2.1268901409317333E-4</v>
      </c>
      <c r="AD12" s="12">
        <v>6</v>
      </c>
      <c r="AE12" s="12">
        <f t="shared" si="2"/>
        <v>51</v>
      </c>
      <c r="AF12" s="260">
        <f>AF11*(1-VLOOKUP(AE12,boc_trpr_bc,11,TRUE)*boc_rr_bc_mast-VLOOKUP(AE12,boc_trpr_oc,11,TRUE)*boc_rr_oc_mast-VLOOKUP(AE12,mortt,2,FALSE))+SUM(AI11,AK11,AM11)*boc_tr_mast_path+SUM(AJ11,AL11,AN11)*boc_tr_mast_vus</f>
        <v>1.8583306562618765E-2</v>
      </c>
      <c r="AG12" s="260">
        <f>AG11*(1-VLOOKUP(AE12,boc_trpr_bc,11,TRUE)*boc_rr_bc_ooph-VLOOKUP(AE12,boc_trpr_oc,11,TRUE)*boc_rr_oc_ooph-VLOOKUP(AE12,mortt,2,FALSE))+SUM(AI11,AK11,AM11)*boc_tr_ooph_path+SUM(AJ11,AL11,AN11)*boc_tr_ooph_vus</f>
        <v>1.8082568836683088E-2</v>
      </c>
      <c r="AH12" s="260">
        <f>AH11*(1-VLOOKUP(AE12,boc_trpr_bc,11,TRUE)*boc_rr_bc_both-VLOOKUP(AE12,boc_trpr_oc,11,TRUE)*boc_rr_oc_both-VLOOKUP(AE12,mortt,2,FALSE))+SUM(AI11,AK11,AM11)*boc_tr_both_path+SUM(AJ11,AL11,AN11)*boc_tr_both_vus</f>
        <v>1.8056089673984348E-2</v>
      </c>
      <c r="AI12" s="289">
        <f>AI11*(1-VLOOKUP(AE12,boc_trpr_bc,11,TRUE)*boc_rr_bc_hip-VLOOKUP(AE12,boc_trpr_oc,11,TRUE)*boc_rr_oc_hip-boc_tr_mast_path-boc_tr_ooph_path-boc_tr_both_path-VLOOKUP(AE12,mortt,2,FALSE))</f>
        <v>3.9826768290791745E-7</v>
      </c>
      <c r="AJ12" s="289">
        <f>AJ11*(1-VLOOKUP(AE12,boc_trpr_bc,11,TRUE)*boc_rr_bc_hiv-VLOOKUP(AE12,boc_trpr_oc,11,TRUE)*boc_rr_oc_hiv-boc_tr_mast_vus-boc_tr_ooph_vus-boc_tr_both_vus-VLOOKUP(AE12,mortt,2,FALSE))</f>
        <v>3.6092424946088486E-3</v>
      </c>
      <c r="AK12" s="289">
        <f>AK11*(1-VLOOKUP(AE12,boc_trpr_bc,11,TRUE)*boc_rr_bc_modp-VLOOKUP(AE12,boc_trpr_oc,11,TRUE)*boc_rr_oc_modp-boc_tr_mast_path-boc_tr_ooph_path-boc_tr_both_path-VLOOKUP(AE12,mortt,2,FALSE))</f>
        <v>7.8393244234546172E-7</v>
      </c>
      <c r="AL12" s="289">
        <f>AL11*(1-VLOOKUP(AE12,boc_trpr_bc,11,TRUE)*boc_rr_bc_modv-VLOOKUP(AE12,boc_trpr_oc,11,TRUE)*boc_rr_oc_modv-boc_tr_mast_vus-boc_tr_ooph_vus-boc_tr_both_vus-VLOOKUP(AE12,mortt,2,FALSE))</f>
        <v>4.5890712169031986E-3</v>
      </c>
      <c r="AM12" s="289">
        <f>AM11*(1-VLOOKUP(AE12,boc_trpr_bc,11,TRUE)*boc_rr_bc_lop-VLOOKUP(AE12,boc_trpr_oc,11,TRUE)*boc_rr_oc_lop-boc_tr_mast_path-boc_tr_ooph_path-boc_tr_both_path-VLOOKUP(AE12,mortt,2,FALSE))</f>
        <v>1.9847292270279106E-7</v>
      </c>
      <c r="AN12" s="289">
        <f>AN11*(1-VLOOKUP(AE12,boc_trpr_bc,11,TRUE)*boc_rr_bc_lov-VLOOKUP(AE12,boc_trpr_oc,11,TRUE)*boc_rr_oc_lov-boc_tr_mast_vus-boc_tr_ooph_vus-boc_tr_both_vus-VLOOKUP(AE12,mortt,2,FALSE))</f>
        <v>1.0046345145960692E-3</v>
      </c>
      <c r="AO12" s="260">
        <f>AO11*(1-VLOOKUP(AE12,boc_trpr_bc,11,TRUE)*boc_rr_bc_np-VLOOKUP(AE12,boc_trpr_oc,11,TRUE)*boc_rr_oc_np-VLOOKUP(AE12,mortt,2,FALSE))</f>
        <v>0.90970649711874785</v>
      </c>
      <c r="AP12" s="260">
        <f>AF11*VLOOKUP(AE12,boc_trpr_bc,11,TRUE)*boc_rr_bc_mast+AG11*VLOOKUP(AE12,boc_trpr_bc,11,TRUE)*boc_rr_bc_ooph+AH11*VLOOKUP(AE12,boc_trpr_bc,11,TRUE)*boc_rr_bc_both+AI11*VLOOKUP(AE12,boc_trpr_bc,11,TRUE)*boc_rr_bc_hip+AJ11*VLOOKUP(AE12,boc_trpr_bc,11,TRUE)*boc_rr_bc_hiv+AK11*VLOOKUP(AE12,boc_trpr_bc,11,TRUE)*boc_rr_bc_modp+AL11*VLOOKUP(AE12,boc_trpr_bc,11,TRUE)*boc_rr_bc_modv+AM11*VLOOKUP(AE12,boc_trpr_bc,11,TRUE)*boc_rr_bc_lop+AN11*VLOOKUP(AE12,boc_trpr_bc,11,TRUE)*boc_rr_bc_lov+AO11*VLOOKUP(AE12,boc_trpr_bc,11,TRUE)*boc_rr_bc_np</f>
        <v>1.7664051483238016E-3</v>
      </c>
      <c r="AQ12" s="260">
        <f>AF11*VLOOKUP(AE12,boc_trpr_oc,11,TRUE)*boc_rr_oc_mast+AG11*VLOOKUP(AE12,boc_trpr_oc,11,TRUE)*boc_rr_oc_ooph+AH11*VLOOKUP(AE12,boc_trpr_oc,11,TRUE)*boc_rr_oc_both+AI11*VLOOKUP(AE12,boc_trpr_oc,11,TRUE)*boc_rr_oc_hip+AJ11*VLOOKUP(AE12,boc_trpr_oc,11,TRUE)*boc_rr_oc_hiv+AK11*VLOOKUP(AE12,boc_trpr_oc,11,TRUE)*boc_rr_oc_modp+AL11*VLOOKUP(AE12,boc_trpr_oc,11,TRUE)*boc_rr_oc_modv+AM11*VLOOKUP(AE12,boc_trpr_oc,11,TRUE)*boc_rr_oc_lop+AN11*VLOOKUP(AE12,boc_trpr_oc,11,TRUE)*boc_rr_oc_lov+AO11*VLOOKUP(AE12,boc_trpr_oc,11,TRUE)*boc_rr_oc_np</f>
        <v>1.3781673080782755E-4</v>
      </c>
      <c r="AR12" s="260">
        <f>AP11*(1-VLOOKUP(AE12,boc_trpr_bc_death,20,TRUE))+AQ11*(1-VLOOKUP(AE12,boc_trpr_oc_death,20,TRUE))+AR11*(1-VLOOKUP(AE12,mortt,2,FALSE)*boc_rr_death_pc)</f>
        <v>7.7103541232792809E-3</v>
      </c>
      <c r="AS12" s="260">
        <f>AS11+SUM(AF11:AO11)*VLOOKUP(AE12,mortt,2,FALSE)+AP11*VLOOKUP(AE12,boc_trpr_bc_death,20,TRUE)+AQ11*VLOOKUP(AE12,boc_trpr_bc_death,20,TRUE)+AR11*VLOOKUP(AE12,mortt,2,FALSE)*boc_rr_death_pc</f>
        <v>1.6752707437526319E-2</v>
      </c>
      <c r="AT12" s="260">
        <f t="shared" si="23"/>
        <v>1.0000000745311273</v>
      </c>
      <c r="AU12" s="118">
        <f>(boc_cost_mast*SUM(AI12,AK12,AM12)*(boc_tr_mast_path+boc_tr_both_path)+SUM(AJ12,AL12,AN12)*(boc_tr_mast_vus+boc_tr_both_vus)+AP12*boc_cost_bc+AQ12*boc_cost_oc+AR12*boc_cost_pc+(AP12*VLOOKUP(AE12,boc_trpr_bc_death,20,TRUE)+AQ12*VLOOKUP(AE12,boc_trpr_oc_death,TRUE)*boc_cost_death))/((1+discount)^AD12)</f>
        <v>546.87923059338175</v>
      </c>
      <c r="AV12" s="35">
        <f t="shared" si="3"/>
        <v>0.78131940639515507</v>
      </c>
      <c r="AW12" s="35">
        <f t="shared" si="4"/>
        <v>0.82345412794789896</v>
      </c>
      <c r="AY12" s="12">
        <v>6</v>
      </c>
      <c r="AZ12" s="12">
        <f t="shared" si="5"/>
        <v>51</v>
      </c>
      <c r="BA12" s="260">
        <f>BA11*(1-VLOOKUP(AZ12,boc_trpr_bc,11,TRUE)*boc_rr_bc_mast-VLOOKUP(AZ12,boc_trpr_oc,11,TRUE)*boc_rr_oc_mast-VLOOKUP(AZ12,mortt,2,FALSE))</f>
        <v>9.8163682052441331E-3</v>
      </c>
      <c r="BB12" s="260">
        <f>BB11*(1-VLOOKUP(AZ12,boc_trpr_bc,11,TRUE)*boc_rr_bc_ooph-VLOOKUP(AZ12,boc_trpr_oc,11,TRUE)*boc_rr_oc_ooph-VLOOKUP(AZ12,mortt,2,FALSE))</f>
        <v>9.7845656269251596E-3</v>
      </c>
      <c r="BC12" s="260">
        <f>BC11*(1-VLOOKUP(AZ12,boc_trpr_bc,11,TRUE)*boc_rr_bc_both-VLOOKUP(AZ12,boc_trpr_oc,11,TRUE)*boc_rr_oc_both-VLOOKUP(AZ12,mortt,2,FALSE))</f>
        <v>9.8267711596308864E-3</v>
      </c>
      <c r="BD12" s="289">
        <f>BD11*(1-VLOOKUP(AZ12,boc_trpr_bc,11,TRUE)*boc_rr_bc_hip-VLOOKUP(AZ12,boc_trpr_oc,11,TRUE)*boc_rr_oc_hip-VLOOKUP(AZ12,mortt,2,FALSE))</f>
        <v>3.0222144495086543E-3</v>
      </c>
      <c r="BE12" s="289">
        <f>BE11*(1-VLOOKUP(AZ12,boc_trpr_bc,11,TRUE)*boc_rr_bc_hiv-VLOOKUP(AZ12,boc_trpr_oc,11,TRUE)*boc_rr_oc_hiv-VLOOKUP(AZ12,mortt,2,FALSE))</f>
        <v>1.0030920366242599E-2</v>
      </c>
      <c r="BF12" s="289">
        <f>BF11*(1-VLOOKUP(AZ12,boc_trpr_bc,11,TRUE)*boc_rr_bc_modp-VLOOKUP(AZ12,boc_trpr_oc,11,TRUE)*boc_rr_oc_modp-VLOOKUP(AZ12,mortt,2,FALSE))</f>
        <v>4.2568634749422614E-3</v>
      </c>
      <c r="BG12" s="289">
        <f>BG11*(1-VLOOKUP(AZ12,boc_trpr_bc,11,TRUE)*boc_rr_bc_modv-VLOOKUP(AZ12,boc_trpr_oc,11,TRUE)*boc_rr_oc_modv-VLOOKUP(AZ12,mortt,2,FALSE))</f>
        <v>1.275409119795393E-2</v>
      </c>
      <c r="BH12" s="289">
        <f>BH11*(1-VLOOKUP(AZ12,boc_trpr_bc,11,TRUE)*boc_rr_bc_lop-VLOOKUP(AZ12,boc_trpr_oc,11,TRUE)*boc_rr_oc_lop-VLOOKUP(AZ12,mortt,2,FALSE))</f>
        <v>9.6548796374525624E-4</v>
      </c>
      <c r="BI12" s="289">
        <f>BI11*(1-VLOOKUP(AZ12,boc_trpr_bc,11,TRUE)*boc_rr_bc_lov-VLOOKUP(AZ12,boc_trpr_oc,11,TRUE)*boc_rr_oc_lov-VLOOKUP(AZ12,mortt,2,FALSE))</f>
        <v>2.7921118706057181E-3</v>
      </c>
      <c r="BJ12" s="260">
        <f>BJ11*(1-VLOOKUP(AZ12,boc_trpr_bc,11,TRUE)*boc_rr_bc_np-VLOOKUP(AZ12,boc_trpr_oc,11,TRUE)*boc_rr_oc_np-VLOOKUP(AZ12,mortt,2,FALSE))</f>
        <v>0.90970649711874785</v>
      </c>
      <c r="BK12" s="260">
        <f>BA11*VLOOKUP(AZ12,boc_trpr_bc,11,TRUE)*boc_rr_bc_mast+BB11*VLOOKUP(AZ12,boc_trpr_bc,11,TRUE)*boc_rr_bc_ooph+BC11*VLOOKUP(AZ12,boc_trpr_bc,11,TRUE)*boc_rr_bc_both+BD11*VLOOKUP(AZ12,boc_trpr_bc,11,TRUE)*boc_rr_bc_hip+BE11*VLOOKUP(AZ12,boc_trpr_bc,11,TRUE)*boc_rr_bc_hiv+BF11*VLOOKUP(AZ12,boc_trpr_bc,11,TRUE)*boc_rr_bc_modp+BG11*VLOOKUP(AZ12,boc_trpr_bc,11,TRUE)*boc_rr_bc_modv+BH11*VLOOKUP(AZ12,boc_trpr_bc,11,TRUE)*boc_rr_bc_lop+BI11*VLOOKUP(AZ12,boc_trpr_bc,11,TRUE)*boc_rr_bc_lov+BJ11*VLOOKUP(AZ12,boc_trpr_bc,11,TRUE)*boc_rr_bc_np</f>
        <v>1.9189396059516675E-3</v>
      </c>
      <c r="BL12" s="260">
        <f>BA11*VLOOKUP(AZ12,boc_trpr_oc,11,TRUE)*boc_rr_oc_mast+BB11*VLOOKUP(AZ12,boc_trpr_oc,11,TRUE)*boc_rr_oc_ooph+BC11*VLOOKUP(AZ12,boc_trpr_oc,11,TRUE)*boc_rr_oc_both+BD11*VLOOKUP(AZ12,boc_trpr_oc,11,TRUE)*boc_rr_oc_hip+BE11*VLOOKUP(AZ12,boc_trpr_oc,11,TRUE)*boc_rr_oc_hiv+BF11*VLOOKUP(AZ12,boc_trpr_oc,11,TRUE)*boc_rr_oc_modp+BG11*VLOOKUP(AZ12,boc_trpr_oc,11,TRUE)*boc_rr_oc_modv+BH11*VLOOKUP(AZ12,boc_trpr_oc,11,TRUE)*boc_rr_oc_lop+BI11*VLOOKUP(AZ12,boc_trpr_oc,11,TRUE)*boc_rr_oc_lov+BJ11*VLOOKUP(AZ12,boc_trpr_oc,11,TRUE)*boc_rr_oc_np</f>
        <v>1.4876193273534292E-4</v>
      </c>
      <c r="BM12" s="260">
        <f>BK11*(1-VLOOKUP(AZ12,boc_trpr_bc_death,20,TRUE))+BL11*(1-VLOOKUP(AZ12,boc_trpr_oc_death,20,TRUE))+BM11*(1-VLOOKUP(AZ12,mortt,2,FALSE)*boc_rr_death_pc)</f>
        <v>8.2242416808527372E-3</v>
      </c>
      <c r="BN12" s="260">
        <f>BN11+SUM(BA11:BJ11)*VLOOKUP(AZ12,mortt,2,FALSE)+BK11*VLOOKUP(AZ12,boc_trpr_bc_death,20,TRUE)+BL11*VLOOKUP(AZ12,boc_trpr_bc_death,20,TRUE)+BM11*VLOOKUP(AZ12,mortt,2,FALSE)*boc_rr_death_pc</f>
        <v>1.6752244818656215E-2</v>
      </c>
      <c r="BO12" s="260">
        <f t="shared" si="24"/>
        <v>1.0000000794717425</v>
      </c>
      <c r="BP12" s="118">
        <f>(boc_cost_mast*SUM(BD12,BF12,BH12)*(boc_tr_mast_path+boc_tr_both_path)+SUM(BE12,BG12,BI12)*(boc_tr_mast_vus+boc_tr_both_vus)+BK12*boc_cost_bc+BL12*boc_cost_oc+BM12*boc_cost_pc+(BK12*VLOOKUP(AZ12,boc_trpr_bc_death,20,TRUE)+BL12*VLOOKUP(AZ12,boc_trpr_oc_death,TRUE)*boc_cost_death))/((1+discount)^AY12)</f>
        <v>633.93108018262831</v>
      </c>
      <c r="BQ12" s="35">
        <f t="shared" si="6"/>
        <v>0.78077389633842009</v>
      </c>
      <c r="BR12" s="35">
        <f t="shared" si="7"/>
        <v>0.82345451538391956</v>
      </c>
      <c r="BS12" s="35"/>
      <c r="BU12" s="265"/>
      <c r="BV12" s="265"/>
      <c r="BW12" s="267"/>
      <c r="BX12" s="268"/>
      <c r="BY12" s="268"/>
      <c r="BZ12" s="268"/>
      <c r="CA12" s="268"/>
      <c r="CD12" s="138">
        <v>7</v>
      </c>
      <c r="CE12" s="291">
        <v>9.7E-5</v>
      </c>
      <c r="CH12" s="12">
        <v>49</v>
      </c>
      <c r="CI12" s="12" t="s">
        <v>308</v>
      </c>
      <c r="CJ12" s="376">
        <v>188.4</v>
      </c>
      <c r="CK12" s="260">
        <f t="shared" si="9"/>
        <v>1.884E-3</v>
      </c>
      <c r="CL12" s="289">
        <f t="shared" si="10"/>
        <v>1.8822263860044375E-3</v>
      </c>
      <c r="CM12" s="289">
        <f t="shared" si="11"/>
        <v>1.6139272946107397E-3</v>
      </c>
      <c r="CN12" s="289">
        <f t="shared" si="12"/>
        <v>2.1504533766303346E-3</v>
      </c>
      <c r="CO12" s="290">
        <f t="shared" si="13"/>
        <v>188.7537846399681</v>
      </c>
      <c r="CP12" s="290">
        <f t="shared" si="14"/>
        <v>100093.43652119878</v>
      </c>
      <c r="CQ12" s="289">
        <f t="shared" ca="1" si="15"/>
        <v>1.7843017048122473E-3</v>
      </c>
      <c r="CR12" s="289">
        <f>IF(psa,CQ12,CL12)</f>
        <v>1.8822263860044375E-3</v>
      </c>
      <c r="CS12" s="373">
        <v>19.8</v>
      </c>
      <c r="CT12" s="12">
        <f t="shared" si="16"/>
        <v>1.9800000000000002E-4</v>
      </c>
      <c r="CU12" s="289">
        <f t="shared" si="17"/>
        <v>1.979803992936402E-4</v>
      </c>
      <c r="CV12" s="289">
        <f t="shared" si="18"/>
        <v>1.1078960526056392E-4</v>
      </c>
      <c r="CW12" s="289">
        <f t="shared" si="19"/>
        <v>2.8516359024977067E-4</v>
      </c>
      <c r="CX12" s="290">
        <f t="shared" si="20"/>
        <v>19.803723210489018</v>
      </c>
      <c r="CY12" s="290">
        <f t="shared" si="21"/>
        <v>100008.9025585491</v>
      </c>
      <c r="CZ12" s="289">
        <f t="shared" ca="1" si="22"/>
        <v>1.8166439536426932E-4</v>
      </c>
      <c r="DA12" s="289">
        <f>IF(psa,CZ12,CU12)</f>
        <v>1.979803992936402E-4</v>
      </c>
    </row>
    <row r="13" spans="1:105" ht="15" customHeight="1" x14ac:dyDescent="0.2">
      <c r="Q13" s="11"/>
      <c r="S13" s="11"/>
      <c r="U13" s="9" t="s">
        <v>6</v>
      </c>
      <c r="V13" s="250">
        <f>boc_unk_int_both*boc_test_int_path_both</f>
        <v>0.02</v>
      </c>
      <c r="Z13" s="261">
        <f>R12*T12*V13</f>
        <v>2.1268901409317333E-4</v>
      </c>
      <c r="AD13" s="12">
        <v>7</v>
      </c>
      <c r="AE13" s="12">
        <f t="shared" si="2"/>
        <v>52</v>
      </c>
      <c r="AF13" s="260">
        <f>AF12*(1-VLOOKUP(AE13,boc_trpr_bc,11,TRUE)*boc_rr_bc_mast-VLOOKUP(AE13,boc_trpr_oc,11,TRUE)*boc_rr_oc_mast-VLOOKUP(AE13,mortt,2,FALSE))+SUM(AI12,AK12,AM12)*boc_tr_mast_path+SUM(AJ12,AL12,AN12)*boc_tr_mast_vus</f>
        <v>1.8967306310360626E-2</v>
      </c>
      <c r="AG13" s="260">
        <f>AG12*(1-VLOOKUP(AE13,boc_trpr_bc,11,TRUE)*boc_rr_bc_ooph-VLOOKUP(AE13,boc_trpr_oc,11,TRUE)*boc_rr_oc_ooph-VLOOKUP(AE13,mortt,2,FALSE))+SUM(AI12,AK12,AM12)*boc_tr_ooph_path+SUM(AJ12,AL12,AN12)*boc_tr_ooph_vus</f>
        <v>1.845687747418023E-2</v>
      </c>
      <c r="AH13" s="260">
        <f>AH12*(1-VLOOKUP(AE13,boc_trpr_bc,11,TRUE)*boc_rr_bc_both-VLOOKUP(AE13,boc_trpr_oc,11,TRUE)*boc_rr_oc_both-VLOOKUP(AE13,mortt,2,FALSE))+SUM(AI12,AK12,AM12)*boc_tr_both_path+SUM(AJ12,AL12,AN12)*boc_tr_both_vus</f>
        <v>1.8446157912982878E-2</v>
      </c>
      <c r="AI13" s="289">
        <f>AI12*(1-VLOOKUP(AE13,boc_trpr_bc,11,TRUE)*boc_rr_bc_hip-VLOOKUP(AE13,boc_trpr_oc,11,TRUE)*boc_rr_oc_hip-boc_tr_mast_path-boc_tr_ooph_path-boc_tr_both_path-VLOOKUP(AE13,mortt,2,FALSE))</f>
        <v>8.5949655549081767E-8</v>
      </c>
      <c r="AJ13" s="289">
        <f>AJ12*(1-VLOOKUP(AE13,boc_trpr_bc,11,TRUE)*boc_rr_bc_hiv-VLOOKUP(AE13,boc_trpr_oc,11,TRUE)*boc_rr_oc_hiv-boc_tr_mast_vus-boc_tr_ooph_vus-boc_tr_both_vus-VLOOKUP(AE13,mortt,2,FALSE))</f>
        <v>3.0461539710143607E-3</v>
      </c>
      <c r="AK13" s="289">
        <f>AK12*(1-VLOOKUP(AE13,boc_trpr_bc,11,TRUE)*boc_rr_bc_modp-VLOOKUP(AE13,boc_trpr_oc,11,TRUE)*boc_rr_oc_modp-boc_tr_mast_path-boc_tr_ooph_path-boc_tr_both_path-VLOOKUP(AE13,mortt,2,FALSE))</f>
        <v>1.8507149270059179E-7</v>
      </c>
      <c r="AL13" s="289">
        <f>AL12*(1-VLOOKUP(AE13,boc_trpr_bc,11,TRUE)*boc_rr_bc_modv-VLOOKUP(AE13,boc_trpr_oc,11,TRUE)*boc_rr_oc_modv-boc_tr_mast_vus-boc_tr_ooph_vus-boc_tr_both_vus-VLOOKUP(AE13,mortt,2,FALSE))</f>
        <v>3.8731167361345056E-3</v>
      </c>
      <c r="AM13" s="289">
        <f>AM12*(1-VLOOKUP(AE13,boc_trpr_bc,11,TRUE)*boc_rr_bc_lop-VLOOKUP(AE13,boc_trpr_oc,11,TRUE)*boc_rr_oc_lop-boc_tr_mast_path-boc_tr_ooph_path-boc_tr_both_path-VLOOKUP(AE13,mortt,2,FALSE))</f>
        <v>4.8263886419915946E-8</v>
      </c>
      <c r="AN13" s="289">
        <f>AN12*(1-VLOOKUP(AE13,boc_trpr_bc,11,TRUE)*boc_rr_bc_lov-VLOOKUP(AE13,boc_trpr_oc,11,TRUE)*boc_rr_oc_lov-boc_tr_mast_vus-boc_tr_ooph_vus-boc_tr_both_vus-VLOOKUP(AE13,mortt,2,FALSE))</f>
        <v>8.4789853289881484E-4</v>
      </c>
      <c r="AO13" s="260">
        <f>AO12*(1-VLOOKUP(AE13,boc_trpr_bc,11,TRUE)*boc_rr_bc_np-VLOOKUP(AE13,boc_trpr_oc,11,TRUE)*boc_rr_oc_np-VLOOKUP(AE13,mortt,2,FALSE))</f>
        <v>0.90442090598849612</v>
      </c>
      <c r="AP13" s="260">
        <f>AF12*VLOOKUP(AE13,boc_trpr_bc,11,TRUE)*boc_rr_bc_mast+AG12*VLOOKUP(AE13,boc_trpr_bc,11,TRUE)*boc_rr_bc_ooph+AH12*VLOOKUP(AE13,boc_trpr_bc,11,TRUE)*boc_rr_bc_both+AI12*VLOOKUP(AE13,boc_trpr_bc,11,TRUE)*boc_rr_bc_hip+AJ12*VLOOKUP(AE13,boc_trpr_bc,11,TRUE)*boc_rr_bc_hiv+AK12*VLOOKUP(AE13,boc_trpr_bc,11,TRUE)*boc_rr_bc_modp+AL12*VLOOKUP(AE13,boc_trpr_bc,11,TRUE)*boc_rr_bc_modv+AM12*VLOOKUP(AE13,boc_trpr_bc,11,TRUE)*boc_rr_bc_lop+AN12*VLOOKUP(AE13,boc_trpr_bc,11,TRUE)*boc_rr_bc_lov+AO12*VLOOKUP(AE13,boc_trpr_bc,11,TRUE)*boc_rr_bc_np</f>
        <v>1.7539021704652744E-3</v>
      </c>
      <c r="AQ13" s="260">
        <f>AF12*VLOOKUP(AE13,boc_trpr_oc,11,TRUE)*boc_rr_oc_mast+AG12*VLOOKUP(AE13,boc_trpr_oc,11,TRUE)*boc_rr_oc_ooph+AH12*VLOOKUP(AE13,boc_trpr_oc,11,TRUE)*boc_rr_oc_both+AI12*VLOOKUP(AE13,boc_trpr_oc,11,TRUE)*boc_rr_oc_hip+AJ12*VLOOKUP(AE13,boc_trpr_oc,11,TRUE)*boc_rr_oc_hiv+AK12*VLOOKUP(AE13,boc_trpr_oc,11,TRUE)*boc_rr_oc_modp+AL12*VLOOKUP(AE13,boc_trpr_oc,11,TRUE)*boc_rr_oc_modv+AM12*VLOOKUP(AE13,boc_trpr_oc,11,TRUE)*boc_rr_oc_lop+AN12*VLOOKUP(AE13,boc_trpr_oc,11,TRUE)*boc_rr_oc_lov+AO12*VLOOKUP(AE13,boc_trpr_oc,11,TRUE)*boc_rr_oc_np</f>
        <v>1.3689986092465522E-4</v>
      </c>
      <c r="AR13" s="260">
        <f>AP12*(1-VLOOKUP(AE13,boc_trpr_bc_death,20,TRUE))+AQ12*(1-VLOOKUP(AE13,boc_trpr_oc_death,20,TRUE))+AR12*(1-VLOOKUP(AE13,mortt,2,FALSE)*boc_rr_death_pc)</f>
        <v>9.5704675449179728E-3</v>
      </c>
      <c r="AS13" s="260">
        <f>AS12+SUM(AF12:AO12)*VLOOKUP(AE13,mortt,2,FALSE)+AP12*VLOOKUP(AE13,boc_trpr_bc_death,20,TRUE)+AQ12*VLOOKUP(AE13,boc_trpr_bc_death,20,TRUE)+AR12*VLOOKUP(AE13,mortt,2,FALSE)*boc_rr_death_pc</f>
        <v>2.0480089689304811E-2</v>
      </c>
      <c r="AT13" s="260">
        <f t="shared" si="23"/>
        <v>1.0000000954767148</v>
      </c>
      <c r="AU13" s="118">
        <f>(boc_cost_mast*SUM(AI13,AK13,AM13)*(boc_tr_mast_path+boc_tr_both_path)+SUM(AJ13,AL13,AN13)*(boc_tr_mast_vus+boc_tr_both_vus)+AP13*boc_cost_bc+AQ13*boc_cost_oc+AR13*boc_cost_pc+(AP13*VLOOKUP(AE13,boc_trpr_bc_death,20,TRUE)+AQ13*VLOOKUP(AE13,boc_trpr_oc_death,TRUE)*boc_cost_death))/((1+discount)^AD13)</f>
        <v>539.3925508224238</v>
      </c>
      <c r="AV13" s="35">
        <f t="shared" si="3"/>
        <v>0.75554548877350003</v>
      </c>
      <c r="AW13" s="35">
        <f t="shared" si="4"/>
        <v>0.79643932426542952</v>
      </c>
      <c r="AY13" s="12">
        <v>7</v>
      </c>
      <c r="AZ13" s="12">
        <f t="shared" si="5"/>
        <v>52</v>
      </c>
      <c r="BA13" s="260">
        <f>BA12*(1-VLOOKUP(AZ13,boc_trpr_bc,11,TRUE)*boc_rr_bc_mast-VLOOKUP(AZ13,boc_trpr_oc,11,TRUE)*boc_rr_oc_mast-VLOOKUP(AZ13,mortt,2,FALSE))</f>
        <v>9.7759619513984528E-3</v>
      </c>
      <c r="BB13" s="260">
        <f>BB12*(1-VLOOKUP(AZ13,boc_trpr_bc,11,TRUE)*boc_rr_bc_ooph-VLOOKUP(AZ13,boc_trpr_oc,11,TRUE)*boc_rr_oc_ooph-VLOOKUP(AZ13,mortt,2,FALSE))</f>
        <v>9.737931078217521E-3</v>
      </c>
      <c r="BC13" s="260">
        <f>BC12*(1-VLOOKUP(AZ13,boc_trpr_bc,11,TRUE)*boc_rr_bc_both-VLOOKUP(AZ13,boc_trpr_oc,11,TRUE)*boc_rr_oc_both-VLOOKUP(AZ13,mortt,2,FALSE))</f>
        <v>9.7884437093726344E-3</v>
      </c>
      <c r="BD13" s="289">
        <f>BD12*(1-VLOOKUP(AZ13,boc_trpr_bc,11,TRUE)*boc_rr_bc_hip-VLOOKUP(AZ13,boc_trpr_oc,11,TRUE)*boc_rr_oc_hip-VLOOKUP(AZ13,mortt,2,FALSE))</f>
        <v>2.918881195645452E-3</v>
      </c>
      <c r="BE13" s="289">
        <f>BE12*(1-VLOOKUP(AZ13,boc_trpr_bc,11,TRUE)*boc_rr_bc_hiv-VLOOKUP(AZ13,boc_trpr_oc,11,TRUE)*boc_rr_oc_hiv-VLOOKUP(AZ13,mortt,2,FALSE))</f>
        <v>9.9706050693999619E-3</v>
      </c>
      <c r="BF13" s="289">
        <f>BF12*(1-VLOOKUP(AZ13,boc_trpr_bc,11,TRUE)*boc_rr_bc_modp-VLOOKUP(AZ13,boc_trpr_oc,11,TRUE)*boc_rr_oc_modp-VLOOKUP(AZ13,mortt,2,FALSE))</f>
        <v>4.1976118543670185E-3</v>
      </c>
      <c r="BG13" s="289">
        <f>BG12*(1-VLOOKUP(AZ13,boc_trpr_bc,11,TRUE)*boc_rr_bc_modv-VLOOKUP(AZ13,boc_trpr_oc,11,TRUE)*boc_rr_oc_modv-VLOOKUP(AZ13,mortt,2,FALSE))</f>
        <v>1.2677401645203465E-2</v>
      </c>
      <c r="BH13" s="289">
        <f>BH12*(1-VLOOKUP(AZ13,boc_trpr_bc,11,TRUE)*boc_rr_bc_lop-VLOOKUP(AZ13,boc_trpr_oc,11,TRUE)*boc_rr_oc_lop-VLOOKUP(AZ13,mortt,2,FALSE))</f>
        <v>9.5889964398899921E-4</v>
      </c>
      <c r="BI13" s="289">
        <f>BI12*(1-VLOOKUP(AZ13,boc_trpr_bc,11,TRUE)*boc_rr_bc_lov-VLOOKUP(AZ13,boc_trpr_oc,11,TRUE)*boc_rr_oc_lov-VLOOKUP(AZ13,mortt,2,FALSE))</f>
        <v>2.7753230765424951E-3</v>
      </c>
      <c r="BJ13" s="260">
        <f>BJ12*(1-VLOOKUP(AZ13,boc_trpr_bc,11,TRUE)*boc_rr_bc_np-VLOOKUP(AZ13,boc_trpr_oc,11,TRUE)*boc_rr_oc_np-VLOOKUP(AZ13,mortt,2,FALSE))</f>
        <v>0.90442090598849612</v>
      </c>
      <c r="BK13" s="260">
        <f>BA12*VLOOKUP(AZ13,boc_trpr_bc,11,TRUE)*boc_rr_bc_mast+BB12*VLOOKUP(AZ13,boc_trpr_bc,11,TRUE)*boc_rr_bc_ooph+BC12*VLOOKUP(AZ13,boc_trpr_bc,11,TRUE)*boc_rr_bc_both+BD12*VLOOKUP(AZ13,boc_trpr_bc,11,TRUE)*boc_rr_bc_hip+BE12*VLOOKUP(AZ13,boc_trpr_bc,11,TRUE)*boc_rr_bc_hiv+BF12*VLOOKUP(AZ13,boc_trpr_bc,11,TRUE)*boc_rr_bc_modp+BG12*VLOOKUP(AZ13,boc_trpr_bc,11,TRUE)*boc_rr_bc_modv+BH12*VLOOKUP(AZ13,boc_trpr_bc,11,TRUE)*boc_rr_bc_lop+BI12*VLOOKUP(AZ13,boc_trpr_bc,11,TRUE)*boc_rr_bc_lov+BJ12*VLOOKUP(AZ13,boc_trpr_bc,11,TRUE)*boc_rr_bc_np</f>
        <v>1.9055099081303089E-3</v>
      </c>
      <c r="BL13" s="260">
        <f>BA12*VLOOKUP(AZ13,boc_trpr_oc,11,TRUE)*boc_rr_oc_mast+BB12*VLOOKUP(AZ13,boc_trpr_oc,11,TRUE)*boc_rr_oc_ooph+BC12*VLOOKUP(AZ13,boc_trpr_oc,11,TRUE)*boc_rr_oc_both+BD12*VLOOKUP(AZ13,boc_trpr_oc,11,TRUE)*boc_rr_oc_hip+BE12*VLOOKUP(AZ13,boc_trpr_oc,11,TRUE)*boc_rr_oc_hiv+BF12*VLOOKUP(AZ13,boc_trpr_oc,11,TRUE)*boc_rr_oc_modp+BG12*VLOOKUP(AZ13,boc_trpr_oc,11,TRUE)*boc_rr_oc_modv+BH12*VLOOKUP(AZ13,boc_trpr_oc,11,TRUE)*boc_rr_oc_lop+BI12*VLOOKUP(AZ13,boc_trpr_oc,11,TRUE)*boc_rr_oc_lov+BJ12*VLOOKUP(AZ13,boc_trpr_oc,11,TRUE)*boc_rr_oc_np</f>
        <v>1.4772417549089182E-4</v>
      </c>
      <c r="BM13" s="260">
        <f>BK12*(1-VLOOKUP(AZ13,boc_trpr_bc_death,20,TRUE))+BL12*(1-VLOOKUP(AZ13,boc_trpr_oc_death,20,TRUE))+BM12*(1-VLOOKUP(AZ13,mortt,2,FALSE)*boc_rr_death_pc)</f>
        <v>1.0244888004800824E-2</v>
      </c>
      <c r="BN13" s="260">
        <f>BN12+SUM(BA12:BJ12)*VLOOKUP(AZ13,mortt,2,FALSE)+BK12*VLOOKUP(AZ13,boc_trpr_bc_death,20,TRUE)+BL12*VLOOKUP(AZ13,boc_trpr_bc_death,20,TRUE)+BM12*VLOOKUP(AZ13,mortt,2,FALSE)*boc_rr_death_pc</f>
        <v>2.0480014779743573E-2</v>
      </c>
      <c r="BO13" s="260">
        <f t="shared" si="24"/>
        <v>1.0000001020807978</v>
      </c>
      <c r="BP13" s="118">
        <f>(boc_cost_mast*SUM(BD13,BF13,BH13)*(boc_tr_mast_path+boc_tr_both_path)+SUM(BE13,BG13,BI13)*(boc_tr_mast_vus+boc_tr_both_vus)+BK13*boc_cost_bc+BL13*boc_cost_oc+BM13*boc_cost_pc+(BK13*VLOOKUP(AZ13,boc_trpr_bc_death,20,TRUE)+BL13*VLOOKUP(AZ13,boc_trpr_oc_death,TRUE)*boc_cost_death))/((1+discount)^AY13)</f>
        <v>623.67340926189956</v>
      </c>
      <c r="BQ13" s="35">
        <f t="shared" si="6"/>
        <v>0.75499905493933728</v>
      </c>
      <c r="BR13" s="35">
        <f t="shared" si="7"/>
        <v>0.79643938517375779</v>
      </c>
      <c r="BS13" s="35"/>
      <c r="BU13" s="265"/>
      <c r="BV13" s="265"/>
      <c r="BW13" s="267"/>
      <c r="BX13" s="268"/>
      <c r="BY13" s="268"/>
      <c r="BZ13" s="268"/>
      <c r="CA13" s="268"/>
      <c r="CD13" s="138">
        <v>8</v>
      </c>
      <c r="CE13" s="291">
        <v>8.8999999999999995E-5</v>
      </c>
      <c r="CH13" s="12">
        <v>54</v>
      </c>
      <c r="CI13" s="12" t="s">
        <v>309</v>
      </c>
      <c r="CJ13" s="376">
        <v>224.7</v>
      </c>
      <c r="CK13" s="260">
        <f t="shared" si="9"/>
        <v>2.2469999999999999E-3</v>
      </c>
      <c r="CL13" s="289">
        <f t="shared" si="10"/>
        <v>2.2444773852922095E-3</v>
      </c>
      <c r="CM13" s="289">
        <f t="shared" si="11"/>
        <v>1.9516248311989282E-3</v>
      </c>
      <c r="CN13" s="289">
        <f t="shared" si="12"/>
        <v>2.5372440090632997E-3</v>
      </c>
      <c r="CO13" s="290">
        <f t="shared" si="13"/>
        <v>225.20388178037769</v>
      </c>
      <c r="CP13" s="290">
        <f t="shared" si="14"/>
        <v>100111.68668174752</v>
      </c>
      <c r="CQ13" s="289">
        <f t="shared" ca="1" si="15"/>
        <v>2.0662736183944632E-3</v>
      </c>
      <c r="CR13" s="289">
        <f>IF(psa,CQ13,CL13)</f>
        <v>2.2444773852922095E-3</v>
      </c>
      <c r="CS13" s="373">
        <v>29.8</v>
      </c>
      <c r="CT13" s="12">
        <f t="shared" si="16"/>
        <v>2.9800000000000003E-4</v>
      </c>
      <c r="CU13" s="289">
        <f t="shared" si="17"/>
        <v>2.9795560241030472E-4</v>
      </c>
      <c r="CV13" s="289">
        <f t="shared" si="18"/>
        <v>1.9100448809605819E-4</v>
      </c>
      <c r="CW13" s="289">
        <f t="shared" si="19"/>
        <v>4.0489527599840702E-4</v>
      </c>
      <c r="CX13" s="290">
        <f t="shared" si="20"/>
        <v>29.808585198424478</v>
      </c>
      <c r="CY13" s="290">
        <f t="shared" si="21"/>
        <v>100013.90583832187</v>
      </c>
      <c r="CZ13" s="289">
        <f t="shared" ca="1" si="22"/>
        <v>2.1803363721509408E-4</v>
      </c>
      <c r="DA13" s="289">
        <f>IF(psa,CZ13,CU13)</f>
        <v>2.9795560241030472E-4</v>
      </c>
    </row>
    <row r="14" spans="1:105" ht="15" customHeight="1" x14ac:dyDescent="0.2">
      <c r="Q14" s="11"/>
      <c r="S14" s="11"/>
      <c r="U14" s="9" t="s">
        <v>9</v>
      </c>
      <c r="V14" s="250">
        <f>1-SUM(V11,V12,V13)</f>
        <v>0.92999999999999994</v>
      </c>
      <c r="AA14" s="261">
        <f>R12*T12*V14</f>
        <v>9.8900391553325591E-3</v>
      </c>
      <c r="AD14" s="12">
        <v>8</v>
      </c>
      <c r="AE14" s="12">
        <f t="shared" si="2"/>
        <v>53</v>
      </c>
      <c r="AF14" s="260">
        <f>AF13*(1-VLOOKUP(AE14,boc_trpr_bc,11,TRUE)*boc_rr_bc_mast-VLOOKUP(AE14,boc_trpr_oc,11,TRUE)*boc_rr_oc_mast-VLOOKUP(AE14,mortt,2,FALSE))+SUM(AI13,AK13,AM13)*boc_tr_mast_path+SUM(AJ13,AL13,AN13)*boc_tr_mast_vus</f>
        <v>1.9271867141646901E-2</v>
      </c>
      <c r="AG14" s="260">
        <f>AG13*(1-VLOOKUP(AE14,boc_trpr_bc,11,TRUE)*boc_rr_bc_ooph-VLOOKUP(AE14,boc_trpr_oc,11,TRUE)*boc_rr_oc_ooph-VLOOKUP(AE14,mortt,2,FALSE))+SUM(AI13,AK13,AM13)*boc_tr_ooph_path+SUM(AJ13,AL13,AN13)*boc_tr_ooph_vus</f>
        <v>1.8751700005824497E-2</v>
      </c>
      <c r="AH14" s="260">
        <f>AH13*(1-VLOOKUP(AE14,boc_trpr_bc,11,TRUE)*boc_rr_bc_both-VLOOKUP(AE14,boc_trpr_oc,11,TRUE)*boc_rr_oc_both-VLOOKUP(AE14,mortt,2,FALSE))+SUM(AI13,AK13,AM13)*boc_tr_both_path+SUM(AJ13,AL13,AN13)*boc_tr_both_vus</f>
        <v>1.8757005944441886E-2</v>
      </c>
      <c r="AI14" s="289">
        <f>AI13*(1-VLOOKUP(AE14,boc_trpr_bc,11,TRUE)*boc_rr_bc_hip-VLOOKUP(AE14,boc_trpr_oc,11,TRUE)*boc_rr_oc_hip-boc_tr_mast_path-boc_tr_ooph_path-boc_tr_both_path-VLOOKUP(AE14,mortt,2,FALSE))</f>
        <v>1.8522388154305097E-8</v>
      </c>
      <c r="AJ14" s="289">
        <f>AJ13*(1-VLOOKUP(AE14,boc_trpr_bc,11,TRUE)*boc_rr_bc_hiv-VLOOKUP(AE14,boc_trpr_oc,11,TRUE)*boc_rr_oc_hiv-boc_tr_mast_vus-boc_tr_ooph_vus-boc_tr_both_vus-VLOOKUP(AE14,mortt,2,FALSE))</f>
        <v>2.5699824189215291E-3</v>
      </c>
      <c r="AK14" s="289">
        <f>AK13*(1-VLOOKUP(AE14,boc_trpr_bc,11,TRUE)*boc_rr_bc_modp-VLOOKUP(AE14,boc_trpr_oc,11,TRUE)*boc_rr_oc_modp-boc_tr_mast_path-boc_tr_ooph_path-boc_tr_both_path-VLOOKUP(AE14,mortt,2,FALSE))</f>
        <v>4.3635216502346034E-8</v>
      </c>
      <c r="AL14" s="289">
        <f>AL13*(1-VLOOKUP(AE14,boc_trpr_bc,11,TRUE)*boc_rr_bc_modv-VLOOKUP(AE14,boc_trpr_oc,11,TRUE)*boc_rr_oc_modv-boc_tr_mast_vus-boc_tr_ooph_vus-boc_tr_both_vus-VLOOKUP(AE14,mortt,2,FALSE))</f>
        <v>3.2676752432779402E-3</v>
      </c>
      <c r="AM14" s="289">
        <f>AM13*(1-VLOOKUP(AE14,boc_trpr_bc,11,TRUE)*boc_rr_bc_lop-VLOOKUP(AE14,boc_trpr_oc,11,TRUE)*boc_rr_oc_lop-boc_tr_mast_path-boc_tr_ooph_path-boc_tr_both_path-VLOOKUP(AE14,mortt,2,FALSE))</f>
        <v>1.1721858598369958E-8</v>
      </c>
      <c r="AN14" s="289">
        <f>AN13*(1-VLOOKUP(AE14,boc_trpr_bc,11,TRUE)*boc_rr_bc_lov-VLOOKUP(AE14,boc_trpr_oc,11,TRUE)*boc_rr_oc_lov-boc_tr_mast_vus-boc_tr_ooph_vus-boc_tr_both_vus-VLOOKUP(AE14,mortt,2,FALSE))</f>
        <v>7.1535593516098043E-4</v>
      </c>
      <c r="AO14" s="260">
        <f>AO13*(1-VLOOKUP(AE14,boc_trpr_bc,11,TRUE)*boc_rr_bc_np-VLOOKUP(AE14,boc_trpr_oc,11,TRUE)*boc_rr_oc_np-VLOOKUP(AE14,mortt,2,FALSE))</f>
        <v>0.89888927248650041</v>
      </c>
      <c r="AP14" s="260">
        <f>AF13*VLOOKUP(AE14,boc_trpr_bc,11,TRUE)*boc_rr_bc_mast+AG13*VLOOKUP(AE14,boc_trpr_bc,11,TRUE)*boc_rr_bc_ooph+AH13*VLOOKUP(AE14,boc_trpr_bc,11,TRUE)*boc_rr_bc_both+AI13*VLOOKUP(AE14,boc_trpr_bc,11,TRUE)*boc_rr_bc_hip+AJ13*VLOOKUP(AE14,boc_trpr_bc,11,TRUE)*boc_rr_bc_hiv+AK13*VLOOKUP(AE14,boc_trpr_bc,11,TRUE)*boc_rr_bc_modp+AL13*VLOOKUP(AE14,boc_trpr_bc,11,TRUE)*boc_rr_bc_modv+AM13*VLOOKUP(AE14,boc_trpr_bc,11,TRUE)*boc_rr_bc_lop+AN13*VLOOKUP(AE14,boc_trpr_bc,11,TRUE)*boc_rr_bc_lov+AO13*VLOOKUP(AE14,boc_trpr_bc,11,TRUE)*boc_rr_bc_np</f>
        <v>1.7414342057393201E-3</v>
      </c>
      <c r="AQ14" s="260">
        <f>AF13*VLOOKUP(AE14,boc_trpr_oc,11,TRUE)*boc_rr_oc_mast+AG13*VLOOKUP(AE14,boc_trpr_oc,11,TRUE)*boc_rr_oc_ooph+AH13*VLOOKUP(AE14,boc_trpr_oc,11,TRUE)*boc_rr_oc_both+AI13*VLOOKUP(AE14,boc_trpr_oc,11,TRUE)*boc_rr_oc_hip+AJ13*VLOOKUP(AE14,boc_trpr_oc,11,TRUE)*boc_rr_oc_hiv+AK13*VLOOKUP(AE14,boc_trpr_oc,11,TRUE)*boc_rr_oc_modp+AL13*VLOOKUP(AE14,boc_trpr_oc,11,TRUE)*boc_rr_oc_modv+AM13*VLOOKUP(AE14,boc_trpr_oc,11,TRUE)*boc_rr_oc_lop+AN13*VLOOKUP(AE14,boc_trpr_oc,11,TRUE)*boc_rr_oc_lov+AO13*VLOOKUP(AE14,boc_trpr_oc,11,TRUE)*boc_rr_oc_np</f>
        <v>1.3597677775823263E-4</v>
      </c>
      <c r="AR14" s="260">
        <f>AP13*(1-VLOOKUP(AE14,boc_trpr_bc_death,20,TRUE))+AQ13*(1-VLOOKUP(AE14,boc_trpr_oc_death,20,TRUE))+AR13*(1-VLOOKUP(AE14,mortt,2,FALSE)*boc_rr_death_pc)</f>
        <v>1.1402215578120352E-2</v>
      </c>
      <c r="AS14" s="260">
        <f>AS13+SUM(AF13:AO13)*VLOOKUP(AE14,mortt,2,FALSE)+AP13*VLOOKUP(AE14,boc_trpr_bc_death,20,TRUE)+AQ13*VLOOKUP(AE14,boc_trpr_bc_death,20,TRUE)+AR13*VLOOKUP(AE14,mortt,2,FALSE)*boc_rr_death_pc</f>
        <v>2.4497556666099925E-2</v>
      </c>
      <c r="AT14" s="260">
        <f t="shared" si="23"/>
        <v>1.0000001162829553</v>
      </c>
      <c r="AU14" s="118">
        <f>(boc_cost_mast*SUM(AI14,AK14,AM14)*(boc_tr_mast_path+boc_tr_both_path)+SUM(AJ14,AL14,AN14)*(boc_tr_mast_vus+boc_tr_both_vus)+AP14*boc_cost_bc+AQ14*boc_cost_oc+AR14*boc_cost_pc+(AP14*VLOOKUP(AE14,boc_trpr_bc_death,20,TRUE)+AQ14*VLOOKUP(AE14,boc_trpr_oc_death,TRUE)*boc_cost_death))/((1+discount)^AD14)</f>
        <v>531.69460719839844</v>
      </c>
      <c r="AV14" s="35">
        <f t="shared" si="3"/>
        <v>0.73039305095303786</v>
      </c>
      <c r="AW14" s="35">
        <f t="shared" si="4"/>
        <v>0.77007063686358768</v>
      </c>
      <c r="AY14" s="12">
        <v>8</v>
      </c>
      <c r="AZ14" s="12">
        <f t="shared" si="5"/>
        <v>53</v>
      </c>
      <c r="BA14" s="260">
        <f>BA13*(1-VLOOKUP(AZ14,boc_trpr_bc,11,TRUE)*boc_rr_bc_mast-VLOOKUP(AZ14,boc_trpr_oc,11,TRUE)*boc_rr_oc_mast-VLOOKUP(AZ14,mortt,2,FALSE))</f>
        <v>9.732730573907715E-3</v>
      </c>
      <c r="BB14" s="260">
        <f>BB13*(1-VLOOKUP(AZ14,boc_trpr_bc,11,TRUE)*boc_rr_bc_ooph-VLOOKUP(AZ14,boc_trpr_oc,11,TRUE)*boc_rr_oc_ooph-VLOOKUP(AZ14,mortt,2,FALSE))</f>
        <v>9.6885389890976215E-3</v>
      </c>
      <c r="BC14" s="260">
        <f>BC13*(1-VLOOKUP(AZ14,boc_trpr_bc,11,TRUE)*boc_rr_bc_both-VLOOKUP(AZ14,boc_trpr_oc,11,TRUE)*boc_rr_oc_both-VLOOKUP(AZ14,mortt,2,FALSE))</f>
        <v>9.7472704842629342E-3</v>
      </c>
      <c r="BD14" s="289">
        <f>BD13*(1-VLOOKUP(AZ14,boc_trpr_bc,11,TRUE)*boc_rr_bc_hip-VLOOKUP(AZ14,boc_trpr_oc,11,TRUE)*boc_rr_oc_hip-VLOOKUP(AZ14,mortt,2,FALSE))</f>
        <v>2.8181878560239195E-3</v>
      </c>
      <c r="BE14" s="289">
        <f>BE13*(1-VLOOKUP(AZ14,boc_trpr_bc,11,TRUE)*boc_rr_bc_hiv-VLOOKUP(AZ14,boc_trpr_oc,11,TRUE)*boc_rr_oc_hiv-VLOOKUP(AZ14,mortt,2,FALSE))</f>
        <v>9.9076014395139689E-3</v>
      </c>
      <c r="BF14" s="289">
        <f>BF13*(1-VLOOKUP(AZ14,boc_trpr_bc,11,TRUE)*boc_rr_bc_modp-VLOOKUP(AZ14,boc_trpr_oc,11,TRUE)*boc_rr_oc_modp-VLOOKUP(AZ14,mortt,2,FALSE))</f>
        <v>4.1379004925739312E-3</v>
      </c>
      <c r="BG14" s="289">
        <f>BG13*(1-VLOOKUP(AZ14,boc_trpr_bc,11,TRUE)*boc_rr_bc_modv-VLOOKUP(AZ14,boc_trpr_oc,11,TRUE)*boc_rr_oc_modv-VLOOKUP(AZ14,mortt,2,FALSE))</f>
        <v>1.2597293937034201E-2</v>
      </c>
      <c r="BH14" s="289">
        <f>BH13*(1-VLOOKUP(AZ14,boc_trpr_bc,11,TRUE)*boc_rr_bc_lop-VLOOKUP(AZ14,boc_trpr_oc,11,TRUE)*boc_rr_oc_lop-VLOOKUP(AZ14,mortt,2,FALSE))</f>
        <v>9.5206285847490894E-4</v>
      </c>
      <c r="BI14" s="289">
        <f>BI13*(1-VLOOKUP(AZ14,boc_trpr_bc,11,TRUE)*boc_rr_bc_lov-VLOOKUP(AZ14,boc_trpr_oc,11,TRUE)*boc_rr_oc_lov-VLOOKUP(AZ14,mortt,2,FALSE))</f>
        <v>2.7577859835866045E-3</v>
      </c>
      <c r="BJ14" s="260">
        <f>BJ13*(1-VLOOKUP(AZ14,boc_trpr_bc,11,TRUE)*boc_rr_bc_np-VLOOKUP(AZ14,boc_trpr_oc,11,TRUE)*boc_rr_oc_np-VLOOKUP(AZ14,mortt,2,FALSE))</f>
        <v>0.89888927248650041</v>
      </c>
      <c r="BK14" s="260">
        <f>BA13*VLOOKUP(AZ14,boc_trpr_bc,11,TRUE)*boc_rr_bc_mast+BB13*VLOOKUP(AZ14,boc_trpr_bc,11,TRUE)*boc_rr_bc_ooph+BC13*VLOOKUP(AZ14,boc_trpr_bc,11,TRUE)*boc_rr_bc_both+BD13*VLOOKUP(AZ14,boc_trpr_bc,11,TRUE)*boc_rr_bc_hip+BE13*VLOOKUP(AZ14,boc_trpr_bc,11,TRUE)*boc_rr_bc_hiv+BF13*VLOOKUP(AZ14,boc_trpr_bc,11,TRUE)*boc_rr_bc_modp+BG13*VLOOKUP(AZ14,boc_trpr_bc,11,TRUE)*boc_rr_bc_modv+BH13*VLOOKUP(AZ14,boc_trpr_bc,11,TRUE)*boc_rr_bc_lop+BI13*VLOOKUP(AZ14,boc_trpr_bc,11,TRUE)*boc_rr_bc_lov+BJ13*VLOOKUP(AZ14,boc_trpr_bc,11,TRUE)*boc_rr_bc_np</f>
        <v>1.8916931540275527E-3</v>
      </c>
      <c r="BL14" s="260">
        <f>BA13*VLOOKUP(AZ14,boc_trpr_oc,11,TRUE)*boc_rr_oc_mast+BB13*VLOOKUP(AZ14,boc_trpr_oc,11,TRUE)*boc_rr_oc_ooph+BC13*VLOOKUP(AZ14,boc_trpr_oc,11,TRUE)*boc_rr_oc_both+BD13*VLOOKUP(AZ14,boc_trpr_oc,11,TRUE)*boc_rr_oc_hip+BE13*VLOOKUP(AZ14,boc_trpr_oc,11,TRUE)*boc_rr_oc_hiv+BF13*VLOOKUP(AZ14,boc_trpr_oc,11,TRUE)*boc_rr_oc_modp+BG13*VLOOKUP(AZ14,boc_trpr_oc,11,TRUE)*boc_rr_oc_modv+BH13*VLOOKUP(AZ14,boc_trpr_oc,11,TRUE)*boc_rr_oc_lop+BI13*VLOOKUP(AZ14,boc_trpr_oc,11,TRUE)*boc_rr_oc_lov+BJ13*VLOOKUP(AZ14,boc_trpr_oc,11,TRUE)*boc_rr_oc_np</f>
        <v>1.4665634187384995E-4</v>
      </c>
      <c r="BM14" s="260">
        <f>BK13*(1-VLOOKUP(AZ14,boc_trpr_bc_death,20,TRUE))+BL13*(1-VLOOKUP(AZ14,boc_trpr_oc_death,20,TRUE))+BM13*(1-VLOOKUP(AZ14,mortt,2,FALSE)*boc_rr_death_pc)</f>
        <v>1.2234901019076327E-2</v>
      </c>
      <c r="BN14" s="260">
        <f>BN13+SUM(BA13:BJ13)*VLOOKUP(AZ14,mortt,2,FALSE)+BK13*VLOOKUP(AZ14,boc_trpr_bc_death,20,TRUE)+BL13*VLOOKUP(AZ14,boc_trpr_bc_death,20,TRUE)+BM13*VLOOKUP(AZ14,mortt,2,FALSE)*boc_rr_death_pc</f>
        <v>2.4498228916179192E-2</v>
      </c>
      <c r="BO14" s="260">
        <f t="shared" si="24"/>
        <v>1.0000001245321331</v>
      </c>
      <c r="BP14" s="118">
        <f>(boc_cost_mast*SUM(BD14,BF14,BH14)*(boc_tr_mast_path+boc_tr_both_path)+SUM(BE14,BG14,BI14)*(boc_tr_mast_vus+boc_tr_both_vus)+BK14*boc_cost_bc+BL14*boc_cost_oc+BM14*boc_cost_pc+(BK14*VLOOKUP(AZ14,boc_trpr_bc_death,20,TRUE)+BL14*VLOOKUP(AZ14,boc_trpr_oc_death,TRUE)*boc_cost_death))/((1+discount)^AY14)</f>
        <v>613.19565661386787</v>
      </c>
      <c r="BQ14" s="35">
        <f t="shared" si="6"/>
        <v>0.72984793177476992</v>
      </c>
      <c r="BR14" s="35">
        <f t="shared" si="7"/>
        <v>0.77007010618316729</v>
      </c>
      <c r="BS14" s="35"/>
      <c r="BU14" s="265"/>
      <c r="BV14" s="265"/>
      <c r="BW14" s="267"/>
      <c r="BX14" s="268"/>
      <c r="BY14" s="268"/>
      <c r="BZ14" s="268"/>
      <c r="CA14" s="268"/>
      <c r="CD14" s="138">
        <v>9</v>
      </c>
      <c r="CE14" s="291">
        <v>8.3999999999999995E-5</v>
      </c>
      <c r="CH14" s="12">
        <v>59</v>
      </c>
      <c r="CI14" s="12" t="s">
        <v>310</v>
      </c>
      <c r="CJ14" s="376">
        <v>262.8</v>
      </c>
      <c r="CK14" s="260">
        <f t="shared" si="9"/>
        <v>2.6280000000000001E-3</v>
      </c>
      <c r="CL14" s="289">
        <f t="shared" si="10"/>
        <v>2.6245498310097926E-3</v>
      </c>
      <c r="CM14" s="289">
        <f t="shared" si="11"/>
        <v>2.3080183300432378E-3</v>
      </c>
      <c r="CN14" s="289">
        <f t="shared" si="12"/>
        <v>2.9409809080048754E-3</v>
      </c>
      <c r="CO14" s="290">
        <f t="shared" si="13"/>
        <v>263.48997643508375</v>
      </c>
      <c r="CP14" s="290">
        <f t="shared" si="14"/>
        <v>100130.86082684393</v>
      </c>
      <c r="CQ14" s="289">
        <f t="shared" ca="1" si="15"/>
        <v>2.6116775217222125E-3</v>
      </c>
      <c r="CR14" s="289">
        <f>IF(psa,CQ14,CL14)</f>
        <v>2.6245498310097926E-3</v>
      </c>
      <c r="CS14" s="373">
        <v>39.700000000000003</v>
      </c>
      <c r="CT14" s="12">
        <f t="shared" si="16"/>
        <v>3.9700000000000005E-4</v>
      </c>
      <c r="CU14" s="289">
        <f t="shared" si="17"/>
        <v>3.9692120592738078E-4</v>
      </c>
      <c r="CV14" s="289">
        <f t="shared" si="18"/>
        <v>2.7349382427810376E-4</v>
      </c>
      <c r="CW14" s="289">
        <f t="shared" si="19"/>
        <v>5.203333490905182E-4</v>
      </c>
      <c r="CX14" s="290">
        <f t="shared" si="20"/>
        <v>39.715370558157488</v>
      </c>
      <c r="CY14" s="290">
        <f t="shared" si="21"/>
        <v>100018.86039982701</v>
      </c>
      <c r="CZ14" s="289">
        <f t="shared" ca="1" si="22"/>
        <v>4.0179796508443832E-4</v>
      </c>
      <c r="DA14" s="289">
        <f>IF(psa,CZ14,CU14)</f>
        <v>3.9692120592738078E-4</v>
      </c>
    </row>
    <row r="15" spans="1:105" ht="15" customHeight="1" x14ac:dyDescent="0.2">
      <c r="Q15" s="11"/>
      <c r="S15" s="11"/>
      <c r="AD15" s="12">
        <v>9</v>
      </c>
      <c r="AE15" s="12">
        <f t="shared" si="2"/>
        <v>54</v>
      </c>
      <c r="AF15" s="260">
        <f>AF14*(1-VLOOKUP(AE15,boc_trpr_bc,11,TRUE)*boc_rr_bc_mast-VLOOKUP(AE15,boc_trpr_oc,11,TRUE)*boc_rr_oc_mast-VLOOKUP(AE15,mortt,2,FALSE))+SUM(AI14,AK14,AM14)*boc_tr_mast_path+SUM(AJ14,AL14,AN14)*boc_tr_mast_vus</f>
        <v>1.9506194395467941E-2</v>
      </c>
      <c r="AG15" s="260">
        <f>AG14*(1-VLOOKUP(AE15,boc_trpr_bc,11,TRUE)*boc_rr_bc_ooph-VLOOKUP(AE15,boc_trpr_oc,11,TRUE)*boc_rr_oc_ooph-VLOOKUP(AE15,mortt,2,FALSE))+SUM(AI14,AK14,AM14)*boc_tr_ooph_path+SUM(AJ14,AL14,AN14)*boc_tr_ooph_vus</f>
        <v>1.897444063786843E-2</v>
      </c>
      <c r="AH15" s="260">
        <f>AH14*(1-VLOOKUP(AE15,boc_trpr_bc,11,TRUE)*boc_rr_bc_both-VLOOKUP(AE15,boc_trpr_oc,11,TRUE)*boc_rr_oc_both-VLOOKUP(AE15,mortt,2,FALSE))+SUM(AI14,AK14,AM14)*boc_tr_both_path+SUM(AJ14,AL14,AN14)*boc_tr_both_vus</f>
        <v>1.8999082736952524E-2</v>
      </c>
      <c r="AI15" s="289">
        <f>AI14*(1-VLOOKUP(AE15,boc_trpr_bc,11,TRUE)*boc_rr_bc_hip-VLOOKUP(AE15,boc_trpr_oc,11,TRUE)*boc_rr_oc_hip-boc_tr_mast_path-boc_tr_ooph_path-boc_tr_both_path-VLOOKUP(AE15,mortt,2,FALSE))</f>
        <v>3.8695887771963731E-9</v>
      </c>
      <c r="AJ15" s="289">
        <f>AJ14*(1-VLOOKUP(AE15,boc_trpr_bc,11,TRUE)*boc_rr_bc_hiv-VLOOKUP(AE15,boc_trpr_oc,11,TRUE)*boc_rr_oc_hiv-boc_tr_mast_vus-boc_tr_ooph_vus-boc_tr_both_vus-VLOOKUP(AE15,mortt,2,FALSE))</f>
        <v>2.166217870015912E-3</v>
      </c>
      <c r="AK15" s="289">
        <f>AK14*(1-VLOOKUP(AE15,boc_trpr_bc,11,TRUE)*boc_rr_bc_modp-VLOOKUP(AE15,boc_trpr_oc,11,TRUE)*boc_rr_oc_modp-boc_tr_mast_path-boc_tr_ooph_path-boc_tr_both_path-VLOOKUP(AE15,mortt,2,FALSE))</f>
        <v>1.0182657967381836E-8</v>
      </c>
      <c r="AL15" s="289">
        <f>AL14*(1-VLOOKUP(AE15,boc_trpr_bc,11,TRUE)*boc_rr_bc_modv-VLOOKUP(AE15,boc_trpr_oc,11,TRUE)*boc_rr_oc_modv-boc_tr_mast_vus-boc_tr_ooph_vus-boc_tr_both_vus-VLOOKUP(AE15,mortt,2,FALSE))</f>
        <v>2.7542976377121272E-3</v>
      </c>
      <c r="AM15" s="289">
        <f>AM14*(1-VLOOKUP(AE15,boc_trpr_bc,11,TRUE)*boc_rr_bc_lop-VLOOKUP(AE15,boc_trpr_oc,11,TRUE)*boc_rr_oc_lop-boc_tr_mast_path-boc_tr_ooph_path-boc_tr_both_path-VLOOKUP(AE15,mortt,2,FALSE))</f>
        <v>2.8356853806926462E-9</v>
      </c>
      <c r="AN15" s="289">
        <f>AN14*(1-VLOOKUP(AE15,boc_trpr_bc,11,TRUE)*boc_rr_bc_lov-VLOOKUP(AE15,boc_trpr_oc,11,TRUE)*boc_rr_oc_lov-boc_tr_mast_vus-boc_tr_ooph_vus-boc_tr_both_vus-VLOOKUP(AE15,mortt,2,FALSE))</f>
        <v>6.0296786419960927E-4</v>
      </c>
      <c r="AO15" s="260">
        <f>AO14*(1-VLOOKUP(AE15,boc_trpr_bc,11,TRUE)*boc_rr_bc_np-VLOOKUP(AE15,boc_trpr_oc,11,TRUE)*boc_rr_oc_np-VLOOKUP(AE15,mortt,2,FALSE))</f>
        <v>0.89271978426949461</v>
      </c>
      <c r="AP15" s="260">
        <f>AF14*VLOOKUP(AE15,boc_trpr_bc,11,TRUE)*boc_rr_bc_mast+AG14*VLOOKUP(AE15,boc_trpr_bc,11,TRUE)*boc_rr_bc_ooph+AH14*VLOOKUP(AE15,boc_trpr_bc,11,TRUE)*boc_rr_bc_both+AI14*VLOOKUP(AE15,boc_trpr_bc,11,TRUE)*boc_rr_bc_hip+AJ14*VLOOKUP(AE15,boc_trpr_bc,11,TRUE)*boc_rr_bc_hiv+AK14*VLOOKUP(AE15,boc_trpr_bc,11,TRUE)*boc_rr_bc_modp+AL14*VLOOKUP(AE15,boc_trpr_bc,11,TRUE)*boc_rr_bc_modv+AM14*VLOOKUP(AE15,boc_trpr_bc,11,TRUE)*boc_rr_bc_lop+AN14*VLOOKUP(AE15,boc_trpr_bc,11,TRUE)*boc_rr_bc_lov+AO14*VLOOKUP(AE15,boc_trpr_bc,11,TRUE)*boc_rr_bc_np</f>
        <v>2.0616119683821567E-3</v>
      </c>
      <c r="AQ15" s="260">
        <f>AF14*VLOOKUP(AE15,boc_trpr_oc,11,TRUE)*boc_rr_oc_mast+AG14*VLOOKUP(AE15,boc_trpr_oc,11,TRUE)*boc_rr_oc_ooph+AH14*VLOOKUP(AE15,boc_trpr_oc,11,TRUE)*boc_rr_oc_both+AI14*VLOOKUP(AE15,boc_trpr_oc,11,TRUE)*boc_rr_oc_hip+AJ14*VLOOKUP(AE15,boc_trpr_oc,11,TRUE)*boc_rr_oc_hiv+AK14*VLOOKUP(AE15,boc_trpr_oc,11,TRUE)*boc_rr_oc_modp+AL14*VLOOKUP(AE15,boc_trpr_oc,11,TRUE)*boc_rr_oc_modv+AM14*VLOOKUP(AE15,boc_trpr_oc,11,TRUE)*boc_rr_oc_lop+AN14*VLOOKUP(AE15,boc_trpr_oc,11,TRUE)*boc_rr_oc_lov+AO14*VLOOKUP(AE15,boc_trpr_oc,11,TRUE)*boc_rr_oc_np</f>
        <v>1.8625564604092903E-4</v>
      </c>
      <c r="AR15" s="260">
        <f>AP14*(1-VLOOKUP(AE15,boc_trpr_bc_death,20,TRUE))+AQ14*(1-VLOOKUP(AE15,boc_trpr_oc_death,20,TRUE))+AR14*(1-VLOOKUP(AE15,mortt,2,FALSE)*boc_rr_death_pc)</f>
        <v>1.3203516819976309E-2</v>
      </c>
      <c r="AS15" s="260">
        <f>AS14+SUM(AF14:AO14)*VLOOKUP(AE15,mortt,2,FALSE)+AP14*VLOOKUP(AE15,boc_trpr_bc_death,20,TRUE)+AQ14*VLOOKUP(AE15,boc_trpr_bc_death,20,TRUE)+AR14*VLOOKUP(AE15,mortt,2,FALSE)*boc_rr_death_pc</f>
        <v>2.8825758778351151E-2</v>
      </c>
      <c r="AT15" s="260">
        <f t="shared" si="23"/>
        <v>1.0000001455123939</v>
      </c>
      <c r="AU15" s="118">
        <f>(boc_cost_mast*SUM(AI15,AK15,AM15)*(boc_tr_mast_path+boc_tr_both_path)+SUM(AJ15,AL15,AN15)*(boc_tr_mast_vus+boc_tr_both_vus)+AP15*boc_cost_bc+AQ15*boc_cost_oc+AR15*boc_cost_pc+(AP15*VLOOKUP(AE15,boc_trpr_bc_death,20,TRUE)+AQ15*VLOOKUP(AE15,boc_trpr_oc_death,TRUE)*boc_cost_death))/((1+discount)^AD15)</f>
        <v>720.61609894620597</v>
      </c>
      <c r="AV15" s="35">
        <f t="shared" si="3"/>
        <v>0.70579539134334468</v>
      </c>
      <c r="AW15" s="35">
        <f t="shared" si="4"/>
        <v>0.74432418849339743</v>
      </c>
      <c r="AY15" s="12">
        <v>9</v>
      </c>
      <c r="AZ15" s="12">
        <f t="shared" si="5"/>
        <v>54</v>
      </c>
      <c r="BA15" s="260">
        <f>BA14*(1-VLOOKUP(AZ15,boc_trpr_bc,11,TRUE)*boc_rr_bc_mast-VLOOKUP(AZ15,boc_trpr_oc,11,TRUE)*boc_rr_oc_mast-VLOOKUP(AZ15,mortt,2,FALSE))</f>
        <v>9.6855907966614425E-3</v>
      </c>
      <c r="BB15" s="260">
        <f>BB14*(1-VLOOKUP(AZ15,boc_trpr_bc,11,TRUE)*boc_rr_bc_ooph-VLOOKUP(AZ15,boc_trpr_oc,11,TRUE)*boc_rr_oc_ooph-VLOOKUP(AZ15,mortt,2,FALSE))</f>
        <v>9.6343250226630546E-3</v>
      </c>
      <c r="BC15" s="260">
        <f>BC14*(1-VLOOKUP(AZ15,boc_trpr_bc,11,TRUE)*boc_rr_bc_both-VLOOKUP(AZ15,boc_trpr_oc,11,TRUE)*boc_rr_oc_both-VLOOKUP(AZ15,mortt,2,FALSE))</f>
        <v>9.702791538118153E-3</v>
      </c>
      <c r="BD15" s="289">
        <f>BD14*(1-VLOOKUP(AZ15,boc_trpr_bc,11,TRUE)*boc_rr_bc_hip-VLOOKUP(AZ15,boc_trpr_oc,11,TRUE)*boc_rr_oc_hip-VLOOKUP(AZ15,mortt,2,FALSE))</f>
        <v>2.7024001820648122E-3</v>
      </c>
      <c r="BE15" s="289">
        <f>BE14*(1-VLOOKUP(AZ15,boc_trpr_bc,11,TRUE)*boc_rr_bc_hiv-VLOOKUP(AZ15,boc_trpr_oc,11,TRUE)*boc_rr_oc_hiv-VLOOKUP(AZ15,mortt,2,FALSE))</f>
        <v>9.8371791682779399E-3</v>
      </c>
      <c r="BF15" s="289">
        <f>BF14*(1-VLOOKUP(AZ15,boc_trpr_bc,11,TRUE)*boc_rr_bc_modp-VLOOKUP(AZ15,boc_trpr_oc,11,TRUE)*boc_rr_oc_modp-VLOOKUP(AZ15,mortt,2,FALSE))</f>
        <v>4.0690405031762796E-3</v>
      </c>
      <c r="BG15" s="289">
        <f>BG14*(1-VLOOKUP(AZ15,boc_trpr_bc,11,TRUE)*boc_rr_bc_modv-VLOOKUP(AZ15,boc_trpr_oc,11,TRUE)*boc_rr_oc_modv-VLOOKUP(AZ15,mortt,2,FALSE))</f>
        <v>1.2507753592088984E-2</v>
      </c>
      <c r="BH15" s="289">
        <f>BH14*(1-VLOOKUP(AZ15,boc_trpr_bc,11,TRUE)*boc_rr_bc_lop-VLOOKUP(AZ15,boc_trpr_oc,11,TRUE)*boc_rr_oc_lop-VLOOKUP(AZ15,mortt,2,FALSE))</f>
        <v>9.4436477707291226E-4</v>
      </c>
      <c r="BI15" s="289">
        <f>BI14*(1-VLOOKUP(AZ15,boc_trpr_bc,11,TRUE)*boc_rr_bc_lov-VLOOKUP(AZ15,boc_trpr_oc,11,TRUE)*boc_rr_oc_lov-VLOOKUP(AZ15,mortt,2,FALSE))</f>
        <v>2.7381839079749937E-3</v>
      </c>
      <c r="BJ15" s="260">
        <f>BJ14*(1-VLOOKUP(AZ15,boc_trpr_bc,11,TRUE)*boc_rr_bc_np-VLOOKUP(AZ15,boc_trpr_oc,11,TRUE)*boc_rr_oc_np-VLOOKUP(AZ15,mortt,2,FALSE))</f>
        <v>0.89271978426949461</v>
      </c>
      <c r="BK15" s="260">
        <f>BA14*VLOOKUP(AZ15,boc_trpr_bc,11,TRUE)*boc_rr_bc_mast+BB14*VLOOKUP(AZ15,boc_trpr_bc,11,TRUE)*boc_rr_bc_ooph+BC14*VLOOKUP(AZ15,boc_trpr_bc,11,TRUE)*boc_rr_bc_both+BD14*VLOOKUP(AZ15,boc_trpr_bc,11,TRUE)*boc_rr_bc_hip+BE14*VLOOKUP(AZ15,boc_trpr_bc,11,TRUE)*boc_rr_bc_hiv+BF14*VLOOKUP(AZ15,boc_trpr_bc,11,TRUE)*boc_rr_bc_modp+BG14*VLOOKUP(AZ15,boc_trpr_bc,11,TRUE)*boc_rr_bc_modv+BH14*VLOOKUP(AZ15,boc_trpr_bc,11,TRUE)*boc_rr_bc_lop+BI14*VLOOKUP(AZ15,boc_trpr_bc,11,TRUE)*boc_rr_bc_lov+BJ14*VLOOKUP(AZ15,boc_trpr_bc,11,TRUE)*boc_rr_bc_np</f>
        <v>2.238799818232697E-3</v>
      </c>
      <c r="BL15" s="260">
        <f>BA14*VLOOKUP(AZ15,boc_trpr_oc,11,TRUE)*boc_rr_oc_mast+BB14*VLOOKUP(AZ15,boc_trpr_oc,11,TRUE)*boc_rr_oc_ooph+BC14*VLOOKUP(AZ15,boc_trpr_oc,11,TRUE)*boc_rr_oc_both+BD14*VLOOKUP(AZ15,boc_trpr_oc,11,TRUE)*boc_rr_oc_hip+BE14*VLOOKUP(AZ15,boc_trpr_oc,11,TRUE)*boc_rr_oc_hiv+BF14*VLOOKUP(AZ15,boc_trpr_oc,11,TRUE)*boc_rr_oc_modp+BG14*VLOOKUP(AZ15,boc_trpr_oc,11,TRUE)*boc_rr_oc_modv+BH14*VLOOKUP(AZ15,boc_trpr_oc,11,TRUE)*boc_rr_oc_lop+BI14*VLOOKUP(AZ15,boc_trpr_oc,11,TRUE)*boc_rr_oc_lov+BJ14*VLOOKUP(AZ15,boc_trpr_oc,11,TRUE)*boc_rr_oc_np</f>
        <v>2.0076214244918353E-4</v>
      </c>
      <c r="BM15" s="260">
        <f>BK14*(1-VLOOKUP(AZ15,boc_trpr_bc_death,20,TRUE))+BL14*(1-VLOOKUP(AZ15,boc_trpr_oc_death,20,TRUE))+BM14*(1-VLOOKUP(AZ15,mortt,2,FALSE)*boc_rr_death_pc)</f>
        <v>1.4191575661028265E-2</v>
      </c>
      <c r="BN15" s="260">
        <f>BN14+SUM(BA14:BJ14)*VLOOKUP(AZ15,mortt,2,FALSE)+BK14*VLOOKUP(AZ15,boc_trpr_bc_death,20,TRUE)+BL14*VLOOKUP(AZ15,boc_trpr_bc_death,20,TRUE)+BM14*VLOOKUP(AZ15,mortt,2,FALSE)*boc_rr_death_pc</f>
        <v>2.8827604677937328E-2</v>
      </c>
      <c r="BO15" s="260">
        <f t="shared" si="24"/>
        <v>1.0000001560572407</v>
      </c>
      <c r="BP15" s="118">
        <f>(boc_cost_mast*SUM(BD15,BF15,BH15)*(boc_tr_mast_path+boc_tr_both_path)+SUM(BE15,BG15,BI15)*(boc_tr_mast_vus+boc_tr_both_vus)+BK15*boc_cost_bc+BL15*boc_cost_oc+BM15*boc_cost_pc+(BK15*VLOOKUP(AZ15,boc_trpr_bc_death,20,TRUE)+BL15*VLOOKUP(AZ15,boc_trpr_oc_death,TRUE)*boc_cost_death))/((1+discount)^AY15)</f>
        <v>814.71338635106633</v>
      </c>
      <c r="BQ15" s="35">
        <f t="shared" si="6"/>
        <v>0.70525070710738891</v>
      </c>
      <c r="BR15" s="35">
        <f t="shared" si="7"/>
        <v>0.74432277376506839</v>
      </c>
      <c r="BS15" s="35"/>
      <c r="BU15" s="265"/>
      <c r="BV15" s="265"/>
      <c r="BW15" s="267"/>
      <c r="BX15" s="268"/>
      <c r="BY15" s="268"/>
      <c r="BZ15" s="268"/>
      <c r="CA15" s="268"/>
      <c r="CD15" s="138">
        <v>10</v>
      </c>
      <c r="CE15" s="291">
        <v>8.2999999999999998E-5</v>
      </c>
      <c r="CH15" s="12">
        <v>64</v>
      </c>
      <c r="CI15" s="12" t="s">
        <v>311</v>
      </c>
      <c r="CJ15" s="376">
        <v>338.6</v>
      </c>
      <c r="CK15" s="260">
        <f t="shared" si="9"/>
        <v>3.3860000000000001E-3</v>
      </c>
      <c r="CL15" s="289">
        <f t="shared" si="10"/>
        <v>3.3802739666062287E-3</v>
      </c>
      <c r="CM15" s="289">
        <f t="shared" si="11"/>
        <v>3.0213828377939622E-3</v>
      </c>
      <c r="CN15" s="289">
        <f t="shared" si="12"/>
        <v>3.7390359022340114E-3</v>
      </c>
      <c r="CO15" s="290">
        <f t="shared" si="13"/>
        <v>339.74732448534979</v>
      </c>
      <c r="CP15" s="290">
        <f t="shared" si="14"/>
        <v>100169.06581957282</v>
      </c>
      <c r="CQ15" s="289">
        <f t="shared" ca="1" si="15"/>
        <v>3.5498387532170161E-3</v>
      </c>
      <c r="CR15" s="289">
        <f>IF(psa,CQ15,CL15)</f>
        <v>3.3802739666062287E-3</v>
      </c>
      <c r="CS15" s="373">
        <v>51.5</v>
      </c>
      <c r="CT15" s="12">
        <f t="shared" si="16"/>
        <v>5.1500000000000005E-4</v>
      </c>
      <c r="CU15" s="289">
        <f t="shared" si="17"/>
        <v>5.1486741026218752E-4</v>
      </c>
      <c r="CV15" s="289">
        <f t="shared" si="18"/>
        <v>3.7431227438189385E-4</v>
      </c>
      <c r="CW15" s="289">
        <f t="shared" si="19"/>
        <v>6.5540278299869303E-4</v>
      </c>
      <c r="CX15" s="290">
        <f t="shared" si="20"/>
        <v>51.526022097958958</v>
      </c>
      <c r="CY15" s="290">
        <f t="shared" si="21"/>
        <v>100024.76754583286</v>
      </c>
      <c r="CZ15" s="289">
        <f t="shared" ca="1" si="22"/>
        <v>5.6197734108931474E-4</v>
      </c>
      <c r="DA15" s="289">
        <f>IF(psa,CZ15,CU15)</f>
        <v>5.1486741026218752E-4</v>
      </c>
    </row>
    <row r="16" spans="1:105" ht="15" customHeight="1" x14ac:dyDescent="0.2">
      <c r="Q16" s="11"/>
      <c r="S16" s="11"/>
      <c r="U16" s="9" t="s">
        <v>7</v>
      </c>
      <c r="V16" s="250">
        <f>boc_unk_int_mast*boc_test_int_np_mast</f>
        <v>0.01</v>
      </c>
      <c r="X16" s="261">
        <f>R12*T17*V16</f>
        <v>2.4891721632082538E-4</v>
      </c>
      <c r="AD16" s="12">
        <v>10</v>
      </c>
      <c r="AE16" s="12">
        <f t="shared" si="2"/>
        <v>55</v>
      </c>
      <c r="AF16" s="260">
        <f>AF15*(1-VLOOKUP(AE16,boc_trpr_bc,11,TRUE)*boc_rr_bc_mast-VLOOKUP(AE16,boc_trpr_oc,11,TRUE)*boc_rr_oc_mast-VLOOKUP(AE16,mortt,2,FALSE))+SUM(AI15,AK15,AM15)*boc_tr_mast_path+SUM(AJ15,AL15,AN15)*boc_tr_mast_vus</f>
        <v>1.9680971244002806E-2</v>
      </c>
      <c r="AG16" s="260">
        <f>AG15*(1-VLOOKUP(AE16,boc_trpr_bc,11,TRUE)*boc_rr_bc_ooph-VLOOKUP(AE16,boc_trpr_oc,11,TRUE)*boc_rr_oc_ooph-VLOOKUP(AE16,mortt,2,FALSE))+SUM(AI15,AK15,AM15)*boc_tr_ooph_path+SUM(AJ15,AL15,AN15)*boc_tr_ooph_vus</f>
        <v>1.9137708198972179E-2</v>
      </c>
      <c r="AH16" s="260">
        <f>AH15*(1-VLOOKUP(AE16,boc_trpr_bc,11,TRUE)*boc_rr_bc_both-VLOOKUP(AE16,boc_trpr_oc,11,TRUE)*boc_rr_oc_both-VLOOKUP(AE16,mortt,2,FALSE))+SUM(AI15,AK15,AM15)*boc_tr_both_path+SUM(AJ15,AL15,AN15)*boc_tr_both_vus</f>
        <v>1.9181819446113937E-2</v>
      </c>
      <c r="AI16" s="289">
        <f>AI15*(1-VLOOKUP(AE16,boc_trpr_bc,11,TRUE)*boc_rr_bc_hip-VLOOKUP(AE16,boc_trpr_oc,11,TRUE)*boc_rr_oc_hip-boc_tr_mast_path-boc_tr_ooph_path-boc_tr_both_path-VLOOKUP(AE16,mortt,2,FALSE))</f>
        <v>8.0703810443244768E-10</v>
      </c>
      <c r="AJ16" s="289">
        <f>AJ15*(1-VLOOKUP(AE16,boc_trpr_bc,11,TRUE)*boc_rr_bc_hiv-VLOOKUP(AE16,boc_trpr_oc,11,TRUE)*boc_rr_oc_hiv-boc_tr_mast_vus-boc_tr_ooph_vus-boc_tr_both_vus-VLOOKUP(AE16,mortt,2,FALSE))</f>
        <v>1.8251189154013284E-3</v>
      </c>
      <c r="AK16" s="289">
        <f>AK15*(1-VLOOKUP(AE16,boc_trpr_bc,11,TRUE)*boc_rr_bc_modp-VLOOKUP(AE16,boc_trpr_oc,11,TRUE)*boc_rr_oc_modp-boc_tr_mast_path-boc_tr_ooph_path-boc_tr_both_path-VLOOKUP(AE16,mortt,2,FALSE))</f>
        <v>2.3725971152899424E-9</v>
      </c>
      <c r="AL16" s="289">
        <f>AL15*(1-VLOOKUP(AE16,boc_trpr_bc,11,TRUE)*boc_rr_bc_modv-VLOOKUP(AE16,boc_trpr_oc,11,TRUE)*boc_rr_oc_modv-boc_tr_mast_vus-boc_tr_ooph_vus-boc_tr_both_vus-VLOOKUP(AE16,mortt,2,FALSE))</f>
        <v>2.3205979356068526E-3</v>
      </c>
      <c r="AM16" s="289">
        <f>AM15*(1-VLOOKUP(AE16,boc_trpr_bc,11,TRUE)*boc_rr_bc_lop-VLOOKUP(AE16,boc_trpr_oc,11,TRUE)*boc_rr_oc_lop-boc_tr_mast_path-boc_tr_ooph_path-boc_tr_both_path-VLOOKUP(AE16,mortt,2,FALSE))</f>
        <v>6.8498621505326508E-10</v>
      </c>
      <c r="AN16" s="289">
        <f>AN15*(1-VLOOKUP(AE16,boc_trpr_bc,11,TRUE)*boc_rr_bc_lov-VLOOKUP(AE16,boc_trpr_oc,11,TRUE)*boc_rr_oc_lov-boc_tr_mast_vus-boc_tr_ooph_vus-boc_tr_both_vus-VLOOKUP(AE16,mortt,2,FALSE))</f>
        <v>5.0802279381148433E-4</v>
      </c>
      <c r="AO16" s="260">
        <f>AO15*(1-VLOOKUP(AE16,boc_trpr_bc,11,TRUE)*boc_rr_bc_np-VLOOKUP(AE16,boc_trpr_oc,11,TRUE)*boc_rr_oc_np-VLOOKUP(AE16,mortt,2,FALSE))</f>
        <v>0.88627572454854786</v>
      </c>
      <c r="AP16" s="260">
        <f>AF15*VLOOKUP(AE16,boc_trpr_bc,11,TRUE)*boc_rr_bc_mast+AG15*VLOOKUP(AE16,boc_trpr_bc,11,TRUE)*boc_rr_bc_ooph+AH15*VLOOKUP(AE16,boc_trpr_bc,11,TRUE)*boc_rr_bc_both+AI15*VLOOKUP(AE16,boc_trpr_bc,11,TRUE)*boc_rr_bc_hip+AJ15*VLOOKUP(AE16,boc_trpr_bc,11,TRUE)*boc_rr_bc_hiv+AK15*VLOOKUP(AE16,boc_trpr_bc,11,TRUE)*boc_rr_bc_modp+AL15*VLOOKUP(AE16,boc_trpr_bc,11,TRUE)*boc_rr_bc_modv+AM15*VLOOKUP(AE16,boc_trpr_bc,11,TRUE)*boc_rr_bc_lop+AN15*VLOOKUP(AE16,boc_trpr_bc,11,TRUE)*boc_rr_bc_lov+AO15*VLOOKUP(AE16,boc_trpr_bc,11,TRUE)*boc_rr_bc_np</f>
        <v>2.045556688443354E-3</v>
      </c>
      <c r="AQ16" s="260">
        <f>AF15*VLOOKUP(AE16,boc_trpr_oc,11,TRUE)*boc_rr_oc_mast+AG15*VLOOKUP(AE16,boc_trpr_oc,11,TRUE)*boc_rr_oc_ooph+AH15*VLOOKUP(AE16,boc_trpr_oc,11,TRUE)*boc_rr_oc_both+AI15*VLOOKUP(AE16,boc_trpr_oc,11,TRUE)*boc_rr_oc_hip+AJ15*VLOOKUP(AE16,boc_trpr_oc,11,TRUE)*boc_rr_oc_hiv+AK15*VLOOKUP(AE16,boc_trpr_oc,11,TRUE)*boc_rr_oc_modp+AL15*VLOOKUP(AE16,boc_trpr_oc,11,TRUE)*boc_rr_oc_modv+AM15*VLOOKUP(AE16,boc_trpr_oc,11,TRUE)*boc_rr_oc_lop+AN15*VLOOKUP(AE16,boc_trpr_oc,11,TRUE)*boc_rr_oc_lov+AO15*VLOOKUP(AE16,boc_trpr_oc,11,TRUE)*boc_rr_oc_np</f>
        <v>1.8485705114362576E-4</v>
      </c>
      <c r="AR16" s="260">
        <f>AP15*(1-VLOOKUP(AE16,boc_trpr_bc_death,20,TRUE))+AQ15*(1-VLOOKUP(AE16,boc_trpr_oc_death,20,TRUE))+AR15*(1-VLOOKUP(AE16,mortt,2,FALSE)*boc_rr_death_pc)</f>
        <v>1.5356204323038488E-2</v>
      </c>
      <c r="AS16" s="260">
        <f>AS15+SUM(AF15:AO15)*VLOOKUP(AE16,mortt,2,FALSE)+AP15*VLOOKUP(AE16,boc_trpr_bc_death,20,TRUE)+AQ15*VLOOKUP(AE16,boc_trpr_bc_death,20,TRUE)+AR15*VLOOKUP(AE16,mortt,2,FALSE)*boc_rr_death_pc</f>
        <v>3.3483600540026692E-2</v>
      </c>
      <c r="AT16" s="260">
        <f t="shared" si="23"/>
        <v>1.00000018554973</v>
      </c>
      <c r="AU16" s="118">
        <f>(boc_cost_mast*SUM(AI16,AK16,AM16)*(boc_tr_mast_path+boc_tr_both_path)+SUM(AJ16,AL16,AN16)*(boc_tr_mast_vus+boc_tr_both_vus)+AP16*boc_cost_bc+AQ16*boc_cost_oc+AR16*boc_cost_pc+(AP16*VLOOKUP(AE16,boc_trpr_bc_death,20,TRUE)+AQ16*VLOOKUP(AE16,boc_trpr_oc_death,TRUE)*boc_cost_death))/((1+discount)^AD16)</f>
        <v>707.30681129351171</v>
      </c>
      <c r="AV16" s="35">
        <f t="shared" si="3"/>
        <v>0.68179393432459745</v>
      </c>
      <c r="AW16" s="35">
        <f t="shared" si="4"/>
        <v>0.71917897148605858</v>
      </c>
      <c r="AY16" s="12">
        <v>10</v>
      </c>
      <c r="AZ16" s="12">
        <f t="shared" si="5"/>
        <v>55</v>
      </c>
      <c r="BA16" s="260">
        <f>BA15*(1-VLOOKUP(AZ16,boc_trpr_bc,11,TRUE)*boc_rr_bc_mast-VLOOKUP(AZ16,boc_trpr_oc,11,TRUE)*boc_rr_oc_mast-VLOOKUP(AZ16,mortt,2,FALSE))</f>
        <v>9.6352409527871215E-3</v>
      </c>
      <c r="BB16" s="260">
        <f>BB15*(1-VLOOKUP(AZ16,boc_trpr_bc,11,TRUE)*boc_rr_bc_ooph-VLOOKUP(AZ16,boc_trpr_oc,11,TRUE)*boc_rr_oc_ooph-VLOOKUP(AZ16,mortt,2,FALSE))</f>
        <v>9.5769942348676012E-3</v>
      </c>
      <c r="BC16" s="260">
        <f>BC15*(1-VLOOKUP(AZ16,boc_trpr_bc,11,TRUE)*boc_rr_bc_both-VLOOKUP(AZ16,boc_trpr_oc,11,TRUE)*boc_rr_oc_both-VLOOKUP(AZ16,mortt,2,FALSE))</f>
        <v>9.6550710682237455E-3</v>
      </c>
      <c r="BD16" s="289">
        <f>BD15*(1-VLOOKUP(AZ16,boc_trpr_bc,11,TRUE)*boc_rr_bc_hip-VLOOKUP(AZ16,boc_trpr_oc,11,TRUE)*boc_rr_oc_hip-VLOOKUP(AZ16,mortt,2,FALSE))</f>
        <v>2.59041039229564E-3</v>
      </c>
      <c r="BE16" s="289">
        <f>BE15*(1-VLOOKUP(AZ16,boc_trpr_bc,11,TRUE)*boc_rr_bc_hiv-VLOOKUP(AZ16,boc_trpr_oc,11,TRUE)*boc_rr_oc_hiv-VLOOKUP(AZ16,mortt,2,FALSE))</f>
        <v>9.7637652531189813E-3</v>
      </c>
      <c r="BF16" s="289">
        <f>BF15*(1-VLOOKUP(AZ16,boc_trpr_bc,11,TRUE)*boc_rr_bc_modp-VLOOKUP(AZ16,boc_trpr_oc,11,TRUE)*boc_rr_oc_modp-VLOOKUP(AZ16,mortt,2,FALSE))</f>
        <v>3.9998819232417793E-3</v>
      </c>
      <c r="BG16" s="289">
        <f>BG15*(1-VLOOKUP(AZ16,boc_trpr_bc,11,TRUE)*boc_rr_bc_modv-VLOOKUP(AZ16,boc_trpr_oc,11,TRUE)*boc_rr_oc_modv-VLOOKUP(AZ16,mortt,2,FALSE))</f>
        <v>1.241440943871625E-2</v>
      </c>
      <c r="BH16" s="289">
        <f>BH15*(1-VLOOKUP(AZ16,boc_trpr_bc,11,TRUE)*boc_rr_bc_lop-VLOOKUP(AZ16,boc_trpr_oc,11,TRUE)*boc_rr_oc_lop-VLOOKUP(AZ16,mortt,2,FALSE))</f>
        <v>9.3639369044468904E-4</v>
      </c>
      <c r="BI16" s="289">
        <f>BI15*(1-VLOOKUP(AZ16,boc_trpr_bc,11,TRUE)*boc_rr_bc_lov-VLOOKUP(AZ16,boc_trpr_oc,11,TRUE)*boc_rr_oc_lov-VLOOKUP(AZ16,mortt,2,FALSE))</f>
        <v>2.7177491067305539E-3</v>
      </c>
      <c r="BJ16" s="260">
        <f>BJ15*(1-VLOOKUP(AZ16,boc_trpr_bc,11,TRUE)*boc_rr_bc_np-VLOOKUP(AZ16,boc_trpr_oc,11,TRUE)*boc_rr_oc_np-VLOOKUP(AZ16,mortt,2,FALSE))</f>
        <v>0.88627572454854786</v>
      </c>
      <c r="BK16" s="260">
        <f>BA15*VLOOKUP(AZ16,boc_trpr_bc,11,TRUE)*boc_rr_bc_mast+BB15*VLOOKUP(AZ16,boc_trpr_bc,11,TRUE)*boc_rr_bc_ooph+BC15*VLOOKUP(AZ16,boc_trpr_bc,11,TRUE)*boc_rr_bc_both+BD15*VLOOKUP(AZ16,boc_trpr_bc,11,TRUE)*boc_rr_bc_hip+BE15*VLOOKUP(AZ16,boc_trpr_bc,11,TRUE)*boc_rr_bc_hiv+BF15*VLOOKUP(AZ16,boc_trpr_bc,11,TRUE)*boc_rr_bc_modp+BG15*VLOOKUP(AZ16,boc_trpr_bc,11,TRUE)*boc_rr_bc_modv+BH15*VLOOKUP(AZ16,boc_trpr_bc,11,TRUE)*boc_rr_bc_lop+BI15*VLOOKUP(AZ16,boc_trpr_bc,11,TRUE)*boc_rr_bc_lov+BJ15*VLOOKUP(AZ16,boc_trpr_bc,11,TRUE)*boc_rr_bc_np</f>
        <v>2.219734646890366E-3</v>
      </c>
      <c r="BL16" s="260">
        <f>BA15*VLOOKUP(AZ16,boc_trpr_oc,11,TRUE)*boc_rr_oc_mast+BB15*VLOOKUP(AZ16,boc_trpr_oc,11,TRUE)*boc_rr_oc_ooph+BC15*VLOOKUP(AZ16,boc_trpr_oc,11,TRUE)*boc_rr_oc_both+BD15*VLOOKUP(AZ16,boc_trpr_oc,11,TRUE)*boc_rr_oc_hip+BE15*VLOOKUP(AZ16,boc_trpr_oc,11,TRUE)*boc_rr_oc_hiv+BF15*VLOOKUP(AZ16,boc_trpr_oc,11,TRUE)*boc_rr_oc_modp+BG15*VLOOKUP(AZ16,boc_trpr_oc,11,TRUE)*boc_rr_oc_modv+BH15*VLOOKUP(AZ16,boc_trpr_oc,11,TRUE)*boc_rr_oc_lop+BI15*VLOOKUP(AZ16,boc_trpr_oc,11,TRUE)*boc_rr_oc_lov+BJ15*VLOOKUP(AZ16,boc_trpr_oc,11,TRUE)*boc_rr_oc_np</f>
        <v>1.9905779244992178E-4</v>
      </c>
      <c r="BM16" s="260">
        <f>BK15*(1-VLOOKUP(AZ16,boc_trpr_bc_death,20,TRUE))+BL15*(1-VLOOKUP(AZ16,boc_trpr_oc_death,20,TRUE))+BM15*(1-VLOOKUP(AZ16,mortt,2,FALSE)*boc_rr_death_pc)</f>
        <v>1.6528828022886688E-2</v>
      </c>
      <c r="BN16" s="260">
        <f>BN15+SUM(BA15:BJ15)*VLOOKUP(AZ16,mortt,2,FALSE)+BK15*VLOOKUP(AZ16,boc_trpr_bc_death,20,TRUE)+BL15*VLOOKUP(AZ16,boc_trpr_bc_death,20,TRUE)+BM15*VLOOKUP(AZ16,mortt,2,FALSE)*boc_rr_death_pc</f>
        <v>3.3486938141678309E-2</v>
      </c>
      <c r="BO16" s="260">
        <f t="shared" si="24"/>
        <v>1.0000001992128795</v>
      </c>
      <c r="BP16" s="118">
        <f>(boc_cost_mast*SUM(BD16,BF16,BH16)*(boc_tr_mast_path+boc_tr_both_path)+SUM(BE16,BG16,BI16)*(boc_tr_mast_vus+boc_tr_both_vus)+BK16*boc_cost_bc+BL16*boc_cost_oc+BM16*boc_cost_pc+(BK16*VLOOKUP(AZ16,boc_trpr_bc_death,20,TRUE)+BL16*VLOOKUP(AZ16,boc_trpr_oc_death,TRUE)*boc_cost_death))/((1+discount)^AY16)</f>
        <v>797.83736743388761</v>
      </c>
      <c r="BQ16" s="35">
        <f t="shared" si="6"/>
        <v>0.68125265595615803</v>
      </c>
      <c r="BR16" s="35">
        <f t="shared" si="7"/>
        <v>0.71917648799697931</v>
      </c>
      <c r="BS16" s="35"/>
      <c r="BU16" s="265"/>
      <c r="BV16" s="265"/>
      <c r="BW16" s="267"/>
      <c r="BX16" s="268"/>
      <c r="BY16" s="268"/>
      <c r="BZ16" s="268"/>
      <c r="CA16" s="268"/>
      <c r="CD16" s="138">
        <v>11</v>
      </c>
      <c r="CE16" s="291">
        <v>8.7999999999999998E-5</v>
      </c>
      <c r="CH16" s="12">
        <v>69</v>
      </c>
      <c r="CI16" s="12" t="s">
        <v>312</v>
      </c>
      <c r="CJ16" s="376">
        <v>424</v>
      </c>
      <c r="CK16" s="260">
        <f t="shared" si="9"/>
        <v>4.2399999999999998E-3</v>
      </c>
      <c r="CL16" s="289">
        <f t="shared" si="10"/>
        <v>4.2310238907156128E-3</v>
      </c>
      <c r="CM16" s="289">
        <f t="shared" si="11"/>
        <v>3.8299222832327562E-3</v>
      </c>
      <c r="CN16" s="289">
        <f t="shared" si="12"/>
        <v>4.6319639971627025E-3</v>
      </c>
      <c r="CO16" s="290">
        <f t="shared" si="13"/>
        <v>425.8017988290984</v>
      </c>
      <c r="CP16" s="290">
        <f t="shared" si="14"/>
        <v>100212.20210454299</v>
      </c>
      <c r="CQ16" s="289">
        <f t="shared" ca="1" si="15"/>
        <v>3.9802631123000256E-3</v>
      </c>
      <c r="CR16" s="289">
        <f>IF(psa,CQ16,CL16)</f>
        <v>4.2310238907156128E-3</v>
      </c>
      <c r="CS16" s="373">
        <v>64.599999999999994</v>
      </c>
      <c r="CT16" s="12">
        <f t="shared" si="16"/>
        <v>6.4599999999999998E-4</v>
      </c>
      <c r="CU16" s="289">
        <f t="shared" si="17"/>
        <v>6.4579138692377747E-4</v>
      </c>
      <c r="CV16" s="289">
        <f t="shared" si="18"/>
        <v>4.8840119316506669E-4</v>
      </c>
      <c r="CW16" s="289">
        <f t="shared" si="19"/>
        <v>8.0315679690501351E-4</v>
      </c>
      <c r="CX16" s="290">
        <f t="shared" si="20"/>
        <v>64.641114498286939</v>
      </c>
      <c r="CY16" s="290">
        <f t="shared" si="21"/>
        <v>100031.32765678622</v>
      </c>
      <c r="CZ16" s="289">
        <f t="shared" ca="1" si="22"/>
        <v>5.717436308507617E-4</v>
      </c>
      <c r="DA16" s="289">
        <f>IF(psa,CZ16,CU16)</f>
        <v>6.4579138692377747E-4</v>
      </c>
    </row>
    <row r="17" spans="17:105" ht="15" customHeight="1" x14ac:dyDescent="0.2">
      <c r="Q17" s="11"/>
      <c r="S17" s="9" t="s">
        <v>13</v>
      </c>
      <c r="T17" s="251">
        <f>boc_path_high_np</f>
        <v>0.63469613300000005</v>
      </c>
      <c r="U17" s="9" t="s">
        <v>8</v>
      </c>
      <c r="V17" s="250">
        <f>boc_unk_int_ooph*boc_test_int_np_ooph</f>
        <v>0.01</v>
      </c>
      <c r="Y17" s="261">
        <f>R12*T17*V17</f>
        <v>2.4891721632082538E-4</v>
      </c>
      <c r="AD17" s="12">
        <v>11</v>
      </c>
      <c r="AE17" s="12">
        <f t="shared" si="2"/>
        <v>56</v>
      </c>
      <c r="AF17" s="260">
        <f>AF16*(1-VLOOKUP(AE17,boc_trpr_bc,11,TRUE)*boc_rr_bc_mast-VLOOKUP(AE17,boc_trpr_oc,11,TRUE)*boc_rr_oc_mast-VLOOKUP(AE17,mortt,2,FALSE))+SUM(AI16,AK16,AM16)*boc_tr_mast_path+SUM(AJ16,AL16,AN16)*boc_tr_mast_vus</f>
        <v>1.980404744520536E-2</v>
      </c>
      <c r="AG17" s="260">
        <f>AG16*(1-VLOOKUP(AE17,boc_trpr_bc,11,TRUE)*boc_rr_bc_ooph-VLOOKUP(AE17,boc_trpr_oc,11,TRUE)*boc_rr_oc_ooph-VLOOKUP(AE17,mortt,2,FALSE))+SUM(AI16,AK16,AM16)*boc_tr_ooph_path+SUM(AJ16,AL16,AN16)*boc_tr_ooph_vus</f>
        <v>1.9249413675096978E-2</v>
      </c>
      <c r="AH17" s="260">
        <f>AH16*(1-VLOOKUP(AE17,boc_trpr_bc,11,TRUE)*boc_rr_bc_both-VLOOKUP(AE17,boc_trpr_oc,11,TRUE)*boc_rr_oc_both-VLOOKUP(AE17,mortt,2,FALSE))+SUM(AI16,AK16,AM16)*boc_tr_both_path+SUM(AJ16,AL16,AN16)*boc_tr_both_vus</f>
        <v>1.9313050518617696E-2</v>
      </c>
      <c r="AI17" s="289">
        <f>AI16*(1-VLOOKUP(AE17,boc_trpr_bc,11,TRUE)*boc_rr_bc_hip-VLOOKUP(AE17,boc_trpr_oc,11,TRUE)*boc_rr_oc_hip-boc_tr_mast_path-boc_tr_ooph_path-boc_tr_both_path-VLOOKUP(AE17,mortt,2,FALSE))</f>
        <v>1.6801576122578531E-10</v>
      </c>
      <c r="AJ17" s="289">
        <f>AJ16*(1-VLOOKUP(AE17,boc_trpr_bc,11,TRUE)*boc_rr_bc_hiv-VLOOKUP(AE17,boc_trpr_oc,11,TRUE)*boc_rr_oc_hiv-boc_tr_mast_vus-boc_tr_ooph_vus-boc_tr_both_vus-VLOOKUP(AE17,mortt,2,FALSE))</f>
        <v>1.5370532733157442E-3</v>
      </c>
      <c r="AK17" s="289">
        <f>AK16*(1-VLOOKUP(AE17,boc_trpr_bc,11,TRUE)*boc_rr_bc_modp-VLOOKUP(AE17,boc_trpr_oc,11,TRUE)*boc_rr_oc_modp-boc_tr_mast_path-boc_tr_ooph_path-boc_tr_both_path-VLOOKUP(AE17,mortt,2,FALSE))</f>
        <v>5.5194370394453503E-10</v>
      </c>
      <c r="AL17" s="289">
        <f>AL16*(1-VLOOKUP(AE17,boc_trpr_bc,11,TRUE)*boc_rr_bc_modv-VLOOKUP(AE17,boc_trpr_oc,11,TRUE)*boc_rr_oc_modv-boc_tr_mast_vus-boc_tr_ooph_vus-boc_tr_both_vus-VLOOKUP(AE17,mortt,2,FALSE))</f>
        <v>1.954328905845537E-3</v>
      </c>
      <c r="AM17" s="289">
        <f>AM16*(1-VLOOKUP(AE17,boc_trpr_bc,11,TRUE)*boc_rr_bc_lop-VLOOKUP(AE17,boc_trpr_oc,11,TRUE)*boc_rr_oc_lop-boc_tr_mast_path-boc_tr_ooph_path-boc_tr_both_path-VLOOKUP(AE17,mortt,2,FALSE))</f>
        <v>1.652106702671819E-10</v>
      </c>
      <c r="AN17" s="289">
        <f>AN16*(1-VLOOKUP(AE17,boc_trpr_bc,11,TRUE)*boc_rr_bc_lov-VLOOKUP(AE17,boc_trpr_oc,11,TRUE)*boc_rr_oc_lov-boc_tr_mast_vus-boc_tr_ooph_vus-boc_tr_both_vus-VLOOKUP(AE17,mortt,2,FALSE))</f>
        <v>4.2783957338760428E-4</v>
      </c>
      <c r="AO17" s="260">
        <f>AO16*(1-VLOOKUP(AE17,boc_trpr_bc,11,TRUE)*boc_rr_bc_np-VLOOKUP(AE17,boc_trpr_oc,11,TRUE)*boc_rr_oc_np-VLOOKUP(AE17,mortt,2,FALSE))</f>
        <v>0.87954937270428613</v>
      </c>
      <c r="AP17" s="260">
        <f>AF16*VLOOKUP(AE17,boc_trpr_bc,11,TRUE)*boc_rr_bc_mast+AG16*VLOOKUP(AE17,boc_trpr_bc,11,TRUE)*boc_rr_bc_ooph+AH16*VLOOKUP(AE17,boc_trpr_bc,11,TRUE)*boc_rr_bc_both+AI16*VLOOKUP(AE17,boc_trpr_bc,11,TRUE)*boc_rr_bc_hip+AJ16*VLOOKUP(AE17,boc_trpr_bc,11,TRUE)*boc_rr_bc_hiv+AK16*VLOOKUP(AE17,boc_trpr_bc,11,TRUE)*boc_rr_bc_modp+AL16*VLOOKUP(AE17,boc_trpr_bc,11,TRUE)*boc_rr_bc_modv+AM16*VLOOKUP(AE17,boc_trpr_bc,11,TRUE)*boc_rr_bc_lop+AN16*VLOOKUP(AE17,boc_trpr_bc,11,TRUE)*boc_rr_bc_lov+AO16*VLOOKUP(AE17,boc_trpr_bc,11,TRUE)*boc_rr_bc_np</f>
        <v>2.0291922373621403E-3</v>
      </c>
      <c r="AQ17" s="260">
        <f>AF16*VLOOKUP(AE17,boc_trpr_oc,11,TRUE)*boc_rr_oc_mast+AG16*VLOOKUP(AE17,boc_trpr_oc,11,TRUE)*boc_rr_oc_ooph+AH16*VLOOKUP(AE17,boc_trpr_oc,11,TRUE)*boc_rr_oc_both+AI16*VLOOKUP(AE17,boc_trpr_oc,11,TRUE)*boc_rr_oc_hip+AJ16*VLOOKUP(AE17,boc_trpr_oc,11,TRUE)*boc_rr_oc_hiv+AK16*VLOOKUP(AE17,boc_trpr_oc,11,TRUE)*boc_rr_oc_modp+AL16*VLOOKUP(AE17,boc_trpr_oc,11,TRUE)*boc_rr_oc_modv+AM16*VLOOKUP(AE17,boc_trpr_oc,11,TRUE)*boc_rr_oc_lop+AN16*VLOOKUP(AE17,boc_trpr_oc,11,TRUE)*boc_rr_oc_lov+AO16*VLOOKUP(AE17,boc_trpr_oc,11,TRUE)*boc_rr_oc_np</f>
        <v>1.8342304884791516E-4</v>
      </c>
      <c r="AR17" s="260">
        <f>AP16*(1-VLOOKUP(AE17,boc_trpr_bc_death,20,TRUE))+AQ16*(1-VLOOKUP(AE17,boc_trpr_oc_death,20,TRUE))+AR16*(1-VLOOKUP(AE17,mortt,2,FALSE)*boc_rr_death_pc)</f>
        <v>1.7467481728188527E-2</v>
      </c>
      <c r="AS17" s="260">
        <f>AS16+SUM(AF16:AO16)*VLOOKUP(AE17,mortt,2,FALSE)+AP16*VLOOKUP(AE17,boc_trpr_bc_death,20,TRUE)+AQ16*VLOOKUP(AE17,boc_trpr_bc_death,20,TRUE)+AR16*VLOOKUP(AE17,mortt,2,FALSE)*boc_rr_death_pc</f>
        <v>3.8485021291101852E-2</v>
      </c>
      <c r="AT17" s="260">
        <f t="shared" si="23"/>
        <v>1.0000002252864255</v>
      </c>
      <c r="AU17" s="118">
        <f>(boc_cost_mast*SUM(AI17,AK17,AM17)*(boc_tr_mast_path+boc_tr_both_path)+SUM(AJ17,AL17,AN17)*(boc_tr_mast_vus+boc_tr_both_vus)+AP17*boc_cost_bc+AQ17*boc_cost_oc+AR17*boc_cost_pc+(AP17*VLOOKUP(AE17,boc_trpr_bc_death,20,TRUE)+AQ17*VLOOKUP(AE17,boc_trpr_oc_death,TRUE)*boc_cost_death))/((1+discount)^AD17)</f>
        <v>693.8195066846265</v>
      </c>
      <c r="AV17" s="35">
        <f t="shared" si="3"/>
        <v>0.65835812165980212</v>
      </c>
      <c r="AW17" s="35">
        <f t="shared" si="4"/>
        <v>0.69461887838771397</v>
      </c>
      <c r="AY17" s="12">
        <v>11</v>
      </c>
      <c r="AZ17" s="12">
        <f t="shared" si="5"/>
        <v>56</v>
      </c>
      <c r="BA17" s="260">
        <f>BA16*(1-VLOOKUP(AZ17,boc_trpr_bc,11,TRUE)*boc_rr_bc_mast-VLOOKUP(AZ17,boc_trpr_oc,11,TRUE)*boc_rr_oc_mast-VLOOKUP(AZ17,mortt,2,FALSE))</f>
        <v>9.5815781745444105E-3</v>
      </c>
      <c r="BB17" s="260">
        <f>BB16*(1-VLOOKUP(AZ17,boc_trpr_bc,11,TRUE)*boc_rr_bc_ooph-VLOOKUP(AZ17,boc_trpr_oc,11,TRUE)*boc_rr_oc_ooph-VLOOKUP(AZ17,mortt,2,FALSE))</f>
        <v>9.5164515393986217E-3</v>
      </c>
      <c r="BC17" s="260">
        <f>BC16*(1-VLOOKUP(AZ17,boc_trpr_bc,11,TRUE)*boc_rr_bc_both-VLOOKUP(AZ17,boc_trpr_oc,11,TRUE)*boc_rr_oc_both-VLOOKUP(AZ17,mortt,2,FALSE))</f>
        <v>9.6040032667644177E-3</v>
      </c>
      <c r="BD17" s="289">
        <f>BD16*(1-VLOOKUP(AZ17,boc_trpr_bc,11,TRUE)*boc_rr_bc_hip-VLOOKUP(AZ17,boc_trpr_oc,11,TRUE)*boc_rr_oc_hip-VLOOKUP(AZ17,mortt,2,FALSE))</f>
        <v>2.4821005135597022E-3</v>
      </c>
      <c r="BE17" s="289">
        <f>BE16*(1-VLOOKUP(AZ17,boc_trpr_bc,11,TRUE)*boc_rr_bc_hiv-VLOOKUP(AZ17,boc_trpr_oc,11,TRUE)*boc_rr_oc_hiv-VLOOKUP(AZ17,mortt,2,FALSE))</f>
        <v>9.6872768619879947E-3</v>
      </c>
      <c r="BF17" s="289">
        <f>BF16*(1-VLOOKUP(AZ17,boc_trpr_bc,11,TRUE)*boc_rr_bc_modp-VLOOKUP(AZ17,boc_trpr_oc,11,TRUE)*boc_rr_oc_modp-VLOOKUP(AZ17,mortt,2,FALSE))</f>
        <v>3.9304148261822104E-3</v>
      </c>
      <c r="BG17" s="289">
        <f>BG16*(1-VLOOKUP(AZ17,boc_trpr_bc,11,TRUE)*boc_rr_bc_modv-VLOOKUP(AZ17,boc_trpr_oc,11,TRUE)*boc_rr_oc_modv-VLOOKUP(AZ17,mortt,2,FALSE))</f>
        <v>1.2317156157815687E-2</v>
      </c>
      <c r="BH17" s="289">
        <f>BH16*(1-VLOOKUP(AZ17,boc_trpr_bc,11,TRUE)*boc_rr_bc_lop-VLOOKUP(AZ17,boc_trpr_oc,11,TRUE)*boc_rr_oc_lop-VLOOKUP(AZ17,mortt,2,FALSE))</f>
        <v>9.2814248319725572E-4</v>
      </c>
      <c r="BI17" s="289">
        <f>BI16*(1-VLOOKUP(AZ17,boc_trpr_bc,11,TRUE)*boc_rr_bc_lov-VLOOKUP(AZ17,boc_trpr_oc,11,TRUE)*boc_rr_oc_lov-VLOOKUP(AZ17,mortt,2,FALSE))</f>
        <v>2.6964585235095886E-3</v>
      </c>
      <c r="BJ17" s="260">
        <f>BJ16*(1-VLOOKUP(AZ17,boc_trpr_bc,11,TRUE)*boc_rr_bc_np-VLOOKUP(AZ17,boc_trpr_oc,11,TRUE)*boc_rr_oc_np-VLOOKUP(AZ17,mortt,2,FALSE))</f>
        <v>0.87954937270428613</v>
      </c>
      <c r="BK17" s="260">
        <f>BA16*VLOOKUP(AZ17,boc_trpr_bc,11,TRUE)*boc_rr_bc_mast+BB16*VLOOKUP(AZ17,boc_trpr_bc,11,TRUE)*boc_rr_bc_ooph+BC16*VLOOKUP(AZ17,boc_trpr_bc,11,TRUE)*boc_rr_bc_both+BD16*VLOOKUP(AZ17,boc_trpr_bc,11,TRUE)*boc_rr_bc_hip+BE16*VLOOKUP(AZ17,boc_trpr_bc,11,TRUE)*boc_rr_bc_hiv+BF16*VLOOKUP(AZ17,boc_trpr_bc,11,TRUE)*boc_rr_bc_modp+BG16*VLOOKUP(AZ17,boc_trpr_bc,11,TRUE)*boc_rr_bc_modv+BH16*VLOOKUP(AZ17,boc_trpr_bc,11,TRUE)*boc_rr_bc_lop+BI16*VLOOKUP(AZ17,boc_trpr_bc,11,TRUE)*boc_rr_bc_lov+BJ16*VLOOKUP(AZ17,boc_trpr_bc,11,TRUE)*boc_rr_bc_np</f>
        <v>2.2001533145221326E-3</v>
      </c>
      <c r="BL17" s="260">
        <f>BA16*VLOOKUP(AZ17,boc_trpr_oc,11,TRUE)*boc_rr_oc_mast+BB16*VLOOKUP(AZ17,boc_trpr_oc,11,TRUE)*boc_rr_oc_ooph+BC16*VLOOKUP(AZ17,boc_trpr_oc,11,TRUE)*boc_rr_oc_both+BD16*VLOOKUP(AZ17,boc_trpr_oc,11,TRUE)*boc_rr_oc_hip+BE16*VLOOKUP(AZ17,boc_trpr_oc,11,TRUE)*boc_rr_oc_hiv+BF16*VLOOKUP(AZ17,boc_trpr_oc,11,TRUE)*boc_rr_oc_modp+BG16*VLOOKUP(AZ17,boc_trpr_oc,11,TRUE)*boc_rr_oc_modv+BH16*VLOOKUP(AZ17,boc_trpr_oc,11,TRUE)*boc_rr_oc_lop+BI16*VLOOKUP(AZ17,boc_trpr_oc,11,TRUE)*boc_rr_oc_lov+BJ16*VLOOKUP(AZ17,boc_trpr_oc,11,TRUE)*boc_rr_oc_np</f>
        <v>1.9730702227298394E-4</v>
      </c>
      <c r="BM17" s="260">
        <f>BK16*(1-VLOOKUP(AZ17,boc_trpr_bc_death,20,TRUE))+BL16*(1-VLOOKUP(AZ17,boc_trpr_oc_death,20,TRUE))+BM16*(1-VLOOKUP(AZ17,mortt,2,FALSE)*boc_rr_death_pc)</f>
        <v>1.8819381328475302E-2</v>
      </c>
      <c r="BN17" s="260">
        <f>BN16+SUM(BA16:BJ16)*VLOOKUP(AZ17,mortt,2,FALSE)+BK16*VLOOKUP(AZ17,boc_trpr_bc_death,20,TRUE)+BL16*VLOOKUP(AZ17,boc_trpr_bc_death,20,TRUE)+BM16*VLOOKUP(AZ17,mortt,2,FALSE)*boc_rr_death_pc</f>
        <v>3.8490445285636478E-2</v>
      </c>
      <c r="BO17" s="260">
        <f t="shared" si="24"/>
        <v>1.0000002420021528</v>
      </c>
      <c r="BP17" s="118">
        <f>(boc_cost_mast*SUM(BD17,BF17,BH17)*(boc_tr_mast_path+boc_tr_both_path)+SUM(BE17,BG17,BI17)*(boc_tr_mast_vus+boc_tr_both_vus)+BK17*boc_cost_bc+BL17*boc_cost_oc+BM17*boc_cost_pc+(BK17*VLOOKUP(AZ17,boc_trpr_bc_death,20,TRUE)+BL17*VLOOKUP(AZ17,boc_trpr_oc_death,TRUE)*boc_cost_death))/((1+discount)^AY17)</f>
        <v>780.85525693217903</v>
      </c>
      <c r="BQ17" s="35">
        <f t="shared" si="6"/>
        <v>0.65782143259808257</v>
      </c>
      <c r="BR17" s="35">
        <f t="shared" si="7"/>
        <v>0.69461495997865796</v>
      </c>
      <c r="BS17" s="35"/>
      <c r="BU17" s="265"/>
      <c r="BV17" s="265"/>
      <c r="BW17" s="267"/>
      <c r="BX17" s="268"/>
      <c r="BY17" s="268"/>
      <c r="BZ17" s="268"/>
      <c r="CA17" s="268"/>
      <c r="CD17" s="138">
        <v>12</v>
      </c>
      <c r="CE17" s="291">
        <v>1.02E-4</v>
      </c>
      <c r="CH17" s="12">
        <v>74</v>
      </c>
      <c r="CI17" s="12" t="s">
        <v>313</v>
      </c>
      <c r="CJ17" s="376">
        <v>451.6</v>
      </c>
      <c r="CK17" s="260">
        <f t="shared" si="9"/>
        <v>4.516E-3</v>
      </c>
      <c r="CL17" s="289">
        <f t="shared" si="10"/>
        <v>4.5058182047620354E-3</v>
      </c>
      <c r="CM17" s="289">
        <f t="shared" si="11"/>
        <v>4.0920366106164119E-3</v>
      </c>
      <c r="CN17" s="289">
        <f t="shared" si="12"/>
        <v>4.9194278802023872E-3</v>
      </c>
      <c r="CO17" s="290">
        <f t="shared" si="13"/>
        <v>453.64491648055036</v>
      </c>
      <c r="CP17" s="290">
        <f t="shared" si="14"/>
        <v>100226.16413598179</v>
      </c>
      <c r="CQ17" s="289">
        <f t="shared" ca="1" si="15"/>
        <v>4.4645564982123201E-3</v>
      </c>
      <c r="CR17" s="289">
        <f>IF(psa,CQ17,CL17)</f>
        <v>4.5058182047620354E-3</v>
      </c>
      <c r="CS17" s="373">
        <v>77.7</v>
      </c>
      <c r="CT17" s="12">
        <f t="shared" si="16"/>
        <v>7.7700000000000002E-4</v>
      </c>
      <c r="CU17" s="289">
        <f t="shared" si="17"/>
        <v>7.7669821366777025E-4</v>
      </c>
      <c r="CV17" s="289">
        <f t="shared" si="18"/>
        <v>6.0411845145358356E-4</v>
      </c>
      <c r="CW17" s="289">
        <f t="shared" si="19"/>
        <v>9.4924817410380058E-4</v>
      </c>
      <c r="CX17" s="290">
        <f t="shared" si="20"/>
        <v>77.759646287149863</v>
      </c>
      <c r="CY17" s="290">
        <f t="shared" si="21"/>
        <v>100037.89006011382</v>
      </c>
      <c r="CZ17" s="289">
        <f t="shared" ca="1" si="22"/>
        <v>7.4826544246484462E-4</v>
      </c>
      <c r="DA17" s="289">
        <f>IF(psa,CZ17,CU17)</f>
        <v>7.7669821366777025E-4</v>
      </c>
    </row>
    <row r="18" spans="17:105" ht="15" customHeight="1" x14ac:dyDescent="0.2">
      <c r="Q18" s="11"/>
      <c r="U18" s="9" t="s">
        <v>6</v>
      </c>
      <c r="V18" s="250">
        <f>boc_unk_int_ooph*boc_test_int_np_both</f>
        <v>0.01</v>
      </c>
      <c r="Z18" s="261">
        <f>R12*T17*V18</f>
        <v>2.4891721632082538E-4</v>
      </c>
      <c r="AD18" s="12">
        <v>12</v>
      </c>
      <c r="AE18" s="12">
        <f t="shared" si="2"/>
        <v>57</v>
      </c>
      <c r="AF18" s="260">
        <f>AF17*(1-VLOOKUP(AE18,boc_trpr_bc,11,TRUE)*boc_rr_bc_mast-VLOOKUP(AE18,boc_trpr_oc,11,TRUE)*boc_rr_oc_mast-VLOOKUP(AE18,mortt,2,FALSE))+SUM(AI17,AK17,AM17)*boc_tr_mast_path+SUM(AJ17,AL17,AN17)*boc_tr_mast_vus</f>
        <v>1.9882265221083061E-2</v>
      </c>
      <c r="AG18" s="260">
        <f>AG17*(1-VLOOKUP(AE18,boc_trpr_bc,11,TRUE)*boc_rr_bc_ooph-VLOOKUP(AE18,boc_trpr_oc,11,TRUE)*boc_rr_oc_ooph-VLOOKUP(AE18,mortt,2,FALSE))+SUM(AI17,AK17,AM17)*boc_tr_ooph_path+SUM(AJ17,AL17,AN17)*boc_tr_ooph_vus</f>
        <v>1.9316448565899477E-2</v>
      </c>
      <c r="AH18" s="260">
        <f>AH17*(1-VLOOKUP(AE18,boc_trpr_bc,11,TRUE)*boc_rr_bc_both-VLOOKUP(AE18,boc_trpr_oc,11,TRUE)*boc_rr_oc_both-VLOOKUP(AE18,mortt,2,FALSE))+SUM(AI17,AK17,AM17)*boc_tr_both_path+SUM(AJ17,AL17,AN17)*boc_tr_both_vus</f>
        <v>1.9399599134548928E-2</v>
      </c>
      <c r="AI18" s="289">
        <f>AI17*(1-VLOOKUP(AE18,boc_trpr_bc,11,TRUE)*boc_rr_bc_hip-VLOOKUP(AE18,boc_trpr_oc,11,TRUE)*boc_rr_oc_hip-boc_tr_mast_path-boc_tr_ooph_path-boc_tr_both_path-VLOOKUP(AE18,mortt,2,FALSE))</f>
        <v>3.4915714759750699E-11</v>
      </c>
      <c r="AJ18" s="289">
        <f>AJ17*(1-VLOOKUP(AE18,boc_trpr_bc,11,TRUE)*boc_rr_bc_hiv-VLOOKUP(AE18,boc_trpr_oc,11,TRUE)*boc_rr_oc_hiv-boc_tr_mast_vus-boc_tr_ooph_vus-boc_tr_both_vus-VLOOKUP(AE18,mortt,2,FALSE))</f>
        <v>1.2938762238460532E-3</v>
      </c>
      <c r="AK18" s="289">
        <f>AK17*(1-VLOOKUP(AE18,boc_trpr_bc,11,TRUE)*boc_rr_bc_modp-VLOOKUP(AE18,boc_trpr_oc,11,TRUE)*boc_rr_oc_modp-boc_tr_mast_path-boc_tr_ooph_path-boc_tr_both_path-VLOOKUP(AE18,mortt,2,FALSE))</f>
        <v>1.2819263047611278E-10</v>
      </c>
      <c r="AL18" s="289">
        <f>AL17*(1-VLOOKUP(AE18,boc_trpr_bc,11,TRUE)*boc_rr_bc_modv-VLOOKUP(AE18,boc_trpr_oc,11,TRUE)*boc_rr_oc_modv-boc_tr_mast_vus-boc_tr_ooph_vus-boc_tr_both_vus-VLOOKUP(AE18,mortt,2,FALSE))</f>
        <v>1.6451347189767641E-3</v>
      </c>
      <c r="AM18" s="289">
        <f>AM17*(1-VLOOKUP(AE18,boc_trpr_bc,11,TRUE)*boc_rr_bc_lop-VLOOKUP(AE18,boc_trpr_oc,11,TRUE)*boc_rr_oc_lop-boc_tr_mast_path-boc_tr_ooph_path-boc_tr_both_path-VLOOKUP(AE18,mortt,2,FALSE))</f>
        <v>3.978476379132444E-11</v>
      </c>
      <c r="AN18" s="289">
        <f>AN17*(1-VLOOKUP(AE18,boc_trpr_bc,11,TRUE)*boc_rr_bc_lov-VLOOKUP(AE18,boc_trpr_oc,11,TRUE)*boc_rr_oc_lov-boc_tr_mast_vus-boc_tr_ooph_vus-boc_tr_both_vus-VLOOKUP(AE18,mortt,2,FALSE))</f>
        <v>3.6015111592878677E-4</v>
      </c>
      <c r="AO18" s="260">
        <f>AO17*(1-VLOOKUP(AE18,boc_trpr_bc,11,TRUE)*boc_rr_bc_np-VLOOKUP(AE18,boc_trpr_oc,11,TRUE)*boc_rr_oc_np-VLOOKUP(AE18,mortt,2,FALSE))</f>
        <v>0.87254335965657692</v>
      </c>
      <c r="AP18" s="260">
        <f>AF17*VLOOKUP(AE18,boc_trpr_bc,11,TRUE)*boc_rr_bc_mast+AG17*VLOOKUP(AE18,boc_trpr_bc,11,TRUE)*boc_rr_bc_ooph+AH17*VLOOKUP(AE18,boc_trpr_bc,11,TRUE)*boc_rr_bc_both+AI17*VLOOKUP(AE18,boc_trpr_bc,11,TRUE)*boc_rr_bc_hip+AJ17*VLOOKUP(AE18,boc_trpr_bc,11,TRUE)*boc_rr_bc_hiv+AK17*VLOOKUP(AE18,boc_trpr_bc,11,TRUE)*boc_rr_bc_modp+AL17*VLOOKUP(AE18,boc_trpr_bc,11,TRUE)*boc_rr_bc_modv+AM17*VLOOKUP(AE18,boc_trpr_bc,11,TRUE)*boc_rr_bc_lop+AN17*VLOOKUP(AE18,boc_trpr_bc,11,TRUE)*boc_rr_bc_lov+AO17*VLOOKUP(AE18,boc_trpr_bc,11,TRUE)*boc_rr_bc_np</f>
        <v>2.0124517982333594E-3</v>
      </c>
      <c r="AQ18" s="260">
        <f>AF17*VLOOKUP(AE18,boc_trpr_oc,11,TRUE)*boc_rr_oc_mast+AG17*VLOOKUP(AE18,boc_trpr_oc,11,TRUE)*boc_rr_oc_ooph+AH17*VLOOKUP(AE18,boc_trpr_oc,11,TRUE)*boc_rr_oc_both+AI17*VLOOKUP(AE18,boc_trpr_oc,11,TRUE)*boc_rr_oc_hip+AJ17*VLOOKUP(AE18,boc_trpr_oc,11,TRUE)*boc_rr_oc_hiv+AK17*VLOOKUP(AE18,boc_trpr_oc,11,TRUE)*boc_rr_oc_modp+AL17*VLOOKUP(AE18,boc_trpr_oc,11,TRUE)*boc_rr_oc_modv+AM17*VLOOKUP(AE18,boc_trpr_oc,11,TRUE)*boc_rr_oc_lop+AN17*VLOOKUP(AE18,boc_trpr_oc,11,TRUE)*boc_rr_oc_lov+AO17*VLOOKUP(AE18,boc_trpr_oc,11,TRUE)*boc_rr_oc_np</f>
        <v>1.8194871729697637E-4</v>
      </c>
      <c r="AR18" s="260">
        <f>AP17*(1-VLOOKUP(AE18,boc_trpr_bc_death,20,TRUE))+AQ17*(1-VLOOKUP(AE18,boc_trpr_oc_death,20,TRUE))+AR17*(1-VLOOKUP(AE18,mortt,2,FALSE)*boc_rr_death_pc)</f>
        <v>1.9534820231789828E-2</v>
      </c>
      <c r="AS18" s="260">
        <f>AS17+SUM(AF17:AO17)*VLOOKUP(AE18,mortt,2,FALSE)+AP17*VLOOKUP(AE18,boc_trpr_bc_death,20,TRUE)+AQ17*VLOOKUP(AE18,boc_trpr_bc_death,20,TRUE)+AR17*VLOOKUP(AE18,mortt,2,FALSE)*boc_rr_death_pc</f>
        <v>4.3830209127796033E-2</v>
      </c>
      <c r="AT18" s="260">
        <f t="shared" si="23"/>
        <v>1.0000002647148694</v>
      </c>
      <c r="AU18" s="118">
        <f>(boc_cost_mast*SUM(AI18,AK18,AM18)*(boc_tr_mast_path+boc_tr_both_path)+SUM(AJ18,AL18,AN18)*(boc_tr_mast_vus+boc_tr_both_vus)+AP18*boc_cost_bc+AQ18*boc_cost_oc+AR18*boc_cost_pc+(AP18*VLOOKUP(AE18,boc_trpr_bc_death,20,TRUE)+AQ18*VLOOKUP(AE18,boc_trpr_oc_death,TRUE)*boc_cost_death))/((1+discount)^AD18)</f>
        <v>680.1558569532076</v>
      </c>
      <c r="AV18" s="35">
        <f t="shared" si="3"/>
        <v>0.63548237817119302</v>
      </c>
      <c r="AW18" s="35">
        <f t="shared" si="4"/>
        <v>0.67063825336608673</v>
      </c>
      <c r="AY18" s="12">
        <v>12</v>
      </c>
      <c r="AZ18" s="12">
        <f t="shared" si="5"/>
        <v>57</v>
      </c>
      <c r="BA18" s="260">
        <f>BA17*(1-VLOOKUP(AZ18,boc_trpr_bc,11,TRUE)*boc_rr_bc_mast-VLOOKUP(AZ18,boc_trpr_oc,11,TRUE)*boc_rr_oc_mast-VLOOKUP(AZ18,mortt,2,FALSE))</f>
        <v>9.5246115938738135E-3</v>
      </c>
      <c r="BB18" s="260">
        <f>BB17*(1-VLOOKUP(AZ18,boc_trpr_bc,11,TRUE)*boc_rr_bc_ooph-VLOOKUP(AZ18,boc_trpr_oc,11,TRUE)*boc_rr_oc_ooph-VLOOKUP(AZ18,mortt,2,FALSE))</f>
        <v>9.4527133897140663E-3</v>
      </c>
      <c r="BC18" s="260">
        <f>BC17*(1-VLOOKUP(AZ18,boc_trpr_bc,11,TRUE)*boc_rr_bc_both-VLOOKUP(AZ18,boc_trpr_oc,11,TRUE)*boc_rr_oc_both-VLOOKUP(AZ18,mortt,2,FALSE))</f>
        <v>9.5495944689478109E-3</v>
      </c>
      <c r="BD18" s="289">
        <f>BD17*(1-VLOOKUP(AZ18,boc_trpr_bc,11,TRUE)*boc_rr_bc_hip-VLOOKUP(AZ18,boc_trpr_oc,11,TRUE)*boc_rr_oc_hip-VLOOKUP(AZ18,mortt,2,FALSE))</f>
        <v>2.377386002603571E-3</v>
      </c>
      <c r="BE18" s="289">
        <f>BE17*(1-VLOOKUP(AZ18,boc_trpr_bc,11,TRUE)*boc_rr_bc_hiv-VLOOKUP(AZ18,boc_trpr_oc,11,TRUE)*boc_rr_oc_hiv-VLOOKUP(AZ18,mortt,2,FALSE))</f>
        <v>9.6077452574032298E-3</v>
      </c>
      <c r="BF18" s="289">
        <f>BF17*(1-VLOOKUP(AZ18,boc_trpr_bc,11,TRUE)*boc_rr_bc_modp-VLOOKUP(AZ18,boc_trpr_oc,11,TRUE)*boc_rr_oc_modp-VLOOKUP(AZ18,mortt,2,FALSE))</f>
        <v>3.8606763481550416E-3</v>
      </c>
      <c r="BG18" s="289">
        <f>BG17*(1-VLOOKUP(AZ18,boc_trpr_bc,11,TRUE)*boc_rr_bc_modv-VLOOKUP(AZ18,boc_trpr_oc,11,TRUE)*boc_rr_oc_modv-VLOOKUP(AZ18,mortt,2,FALSE))</f>
        <v>1.2216033498980976E-2</v>
      </c>
      <c r="BH18" s="289">
        <f>BH17*(1-VLOOKUP(AZ18,boc_trpr_bc,11,TRUE)*boc_rr_bc_lop-VLOOKUP(AZ18,boc_trpr_oc,11,TRUE)*boc_rr_oc_lop-VLOOKUP(AZ18,mortt,2,FALSE))</f>
        <v>9.1961500142418503E-4</v>
      </c>
      <c r="BI18" s="289">
        <f>BI17*(1-VLOOKUP(AZ18,boc_trpr_bc,11,TRUE)*boc_rr_bc_lov-VLOOKUP(AZ18,boc_trpr_oc,11,TRUE)*boc_rr_oc_lov-VLOOKUP(AZ18,mortt,2,FALSE))</f>
        <v>2.6743208602502178E-3</v>
      </c>
      <c r="BJ18" s="260">
        <f>BJ17*(1-VLOOKUP(AZ18,boc_trpr_bc,11,TRUE)*boc_rr_bc_np-VLOOKUP(AZ18,boc_trpr_oc,11,TRUE)*boc_rr_oc_np-VLOOKUP(AZ18,mortt,2,FALSE))</f>
        <v>0.87254335965657692</v>
      </c>
      <c r="BK18" s="260">
        <f>BA17*VLOOKUP(AZ18,boc_trpr_bc,11,TRUE)*boc_rr_bc_mast+BB17*VLOOKUP(AZ18,boc_trpr_bc,11,TRUE)*boc_rr_bc_ooph+BC17*VLOOKUP(AZ18,boc_trpr_bc,11,TRUE)*boc_rr_bc_both+BD17*VLOOKUP(AZ18,boc_trpr_bc,11,TRUE)*boc_rr_bc_hip+BE17*VLOOKUP(AZ18,boc_trpr_bc,11,TRUE)*boc_rr_bc_hiv+BF17*VLOOKUP(AZ18,boc_trpr_bc,11,TRUE)*boc_rr_bc_modp+BG17*VLOOKUP(AZ18,boc_trpr_bc,11,TRUE)*boc_rr_bc_modv+BH17*VLOOKUP(AZ18,boc_trpr_bc,11,TRUE)*boc_rr_bc_lop+BI17*VLOOKUP(AZ18,boc_trpr_bc,11,TRUE)*boc_rr_bc_lov+BJ17*VLOOKUP(AZ18,boc_trpr_bc,11,TRUE)*boc_rr_bc_np</f>
        <v>2.1800337199338439E-3</v>
      </c>
      <c r="BL18" s="260">
        <f>BA17*VLOOKUP(AZ18,boc_trpr_oc,11,TRUE)*boc_rr_oc_mast+BB17*VLOOKUP(AZ18,boc_trpr_oc,11,TRUE)*boc_rr_oc_ooph+BC17*VLOOKUP(AZ18,boc_trpr_oc,11,TRUE)*boc_rr_oc_both+BD17*VLOOKUP(AZ18,boc_trpr_oc,11,TRUE)*boc_rr_oc_hip+BE17*VLOOKUP(AZ18,boc_trpr_oc,11,TRUE)*boc_rr_oc_hiv+BF17*VLOOKUP(AZ18,boc_trpr_oc,11,TRUE)*boc_rr_oc_modp+BG17*VLOOKUP(AZ18,boc_trpr_oc,11,TRUE)*boc_rr_oc_modv+BH17*VLOOKUP(AZ18,boc_trpr_oc,11,TRUE)*boc_rr_oc_lop+BI17*VLOOKUP(AZ18,boc_trpr_oc,11,TRUE)*boc_rr_oc_lov+BJ17*VLOOKUP(AZ18,boc_trpr_oc,11,TRUE)*boc_rr_oc_np</f>
        <v>1.9550784854435439E-4</v>
      </c>
      <c r="BM18" s="260">
        <f>BK17*(1-VLOOKUP(AZ18,boc_trpr_bc_death,20,TRUE))+BL17*(1-VLOOKUP(AZ18,boc_trpr_oc_death,20,TRUE))+BM17*(1-VLOOKUP(AZ18,mortt,2,FALSE)*boc_rr_death_pc)</f>
        <v>2.1060317034989184E-2</v>
      </c>
      <c r="BN18" s="260">
        <f>BN17+SUM(BA17:BJ17)*VLOOKUP(AZ18,mortt,2,FALSE)+BK17*VLOOKUP(AZ18,boc_trpr_bc_death,20,TRUE)+BL17*VLOOKUP(AZ18,boc_trpr_bc_death,20,TRUE)+BM17*VLOOKUP(AZ18,mortt,2,FALSE)*boc_rr_death_pc</f>
        <v>4.383836973368508E-2</v>
      </c>
      <c r="BO18" s="260">
        <f t="shared" si="24"/>
        <v>1.0000002844150824</v>
      </c>
      <c r="BP18" s="118">
        <f>(boc_cost_mast*SUM(BD18,BF18,BH18)*(boc_tr_mast_path+boc_tr_both_path)+SUM(BE18,BG18,BI18)*(boc_tr_mast_vus+boc_tr_both_vus)+BK18*boc_cost_bc+BL18*boc_cost_oc+BM18*boc_cost_pc+(BK18*VLOOKUP(AZ18,boc_trpr_bc_death,20,TRUE)+BL18*VLOOKUP(AZ18,boc_trpr_oc_death,TRUE)*boc_cost_death))/((1+discount)^AY18)</f>
        <v>763.77684462000195</v>
      </c>
      <c r="BQ18" s="35">
        <f t="shared" si="6"/>
        <v>0.63495120359719215</v>
      </c>
      <c r="BR18" s="35">
        <f t="shared" si="7"/>
        <v>0.67063252968130593</v>
      </c>
      <c r="BS18" s="35"/>
      <c r="BU18" s="265"/>
      <c r="BV18" s="265"/>
      <c r="BW18" s="267"/>
      <c r="BX18" s="268"/>
      <c r="BY18" s="268"/>
      <c r="BZ18" s="268"/>
      <c r="CA18" s="268"/>
      <c r="CD18" s="138">
        <v>13</v>
      </c>
      <c r="CE18" s="291">
        <v>1.25E-4</v>
      </c>
      <c r="CH18" s="12">
        <v>79</v>
      </c>
      <c r="CI18" s="12" t="s">
        <v>314</v>
      </c>
      <c r="CJ18" s="376">
        <v>451.9</v>
      </c>
      <c r="CK18" s="260">
        <f t="shared" si="9"/>
        <v>4.5189999999999996E-3</v>
      </c>
      <c r="CL18" s="289">
        <f t="shared" si="10"/>
        <v>4.5088046828277717E-3</v>
      </c>
      <c r="CM18" s="289">
        <f t="shared" si="11"/>
        <v>4.0948875099865445E-3</v>
      </c>
      <c r="CN18" s="289">
        <f t="shared" si="12"/>
        <v>4.9225498237918108E-3</v>
      </c>
      <c r="CO18" s="290">
        <f t="shared" si="13"/>
        <v>453.94764397764152</v>
      </c>
      <c r="CP18" s="290">
        <f t="shared" si="14"/>
        <v>100226.31595372176</v>
      </c>
      <c r="CQ18" s="289">
        <f t="shared" ca="1" si="15"/>
        <v>4.6878948952185917E-3</v>
      </c>
      <c r="CR18" s="289">
        <f>IF(psa,CQ18,CL18)</f>
        <v>4.5088046828277717E-3</v>
      </c>
      <c r="CS18" s="373">
        <v>95.5</v>
      </c>
      <c r="CT18" s="12">
        <f t="shared" si="16"/>
        <v>9.5500000000000001E-4</v>
      </c>
      <c r="CU18" s="289">
        <f t="shared" si="17"/>
        <v>9.5454413262929805E-4</v>
      </c>
      <c r="CV18" s="289">
        <f t="shared" si="18"/>
        <v>7.6326432641093955E-4</v>
      </c>
      <c r="CW18" s="289">
        <f t="shared" si="19"/>
        <v>1.1457873229359095E-3</v>
      </c>
      <c r="CX18" s="290">
        <f t="shared" si="20"/>
        <v>95.590341234802452</v>
      </c>
      <c r="CY18" s="290">
        <f t="shared" si="21"/>
        <v>100046.81058840921</v>
      </c>
      <c r="CZ18" s="289">
        <f t="shared" ca="1" si="22"/>
        <v>1.0053728717267507E-3</v>
      </c>
      <c r="DA18" s="289">
        <f>IF(psa,CZ18,CU18)</f>
        <v>9.5454413262929805E-4</v>
      </c>
    </row>
    <row r="19" spans="17:105" ht="15" customHeight="1" x14ac:dyDescent="0.2">
      <c r="Q19" s="11"/>
      <c r="U19" s="9" t="s">
        <v>9</v>
      </c>
      <c r="V19" s="250">
        <f>1-SUM(V16,V17,V18)</f>
        <v>0.97</v>
      </c>
      <c r="AA19" s="261">
        <f>R12*T17*V19</f>
        <v>2.414496998312006E-2</v>
      </c>
      <c r="AD19" s="12">
        <v>13</v>
      </c>
      <c r="AE19" s="12">
        <f t="shared" si="2"/>
        <v>58</v>
      </c>
      <c r="AF19" s="260">
        <f>AF18*(1-VLOOKUP(AE19,boc_trpr_bc,11,TRUE)*boc_rr_bc_mast-VLOOKUP(AE19,boc_trpr_oc,11,TRUE)*boc_rr_oc_mast-VLOOKUP(AE19,mortt,2,FALSE))+SUM(AI18,AK18,AM18)*boc_tr_mast_path+SUM(AJ18,AL18,AN18)*boc_tr_mast_vus</f>
        <v>1.9921479425048398E-2</v>
      </c>
      <c r="AG19" s="260">
        <f>AG18*(1-VLOOKUP(AE19,boc_trpr_bc,11,TRUE)*boc_rr_bc_ooph-VLOOKUP(AE19,boc_trpr_oc,11,TRUE)*boc_rr_oc_ooph-VLOOKUP(AE19,mortt,2,FALSE))+SUM(AI18,AK18,AM18)*boc_tr_ooph_path+SUM(AJ18,AL18,AN18)*boc_tr_ooph_vus</f>
        <v>1.9344710389171068E-2</v>
      </c>
      <c r="AH19" s="260">
        <f>AH18*(1-VLOOKUP(AE19,boc_trpr_bc,11,TRUE)*boc_rr_bc_both-VLOOKUP(AE19,boc_trpr_oc,11,TRUE)*boc_rr_oc_both-VLOOKUP(AE19,mortt,2,FALSE))+SUM(AI18,AK18,AM18)*boc_tr_both_path+SUM(AJ18,AL18,AN18)*boc_tr_both_vus</f>
        <v>1.9447301830141157E-2</v>
      </c>
      <c r="AI19" s="289">
        <f>AI18*(1-VLOOKUP(AE19,boc_trpr_bc,11,TRUE)*boc_rr_bc_hip-VLOOKUP(AE19,boc_trpr_oc,11,TRUE)*boc_rr_oc_hip-boc_tr_mast_path-boc_tr_ooph_path-boc_tr_both_path-VLOOKUP(AE19,mortt,2,FALSE))</f>
        <v>7.2426763200484406E-12</v>
      </c>
      <c r="AJ19" s="289">
        <f>AJ18*(1-VLOOKUP(AE19,boc_trpr_bc,11,TRUE)*boc_rr_bc_hiv-VLOOKUP(AE19,boc_trpr_oc,11,TRUE)*boc_rr_oc_hiv-boc_tr_mast_vus-boc_tr_ooph_vus-boc_tr_both_vus-VLOOKUP(AE19,mortt,2,FALSE))</f>
        <v>1.0886818127264178E-3</v>
      </c>
      <c r="AK19" s="289">
        <f>AK18*(1-VLOOKUP(AE19,boc_trpr_bc,11,TRUE)*boc_rr_bc_modp-VLOOKUP(AE19,boc_trpr_oc,11,TRUE)*boc_rr_oc_modp-boc_tr_mast_path-boc_tr_ooph_path-boc_tr_both_path-VLOOKUP(AE19,mortt,2,FALSE))</f>
        <v>2.9725013986827719E-11</v>
      </c>
      <c r="AL19" s="289">
        <f>AL18*(1-VLOOKUP(AE19,boc_trpr_bc,11,TRUE)*boc_rr_bc_modv-VLOOKUP(AE19,boc_trpr_oc,11,TRUE)*boc_rr_oc_modv-boc_tr_mast_vus-boc_tr_ooph_vus-boc_tr_both_vus-VLOOKUP(AE19,mortt,2,FALSE))</f>
        <v>1.38423460840091E-3</v>
      </c>
      <c r="AM19" s="289">
        <f>AM18*(1-VLOOKUP(AE19,boc_trpr_bc,11,TRUE)*boc_rr_bc_lop-VLOOKUP(AE19,boc_trpr_oc,11,TRUE)*boc_rr_oc_lop-boc_tr_mast_path-boc_tr_ooph_path-boc_tr_both_path-VLOOKUP(AE19,mortt,2,FALSE))</f>
        <v>9.5655826018750197E-12</v>
      </c>
      <c r="AN19" s="289">
        <f>AN18*(1-VLOOKUP(AE19,boc_trpr_bc,11,TRUE)*boc_rr_bc_lov-VLOOKUP(AE19,boc_trpr_oc,11,TRUE)*boc_rr_oc_lov-boc_tr_mast_vus-boc_tr_ooph_vus-boc_tr_both_vus-VLOOKUP(AE19,mortt,2,FALSE))</f>
        <v>3.0303514549429196E-4</v>
      </c>
      <c r="AO19" s="260">
        <f>AO18*(1-VLOOKUP(AE19,boc_trpr_bc,11,TRUE)*boc_rr_bc_np-VLOOKUP(AE19,boc_trpr_oc,11,TRUE)*boc_rr_oc_np-VLOOKUP(AE19,mortt,2,FALSE))</f>
        <v>0.86526245877393959</v>
      </c>
      <c r="AP19" s="260">
        <f>AF18*VLOOKUP(AE19,boc_trpr_bc,11,TRUE)*boc_rr_bc_mast+AG18*VLOOKUP(AE19,boc_trpr_bc,11,TRUE)*boc_rr_bc_ooph+AH18*VLOOKUP(AE19,boc_trpr_bc,11,TRUE)*boc_rr_bc_both+AI18*VLOOKUP(AE19,boc_trpr_bc,11,TRUE)*boc_rr_bc_hip+AJ18*VLOOKUP(AE19,boc_trpr_bc,11,TRUE)*boc_rr_bc_hiv+AK18*VLOOKUP(AE19,boc_trpr_bc,11,TRUE)*boc_rr_bc_modp+AL18*VLOOKUP(AE19,boc_trpr_bc,11,TRUE)*boc_rr_bc_modv+AM18*VLOOKUP(AE19,boc_trpr_bc,11,TRUE)*boc_rr_bc_lop+AN18*VLOOKUP(AE19,boc_trpr_bc,11,TRUE)*boc_rr_bc_lov+AO18*VLOOKUP(AE19,boc_trpr_bc,11,TRUE)*boc_rr_bc_np</f>
        <v>1.9953000721262041E-3</v>
      </c>
      <c r="AQ19" s="260">
        <f>AF18*VLOOKUP(AE19,boc_trpr_oc,11,TRUE)*boc_rr_oc_mast+AG18*VLOOKUP(AE19,boc_trpr_oc,11,TRUE)*boc_rr_oc_ooph+AH18*VLOOKUP(AE19,boc_trpr_oc,11,TRUE)*boc_rr_oc_both+AI18*VLOOKUP(AE19,boc_trpr_oc,11,TRUE)*boc_rr_oc_hip+AJ18*VLOOKUP(AE19,boc_trpr_oc,11,TRUE)*boc_rr_oc_hiv+AK18*VLOOKUP(AE19,boc_trpr_oc,11,TRUE)*boc_rr_oc_modp+AL18*VLOOKUP(AE19,boc_trpr_oc,11,TRUE)*boc_rr_oc_modv+AM18*VLOOKUP(AE19,boc_trpr_oc,11,TRUE)*boc_rr_oc_lop+AN18*VLOOKUP(AE19,boc_trpr_oc,11,TRUE)*boc_rr_oc_lov+AO18*VLOOKUP(AE19,boc_trpr_oc,11,TRUE)*boc_rr_oc_np</f>
        <v>1.8043181061723558E-4</v>
      </c>
      <c r="AR19" s="260">
        <f>AP18*(1-VLOOKUP(AE19,boc_trpr_bc_death,20,TRUE))+AQ18*(1-VLOOKUP(AE19,boc_trpr_oc_death,20,TRUE))+AR18*(1-VLOOKUP(AE19,mortt,2,FALSE)*boc_rr_death_pc)</f>
        <v>2.155572286586413E-2</v>
      </c>
      <c r="AS19" s="260">
        <f>AS18+SUM(AF18:AO18)*VLOOKUP(AE19,mortt,2,FALSE)+AP18*VLOOKUP(AE19,boc_trpr_bc_death,20,TRUE)+AQ18*VLOOKUP(AE19,boc_trpr_bc_death,20,TRUE)+AR18*VLOOKUP(AE19,mortt,2,FALSE)*boc_rr_death_pc</f>
        <v>4.9516947046329453E-2</v>
      </c>
      <c r="AT19" s="260">
        <f t="shared" si="23"/>
        <v>1.000000303826392</v>
      </c>
      <c r="AU19" s="118">
        <f>(boc_cost_mast*SUM(AI19,AK19,AM19)*(boc_tr_mast_path+boc_tr_both_path)+SUM(AJ19,AL19,AN19)*(boc_tr_mast_vus+boc_tr_both_vus)+AP19*boc_cost_bc+AQ19*boc_cost_oc+AR19*boc_cost_pc+(AP19*VLOOKUP(AE19,boc_trpr_bc_death,20,TRUE)+AQ19*VLOOKUP(AE19,boc_trpr_oc_death,TRUE)*boc_cost_death))/((1+discount)^AD19)</f>
        <v>666.32753293790734</v>
      </c>
      <c r="AV19" s="35">
        <f t="shared" si="3"/>
        <v>0.6131622918194366</v>
      </c>
      <c r="AW19" s="35">
        <f t="shared" si="4"/>
        <v>0.64723270854960857</v>
      </c>
      <c r="AY19" s="12">
        <v>13</v>
      </c>
      <c r="AZ19" s="12">
        <f t="shared" si="5"/>
        <v>58</v>
      </c>
      <c r="BA19" s="260">
        <f>BA18*(1-VLOOKUP(AZ19,boc_trpr_bc,11,TRUE)*boc_rr_bc_mast-VLOOKUP(AZ19,boc_trpr_oc,11,TRUE)*boc_rr_oc_mast-VLOOKUP(AZ19,mortt,2,FALSE))</f>
        <v>9.4643738760981019E-3</v>
      </c>
      <c r="BB19" s="260">
        <f>BB18*(1-VLOOKUP(AZ19,boc_trpr_bc,11,TRUE)*boc_rr_bc_ooph-VLOOKUP(AZ19,boc_trpr_oc,11,TRUE)*boc_rr_oc_ooph-VLOOKUP(AZ19,mortt,2,FALSE))</f>
        <v>9.3858195594021896E-3</v>
      </c>
      <c r="BC19" s="260">
        <f>BC18*(1-VLOOKUP(AZ19,boc_trpr_bc,11,TRUE)*boc_rr_bc_both-VLOOKUP(AZ19,boc_trpr_oc,11,TRUE)*boc_rr_oc_both-VLOOKUP(AZ19,mortt,2,FALSE))</f>
        <v>9.4918746126734649E-3</v>
      </c>
      <c r="BD19" s="289">
        <f>BD18*(1-VLOOKUP(AZ19,boc_trpr_bc,11,TRUE)*boc_rr_bc_hip-VLOOKUP(AZ19,boc_trpr_oc,11,TRUE)*boc_rr_oc_hip-VLOOKUP(AZ19,mortt,2,FALSE))</f>
        <v>2.2761881435643455E-3</v>
      </c>
      <c r="BE19" s="289">
        <f>BE18*(1-VLOOKUP(AZ19,boc_trpr_bc,11,TRUE)*boc_rr_bc_hiv-VLOOKUP(AZ19,boc_trpr_oc,11,TRUE)*boc_rr_oc_hiv-VLOOKUP(AZ19,mortt,2,FALSE))</f>
        <v>9.5252252641349483E-3</v>
      </c>
      <c r="BF19" s="289">
        <f>BF18*(1-VLOOKUP(AZ19,boc_trpr_bc,11,TRUE)*boc_rr_bc_modp-VLOOKUP(AZ19,boc_trpr_oc,11,TRUE)*boc_rr_oc_modp-VLOOKUP(AZ19,mortt,2,FALSE))</f>
        <v>3.7907120636178379E-3</v>
      </c>
      <c r="BG19" s="289">
        <f>BG18*(1-VLOOKUP(AZ19,boc_trpr_bc,11,TRUE)*boc_rr_bc_modv-VLOOKUP(AZ19,boc_trpr_oc,11,TRUE)*boc_rr_oc_modv-VLOOKUP(AZ19,mortt,2,FALSE))</f>
        <v>1.2111111170682955E-2</v>
      </c>
      <c r="BH19" s="289">
        <f>BH18*(1-VLOOKUP(AZ19,boc_trpr_bc,11,TRUE)*boc_rr_bc_lop-VLOOKUP(AZ19,boc_trpr_oc,11,TRUE)*boc_rr_oc_lop-VLOOKUP(AZ19,mortt,2,FALSE))</f>
        <v>9.1081733339115796E-4</v>
      </c>
      <c r="BI19" s="289">
        <f>BI18*(1-VLOOKUP(AZ19,boc_trpr_bc,11,TRUE)*boc_rr_bc_lov-VLOOKUP(AZ19,boc_trpr_oc,11,TRUE)*boc_rr_oc_lov-VLOOKUP(AZ19,mortt,2,FALSE))</f>
        <v>2.6513513774555917E-3</v>
      </c>
      <c r="BJ19" s="260">
        <f>BJ18*(1-VLOOKUP(AZ19,boc_trpr_bc,11,TRUE)*boc_rr_bc_np-VLOOKUP(AZ19,boc_trpr_oc,11,TRUE)*boc_rr_oc_np-VLOOKUP(AZ19,mortt,2,FALSE))</f>
        <v>0.86526245877393959</v>
      </c>
      <c r="BK19" s="260">
        <f>BA18*VLOOKUP(AZ19,boc_trpr_bc,11,TRUE)*boc_rr_bc_mast+BB18*VLOOKUP(AZ19,boc_trpr_bc,11,TRUE)*boc_rr_bc_ooph+BC18*VLOOKUP(AZ19,boc_trpr_bc,11,TRUE)*boc_rr_bc_both+BD18*VLOOKUP(AZ19,boc_trpr_bc,11,TRUE)*boc_rr_bc_hip+BE18*VLOOKUP(AZ19,boc_trpr_bc,11,TRUE)*boc_rr_bc_hiv+BF18*VLOOKUP(AZ19,boc_trpr_bc,11,TRUE)*boc_rr_bc_modp+BG18*VLOOKUP(AZ19,boc_trpr_bc,11,TRUE)*boc_rr_bc_modv+BH18*VLOOKUP(AZ19,boc_trpr_bc,11,TRUE)*boc_rr_bc_lop+BI18*VLOOKUP(AZ19,boc_trpr_bc,11,TRUE)*boc_rr_bc_lov+BJ18*VLOOKUP(AZ19,boc_trpr_bc,11,TRUE)*boc_rr_bc_np</f>
        <v>2.1593795699419997E-3</v>
      </c>
      <c r="BL19" s="260">
        <f>BA18*VLOOKUP(AZ19,boc_trpr_oc,11,TRUE)*boc_rr_oc_mast+BB18*VLOOKUP(AZ19,boc_trpr_oc,11,TRUE)*boc_rr_oc_ooph+BC18*VLOOKUP(AZ19,boc_trpr_oc,11,TRUE)*boc_rr_oc_both+BD18*VLOOKUP(AZ19,boc_trpr_oc,11,TRUE)*boc_rr_oc_hip+BE18*VLOOKUP(AZ19,boc_trpr_oc,11,TRUE)*boc_rr_oc_hiv+BF18*VLOOKUP(AZ19,boc_trpr_oc,11,TRUE)*boc_rr_oc_modp+BG18*VLOOKUP(AZ19,boc_trpr_oc,11,TRUE)*boc_rr_oc_modv+BH18*VLOOKUP(AZ19,boc_trpr_oc,11,TRUE)*boc_rr_oc_lop+BI18*VLOOKUP(AZ19,boc_trpr_oc,11,TRUE)*boc_rr_oc_lov+BJ18*VLOOKUP(AZ19,boc_trpr_oc,11,TRUE)*boc_rr_oc_np</f>
        <v>1.936606021678568E-4</v>
      </c>
      <c r="BM19" s="260">
        <f>BK18*(1-VLOOKUP(AZ19,boc_trpr_bc_death,20,TRUE))+BL18*(1-VLOOKUP(AZ19,boc_trpr_oc_death,20,TRUE))+BM18*(1-VLOOKUP(AZ19,mortt,2,FALSE)*boc_rr_death_pc)</f>
        <v>2.3248809017969409E-2</v>
      </c>
      <c r="BN19" s="260">
        <f>BN18+SUM(BA18:BJ18)*VLOOKUP(AZ19,mortt,2,FALSE)+BK18*VLOOKUP(AZ19,boc_trpr_bc_death,20,TRUE)+BL18*VLOOKUP(AZ19,boc_trpr_bc_death,20,TRUE)+BM18*VLOOKUP(AZ19,mortt,2,FALSE)*boc_rr_death_pc</f>
        <v>4.9528545076223604E-2</v>
      </c>
      <c r="BO19" s="260">
        <f t="shared" si="24"/>
        <v>1.0000003264412631</v>
      </c>
      <c r="BP19" s="118">
        <f>(boc_cost_mast*SUM(BD19,BF19,BH19)*(boc_tr_mast_path+boc_tr_both_path)+SUM(BE19,BG19,BI19)*(boc_tr_mast_vus+boc_tr_both_vus)+BK19*boc_cost_bc+BL19*boc_cost_oc+BM19*boc_cost_pc+(BK19*VLOOKUP(AZ19,boc_trpr_bc_death,20,TRUE)+BL19*VLOOKUP(AZ19,boc_trpr_oc_death,TRUE)*boc_cost_death))/((1+discount)^AY19)</f>
        <v>746.62005995421805</v>
      </c>
      <c r="BQ19" s="35">
        <f t="shared" si="6"/>
        <v>0.61263734320369512</v>
      </c>
      <c r="BR19" s="35">
        <f t="shared" si="7"/>
        <v>0.6472248108556109</v>
      </c>
      <c r="BS19" s="35"/>
      <c r="BU19" s="265"/>
      <c r="BV19" s="265"/>
      <c r="BW19" s="267"/>
      <c r="BX19" s="268"/>
      <c r="BY19" s="268"/>
      <c r="BZ19" s="268"/>
      <c r="CA19" s="268"/>
      <c r="CD19" s="138">
        <v>14</v>
      </c>
      <c r="CE19" s="291">
        <v>1.5699999999999999E-4</v>
      </c>
      <c r="CH19" s="12">
        <v>84</v>
      </c>
      <c r="CI19" s="12" t="s">
        <v>315</v>
      </c>
      <c r="CJ19" s="376">
        <v>412.9</v>
      </c>
      <c r="CK19" s="260">
        <f t="shared" si="9"/>
        <v>4.1289999999999999E-3</v>
      </c>
      <c r="CL19" s="289">
        <f t="shared" si="10"/>
        <v>4.120487399705719E-3</v>
      </c>
      <c r="CM19" s="289">
        <f t="shared" si="11"/>
        <v>3.7246059249975705E-3</v>
      </c>
      <c r="CN19" s="289">
        <f t="shared" si="12"/>
        <v>4.5162115663613944E-3</v>
      </c>
      <c r="CO19" s="290">
        <f t="shared" si="13"/>
        <v>414.60837939985925</v>
      </c>
      <c r="CP19" s="290">
        <f t="shared" si="14"/>
        <v>100206.58983842994</v>
      </c>
      <c r="CQ19" s="289">
        <f t="shared" ca="1" si="15"/>
        <v>4.1136907050724064E-3</v>
      </c>
      <c r="CR19" s="289">
        <f>IF(psa,CQ19,CL19)</f>
        <v>4.120487399705719E-3</v>
      </c>
      <c r="CS19" s="373">
        <v>120.2</v>
      </c>
      <c r="CT19" s="12">
        <f t="shared" si="16"/>
        <v>1.2019999999999999E-3</v>
      </c>
      <c r="CU19" s="289">
        <f t="shared" si="17"/>
        <v>1.2012778873554675E-3</v>
      </c>
      <c r="CV19" s="289">
        <f t="shared" si="18"/>
        <v>9.8675987279761568E-4</v>
      </c>
      <c r="CW19" s="289">
        <f t="shared" si="19"/>
        <v>1.4157498384811396E-3</v>
      </c>
      <c r="CX19" s="290">
        <f t="shared" si="20"/>
        <v>120.34346563601038</v>
      </c>
      <c r="CY19" s="290">
        <f t="shared" si="21"/>
        <v>100059.19609197495</v>
      </c>
      <c r="CZ19" s="289">
        <f t="shared" ca="1" si="22"/>
        <v>1.1635657505015063E-3</v>
      </c>
      <c r="DA19" s="289">
        <f>IF(psa,CZ19,CU19)</f>
        <v>1.2012778873554675E-3</v>
      </c>
    </row>
    <row r="20" spans="17:105" ht="15" customHeight="1" x14ac:dyDescent="0.2">
      <c r="Q20" s="11"/>
      <c r="AD20" s="12">
        <v>14</v>
      </c>
      <c r="AE20" s="12">
        <f t="shared" si="2"/>
        <v>59</v>
      </c>
      <c r="AF20" s="260">
        <f>AF19*(1-VLOOKUP(AE20,boc_trpr_bc,11,TRUE)*boc_rr_bc_mast-VLOOKUP(AE20,boc_trpr_oc,11,TRUE)*boc_rr_oc_mast-VLOOKUP(AE20,mortt,2,FALSE))+SUM(AI19,AK19,AM19)*boc_tr_mast_path+SUM(AJ19,AL19,AN19)*boc_tr_mast_vus</f>
        <v>1.9924921993555247E-2</v>
      </c>
      <c r="AG20" s="260">
        <f>AG19*(1-VLOOKUP(AE20,boc_trpr_bc,11,TRUE)*boc_rr_bc_ooph-VLOOKUP(AE20,boc_trpr_oc,11,TRUE)*boc_rr_oc_ooph-VLOOKUP(AE20,mortt,2,FALSE))+SUM(AI19,AK19,AM19)*boc_tr_ooph_path+SUM(AJ19,AL19,AN19)*boc_tr_ooph_vus</f>
        <v>1.9335155023865909E-2</v>
      </c>
      <c r="AH20" s="260">
        <f>AH19*(1-VLOOKUP(AE20,boc_trpr_bc,11,TRUE)*boc_rr_bc_both-VLOOKUP(AE20,boc_trpr_oc,11,TRUE)*boc_rr_oc_both-VLOOKUP(AE20,mortt,2,FALSE))+SUM(AI19,AK19,AM19)*boc_tr_both_path+SUM(AJ19,AL19,AN19)*boc_tr_both_vus</f>
        <v>1.9460438289569438E-2</v>
      </c>
      <c r="AI20" s="289">
        <f>AI19*(1-VLOOKUP(AE20,boc_trpr_bc,11,TRUE)*boc_rr_bc_hip-VLOOKUP(AE20,boc_trpr_oc,11,TRUE)*boc_rr_oc_hip-boc_tr_mast_path-boc_tr_ooph_path-boc_tr_both_path-VLOOKUP(AE20,mortt,2,FALSE))</f>
        <v>1.4538961807624387E-12</v>
      </c>
      <c r="AJ20" s="289">
        <f>AJ19*(1-VLOOKUP(AE20,boc_trpr_bc,11,TRUE)*boc_rr_bc_hiv-VLOOKUP(AE20,boc_trpr_oc,11,TRUE)*boc_rr_oc_hiv-boc_tr_mast_vus-boc_tr_ooph_vus-boc_tr_both_vus-VLOOKUP(AE20,mortt,2,FALSE))</f>
        <v>9.1509914770552549E-4</v>
      </c>
      <c r="AK20" s="289">
        <f>AK19*(1-VLOOKUP(AE20,boc_trpr_bc,11,TRUE)*boc_rr_bc_modp-VLOOKUP(AE20,boc_trpr_oc,11,TRUE)*boc_rr_oc_modp-boc_tr_mast_path-boc_tr_ooph_path-boc_tr_both_path-VLOOKUP(AE20,mortt,2,FALSE))</f>
        <v>6.8184840697977514E-12</v>
      </c>
      <c r="AL20" s="289">
        <f>AL19*(1-VLOOKUP(AE20,boc_trpr_bc,11,TRUE)*boc_rr_bc_modv-VLOOKUP(AE20,boc_trpr_oc,11,TRUE)*boc_rr_oc_modv-boc_tr_mast_vus-boc_tr_ooph_vus-boc_tr_both_vus-VLOOKUP(AE20,mortt,2,FALSE))</f>
        <v>1.1635281269188292E-3</v>
      </c>
      <c r="AM20" s="289">
        <f>AM19*(1-VLOOKUP(AE20,boc_trpr_bc,11,TRUE)*boc_rr_bc_lop-VLOOKUP(AE20,boc_trpr_oc,11,TRUE)*boc_rr_oc_lop-boc_tr_mast_path-boc_tr_ooph_path-boc_tr_both_path-VLOOKUP(AE20,mortt,2,FALSE))</f>
        <v>2.2901077858993011E-12</v>
      </c>
      <c r="AN20" s="289">
        <f>AN19*(1-VLOOKUP(AE20,boc_trpr_bc,11,TRUE)*boc_rr_bc_lov-VLOOKUP(AE20,boc_trpr_oc,11,TRUE)*boc_rr_oc_lov-boc_tr_mast_vus-boc_tr_ooph_vus-boc_tr_both_vus-VLOOKUP(AE20,mortt,2,FALSE))</f>
        <v>2.5471832093178622E-4</v>
      </c>
      <c r="AO20" s="260">
        <f>AO19*(1-VLOOKUP(AE20,boc_trpr_bc,11,TRUE)*boc_rr_bc_np-VLOOKUP(AE20,boc_trpr_oc,11,TRUE)*boc_rr_oc_np-VLOOKUP(AE20,mortt,2,FALSE))</f>
        <v>0.85733966487083935</v>
      </c>
      <c r="AP20" s="260">
        <f>AF19*VLOOKUP(AE20,boc_trpr_bc,11,TRUE)*boc_rr_bc_mast+AG19*VLOOKUP(AE20,boc_trpr_bc,11,TRUE)*boc_rr_bc_ooph+AH19*VLOOKUP(AE20,boc_trpr_bc,11,TRUE)*boc_rr_bc_both+AI19*VLOOKUP(AE20,boc_trpr_bc,11,TRUE)*boc_rr_bc_hip+AJ19*VLOOKUP(AE20,boc_trpr_bc,11,TRUE)*boc_rr_bc_hiv+AK19*VLOOKUP(AE20,boc_trpr_bc,11,TRUE)*boc_rr_bc_modp+AL19*VLOOKUP(AE20,boc_trpr_bc,11,TRUE)*boc_rr_bc_modv+AM19*VLOOKUP(AE20,boc_trpr_bc,11,TRUE)*boc_rr_bc_lop+AN19*VLOOKUP(AE20,boc_trpr_bc,11,TRUE)*boc_rr_bc_lov+AO19*VLOOKUP(AE20,boc_trpr_bc,11,TRUE)*boc_rr_bc_np</f>
        <v>2.3126124281413855E-3</v>
      </c>
      <c r="AQ20" s="260">
        <f>AF19*VLOOKUP(AE20,boc_trpr_oc,11,TRUE)*boc_rr_oc_mast+AG19*VLOOKUP(AE20,boc_trpr_oc,11,TRUE)*boc_rr_oc_ooph+AH19*VLOOKUP(AE20,boc_trpr_oc,11,TRUE)*boc_rr_oc_both+AI19*VLOOKUP(AE20,boc_trpr_oc,11,TRUE)*boc_rr_oc_hip+AJ19*VLOOKUP(AE20,boc_trpr_oc,11,TRUE)*boc_rr_oc_hiv+AK19*VLOOKUP(AE20,boc_trpr_oc,11,TRUE)*boc_rr_oc_modp+AL19*VLOOKUP(AE20,boc_trpr_oc,11,TRUE)*boc_rr_oc_modv+AM19*VLOOKUP(AE20,boc_trpr_oc,11,TRUE)*boc_rr_oc_lop+AN19*VLOOKUP(AE20,boc_trpr_oc,11,TRUE)*boc_rr_oc_lov+AO19*VLOOKUP(AE20,boc_trpr_oc,11,TRUE)*boc_rr_oc_np</f>
        <v>2.146408517832994E-4</v>
      </c>
      <c r="AR20" s="260">
        <f>AP19*(1-VLOOKUP(AE20,boc_trpr_bc_death,20,TRUE))+AQ19*(1-VLOOKUP(AE20,boc_trpr_oc_death,20,TRUE))+AR19*(1-VLOOKUP(AE20,mortt,2,FALSE)*boc_rr_death_pc)</f>
        <v>2.3527197487131314E-2</v>
      </c>
      <c r="AS20" s="260">
        <f>AS19+SUM(AF19:AO19)*VLOOKUP(AE20,mortt,2,FALSE)+AP19*VLOOKUP(AE20,boc_trpr_bc_death,20,TRUE)+AQ19*VLOOKUP(AE20,boc_trpr_bc_death,20,TRUE)+AR19*VLOOKUP(AE20,mortt,2,FALSE)*boc_rr_death_pc</f>
        <v>5.5552376520442065E-2</v>
      </c>
      <c r="AT20" s="260">
        <f t="shared" si="23"/>
        <v>1.0000003530714467</v>
      </c>
      <c r="AU20" s="118">
        <f>(boc_cost_mast*SUM(AI20,AK20,AM20)*(boc_tr_mast_path+boc_tr_both_path)+SUM(AJ20,AL20,AN20)*(boc_tr_mast_vus+boc_tr_both_vus)+AP20*boc_cost_bc+AQ20*boc_cost_oc+AR20*boc_cost_pc+(AP20*VLOOKUP(AE20,boc_trpr_bc_death,20,TRUE)+AQ20*VLOOKUP(AE20,boc_trpr_oc_death,TRUE)*boc_cost_death))/((1+discount)^AD20)</f>
        <v>802.09633137420894</v>
      </c>
      <c r="AV20" s="35">
        <f t="shared" si="3"/>
        <v>0.59135033236586931</v>
      </c>
      <c r="AW20" s="35">
        <f t="shared" si="4"/>
        <v>0.62439114054541478</v>
      </c>
      <c r="AY20" s="12">
        <v>14</v>
      </c>
      <c r="AZ20" s="12">
        <f t="shared" si="5"/>
        <v>59</v>
      </c>
      <c r="BA20" s="260">
        <f>BA19*(1-VLOOKUP(AZ20,boc_trpr_bc,11,TRUE)*boc_rr_bc_mast-VLOOKUP(AZ20,boc_trpr_oc,11,TRUE)*boc_rr_oc_mast-VLOOKUP(AZ20,mortt,2,FALSE))</f>
        <v>9.4000688864058803E-3</v>
      </c>
      <c r="BB20" s="260">
        <f>BB19*(1-VLOOKUP(AZ20,boc_trpr_bc,11,TRUE)*boc_rr_bc_ooph-VLOOKUP(AZ20,boc_trpr_oc,11,TRUE)*boc_rr_oc_ooph-VLOOKUP(AZ20,mortt,2,FALSE))</f>
        <v>9.3138404994291026E-3</v>
      </c>
      <c r="BC20" s="260">
        <f>BC19*(1-VLOOKUP(AZ20,boc_trpr_bc,11,TRUE)*boc_rr_bc_both-VLOOKUP(AZ20,boc_trpr_oc,11,TRUE)*boc_rr_oc_both-VLOOKUP(AZ20,mortt,2,FALSE))</f>
        <v>9.4305416984649237E-3</v>
      </c>
      <c r="BD20" s="289">
        <f>BD19*(1-VLOOKUP(AZ20,boc_trpr_bc,11,TRUE)*boc_rr_bc_hip-VLOOKUP(AZ20,boc_trpr_oc,11,TRUE)*boc_rr_oc_hip-VLOOKUP(AZ20,mortt,2,FALSE))</f>
        <v>2.1640635355697491E-3</v>
      </c>
      <c r="BE20" s="289">
        <f>BE19*(1-VLOOKUP(AZ20,boc_trpr_bc,11,TRUE)*boc_rr_bc_hiv-VLOOKUP(AZ20,boc_trpr_oc,11,TRUE)*boc_rr_oc_hiv-VLOOKUP(AZ20,mortt,2,FALSE))</f>
        <v>9.4352788178452291E-3</v>
      </c>
      <c r="BF20" s="289">
        <f>BF19*(1-VLOOKUP(AZ20,boc_trpr_bc,11,TRUE)*boc_rr_bc_modp-VLOOKUP(AZ20,boc_trpr_oc,11,TRUE)*boc_rr_oc_modp-VLOOKUP(AZ20,mortt,2,FALSE))</f>
        <v>3.7125680311262082E-3</v>
      </c>
      <c r="BG20" s="289">
        <f>BG19*(1-VLOOKUP(AZ20,boc_trpr_bc,11,TRUE)*boc_rr_bc_modv-VLOOKUP(AZ20,boc_trpr_oc,11,TRUE)*boc_rr_oc_modv-VLOOKUP(AZ20,mortt,2,FALSE))</f>
        <v>1.1996746273243274E-2</v>
      </c>
      <c r="BH20" s="289">
        <f>BH19*(1-VLOOKUP(AZ20,boc_trpr_bc,11,TRUE)*boc_rr_bc_lop-VLOOKUP(AZ20,boc_trpr_oc,11,TRUE)*boc_rr_oc_lop-VLOOKUP(AZ20,mortt,2,FALSE))</f>
        <v>9.0117288761595231E-4</v>
      </c>
      <c r="BI20" s="289">
        <f>BI19*(1-VLOOKUP(AZ20,boc_trpr_bc,11,TRUE)*boc_rr_bc_lov-VLOOKUP(AZ20,boc_trpr_oc,11,TRUE)*boc_rr_oc_lov-VLOOKUP(AZ20,mortt,2,FALSE))</f>
        <v>2.6263147376224716E-3</v>
      </c>
      <c r="BJ20" s="260">
        <f>BJ19*(1-VLOOKUP(AZ20,boc_trpr_bc,11,TRUE)*boc_rr_bc_np-VLOOKUP(AZ20,boc_trpr_oc,11,TRUE)*boc_rr_oc_np-VLOOKUP(AZ20,mortt,2,FALSE))</f>
        <v>0.85733966487083935</v>
      </c>
      <c r="BK20" s="260">
        <f>BA19*VLOOKUP(AZ20,boc_trpr_bc,11,TRUE)*boc_rr_bc_mast+BB19*VLOOKUP(AZ20,boc_trpr_bc,11,TRUE)*boc_rr_bc_ooph+BC19*VLOOKUP(AZ20,boc_trpr_bc,11,TRUE)*boc_rr_bc_both+BD19*VLOOKUP(AZ20,boc_trpr_bc,11,TRUE)*boc_rr_bc_hip+BE19*VLOOKUP(AZ20,boc_trpr_bc,11,TRUE)*boc_rr_bc_hiv+BF19*VLOOKUP(AZ20,boc_trpr_bc,11,TRUE)*boc_rr_bc_modp+BG19*VLOOKUP(AZ20,boc_trpr_bc,11,TRUE)*boc_rr_bc_modv+BH19*VLOOKUP(AZ20,boc_trpr_bc,11,TRUE)*boc_rr_bc_lop+BI19*VLOOKUP(AZ20,boc_trpr_bc,11,TRUE)*boc_rr_bc_lov+BJ19*VLOOKUP(AZ20,boc_trpr_bc,11,TRUE)*boc_rr_bc_np</f>
        <v>2.5002756195144013E-3</v>
      </c>
      <c r="BL20" s="260">
        <f>BA19*VLOOKUP(AZ20,boc_trpr_oc,11,TRUE)*boc_rr_oc_mast+BB19*VLOOKUP(AZ20,boc_trpr_oc,11,TRUE)*boc_rr_oc_ooph+BC19*VLOOKUP(AZ20,boc_trpr_oc,11,TRUE)*boc_rr_oc_both+BD19*VLOOKUP(AZ20,boc_trpr_oc,11,TRUE)*boc_rr_oc_hip+BE19*VLOOKUP(AZ20,boc_trpr_oc,11,TRUE)*boc_rr_oc_hiv+BF19*VLOOKUP(AZ20,boc_trpr_oc,11,TRUE)*boc_rr_oc_modp+BG19*VLOOKUP(AZ20,boc_trpr_oc,11,TRUE)*boc_rr_oc_modv+BH19*VLOOKUP(AZ20,boc_trpr_oc,11,TRUE)*boc_rr_oc_lop+BI19*VLOOKUP(AZ20,boc_trpr_oc,11,TRUE)*boc_rr_oc_lov+BJ19*VLOOKUP(AZ20,boc_trpr_oc,11,TRUE)*boc_rr_oc_np</f>
        <v>2.3011470403885354E-4</v>
      </c>
      <c r="BM20" s="260">
        <f>BK19*(1-VLOOKUP(AZ20,boc_trpr_bc_death,20,TRUE))+BL19*(1-VLOOKUP(AZ20,boc_trpr_oc_death,20,TRUE))+BM19*(1-VLOOKUP(AZ20,mortt,2,FALSE)*boc_rr_death_pc)</f>
        <v>2.5381545814598849E-2</v>
      </c>
      <c r="BN20" s="260">
        <f>BN19+SUM(BA19:BJ19)*VLOOKUP(AZ20,mortt,2,FALSE)+BK19*VLOOKUP(AZ20,boc_trpr_bc_death,20,TRUE)+BL19*VLOOKUP(AZ20,boc_trpr_bc_death,20,TRUE)+BM19*VLOOKUP(AZ20,mortt,2,FALSE)*boc_rr_death_pc</f>
        <v>5.5568182920522756E-2</v>
      </c>
      <c r="BO20" s="260">
        <f t="shared" si="24"/>
        <v>1.000000379296837</v>
      </c>
      <c r="BP20" s="118">
        <f>(boc_cost_mast*SUM(BD20,BF20,BH20)*(boc_tr_mast_path+boc_tr_both_path)+SUM(BE20,BG20,BI20)*(boc_tr_mast_vus+boc_tr_both_vus)+BK20*boc_cost_bc+BL20*boc_cost_oc+BM20*boc_cost_pc+(BK20*VLOOKUP(AZ20,boc_trpr_bc_death,20,TRUE)+BL20*VLOOKUP(AZ20,boc_trpr_oc_death,TRUE)*boc_cost_death))/((1+discount)^AY20)</f>
        <v>890.00319756355179</v>
      </c>
      <c r="BQ20" s="35">
        <f t="shared" si="6"/>
        <v>0.59083000837659894</v>
      </c>
      <c r="BR20" s="35">
        <f t="shared" si="7"/>
        <v>0.6243806906528756</v>
      </c>
      <c r="BS20" s="35"/>
      <c r="CD20" s="138">
        <v>15</v>
      </c>
      <c r="CE20" s="291">
        <v>1.92E-4</v>
      </c>
      <c r="CH20" s="12">
        <v>100</v>
      </c>
      <c r="CI20" s="12" t="s">
        <v>316</v>
      </c>
      <c r="CJ20" s="376">
        <v>343.5</v>
      </c>
      <c r="CK20" s="260">
        <f t="shared" si="9"/>
        <v>3.4350000000000001E-3</v>
      </c>
      <c r="CL20" s="289">
        <f t="shared" si="10"/>
        <v>3.4291071367593684E-3</v>
      </c>
      <c r="CM20" s="289">
        <f t="shared" si="11"/>
        <v>3.0676546458735521E-3</v>
      </c>
      <c r="CN20" s="289">
        <f t="shared" si="12"/>
        <v>3.790428577726157E-3</v>
      </c>
      <c r="CO20" s="290">
        <f t="shared" si="13"/>
        <v>344.68088420517785</v>
      </c>
      <c r="CP20" s="290">
        <f t="shared" si="14"/>
        <v>100171.53819517707</v>
      </c>
      <c r="CQ20" s="289">
        <f t="shared" ca="1" si="15"/>
        <v>3.558184168937939E-3</v>
      </c>
      <c r="CR20" s="289">
        <f>IF(psa,CQ20,CL20)</f>
        <v>3.4291071367593684E-3</v>
      </c>
      <c r="CS20" s="373">
        <v>177.6</v>
      </c>
      <c r="CT20" s="12">
        <f t="shared" si="16"/>
        <v>1.776E-3</v>
      </c>
      <c r="CU20" s="289">
        <f t="shared" si="17"/>
        <v>1.7744238452217509E-3</v>
      </c>
      <c r="CV20" s="289">
        <f t="shared" si="18"/>
        <v>1.5138871274591459E-3</v>
      </c>
      <c r="CW20" s="289">
        <f t="shared" si="19"/>
        <v>2.0348925806854545E-3</v>
      </c>
      <c r="CX20" s="290">
        <f t="shared" si="20"/>
        <v>177.91424708041785</v>
      </c>
      <c r="CY20" s="290">
        <f t="shared" si="21"/>
        <v>100088.01013142329</v>
      </c>
      <c r="CZ20" s="289">
        <f t="shared" ca="1" si="22"/>
        <v>1.7744313157765923E-3</v>
      </c>
      <c r="DA20" s="289">
        <f>IF(psa,CZ20,CU20)</f>
        <v>1.7744238452217509E-3</v>
      </c>
    </row>
    <row r="21" spans="17:105" ht="15" customHeight="1" x14ac:dyDescent="0.2">
      <c r="Q21" s="11"/>
      <c r="U21" s="9" t="s">
        <v>7</v>
      </c>
      <c r="V21" s="250">
        <f>boc_unk_int_mast*boc_test_int_path_mast</f>
        <v>0.05</v>
      </c>
      <c r="X21" s="261">
        <f>R27*T22*V21</f>
        <v>2.3472472380496498E-4</v>
      </c>
      <c r="AD21" s="12">
        <v>15</v>
      </c>
      <c r="AE21" s="12">
        <f t="shared" si="2"/>
        <v>60</v>
      </c>
      <c r="AF21" s="260">
        <f>AF20*(1-VLOOKUP(AE21,boc_trpr_bc,11,TRUE)*boc_rr_bc_mast-VLOOKUP(AE21,boc_trpr_oc,11,TRUE)*boc_rr_oc_mast-VLOOKUP(AE21,mortt,2,FALSE))+SUM(AI20,AK20,AM20)*boc_tr_mast_path+SUM(AJ20,AL20,AN20)*boc_tr_mast_vus</f>
        <v>1.9897742772391251E-2</v>
      </c>
      <c r="AG21" s="260">
        <f>AG20*(1-VLOOKUP(AE21,boc_trpr_bc,11,TRUE)*boc_rr_bc_ooph-VLOOKUP(AE21,boc_trpr_oc,11,TRUE)*boc_rr_oc_ooph-VLOOKUP(AE21,mortt,2,FALSE))+SUM(AI20,AK20,AM20)*boc_tr_ooph_path+SUM(AJ20,AL20,AN20)*boc_tr_ooph_vus</f>
        <v>1.9295325189421658E-2</v>
      </c>
      <c r="AH21" s="260">
        <f>AH20*(1-VLOOKUP(AE21,boc_trpr_bc,11,TRUE)*boc_rr_bc_both-VLOOKUP(AE21,boc_trpr_oc,11,TRUE)*boc_rr_oc_both-VLOOKUP(AE21,mortt,2,FALSE))+SUM(AI20,AK20,AM20)*boc_tr_both_path+SUM(AJ20,AL20,AN20)*boc_tr_both_vus</f>
        <v>1.9443088872331822E-2</v>
      </c>
      <c r="AI21" s="289">
        <f>AI20*(1-VLOOKUP(AE21,boc_trpr_bc,11,TRUE)*boc_rr_bc_hip-VLOOKUP(AE21,boc_trpr_oc,11,TRUE)*boc_rr_oc_hip-boc_tr_mast_path-boc_tr_ooph_path-boc_tr_both_path-VLOOKUP(AE21,mortt,2,FALSE))</f>
        <v>2.9123748169370156E-13</v>
      </c>
      <c r="AJ21" s="289">
        <f>AJ20*(1-VLOOKUP(AE21,boc_trpr_bc,11,TRUE)*boc_rr_bc_hiv-VLOOKUP(AE21,boc_trpr_oc,11,TRUE)*boc_rr_oc_hiv-boc_tr_mast_vus-boc_tr_ooph_vus-boc_tr_both_vus-VLOOKUP(AE21,mortt,2,FALSE))</f>
        <v>7.6880410174277164E-4</v>
      </c>
      <c r="AK21" s="289">
        <f>AK20*(1-VLOOKUP(AE21,boc_trpr_bc,11,TRUE)*boc_rr_bc_modp-VLOOKUP(AE21,boc_trpr_oc,11,TRUE)*boc_rr_oc_modp-boc_tr_mast_path-boc_tr_ooph_path-boc_tr_both_path-VLOOKUP(AE21,mortt,2,FALSE))</f>
        <v>1.5611628047863562E-12</v>
      </c>
      <c r="AL21" s="289">
        <f>AL20*(1-VLOOKUP(AE21,boc_trpr_bc,11,TRUE)*boc_rr_bc_modv-VLOOKUP(AE21,boc_trpr_oc,11,TRUE)*boc_rr_oc_modv-boc_tr_mast_vus-boc_tr_ooph_vus-boc_tr_both_vus-VLOOKUP(AE21,mortt,2,FALSE))</f>
        <v>9.7751724358083889E-4</v>
      </c>
      <c r="AM21" s="289">
        <f>AM20*(1-VLOOKUP(AE21,boc_trpr_bc,11,TRUE)*boc_rr_bc_lop-VLOOKUP(AE21,boc_trpr_oc,11,TRUE)*boc_rr_oc_lop-boc_tr_mast_path-boc_tr_ooph_path-boc_tr_both_path-VLOOKUP(AE21,mortt,2,FALSE))</f>
        <v>5.4730419959504349E-13</v>
      </c>
      <c r="AN21" s="289">
        <f>AN20*(1-VLOOKUP(AE21,boc_trpr_bc,11,TRUE)*boc_rr_bc_lov-VLOOKUP(AE21,boc_trpr_oc,11,TRUE)*boc_rr_oc_lov-boc_tr_mast_vus-boc_tr_ooph_vus-boc_tr_both_vus-VLOOKUP(AE21,mortt,2,FALSE))</f>
        <v>2.1399701924365206E-4</v>
      </c>
      <c r="AO21" s="260">
        <f>AO20*(1-VLOOKUP(AE21,boc_trpr_bc,11,TRUE)*boc_rr_bc_np-VLOOKUP(AE21,boc_trpr_oc,11,TRUE)*boc_rr_oc_np-VLOOKUP(AE21,mortt,2,FALSE))</f>
        <v>0.84912504683918533</v>
      </c>
      <c r="AP21" s="260">
        <f>AF20*VLOOKUP(AE21,boc_trpr_bc,11,TRUE)*boc_rr_bc_mast+AG20*VLOOKUP(AE21,boc_trpr_bc,11,TRUE)*boc_rr_bc_ooph+AH20*VLOOKUP(AE21,boc_trpr_bc,11,TRUE)*boc_rr_bc_both+AI20*VLOOKUP(AE21,boc_trpr_bc,11,TRUE)*boc_rr_bc_hip+AJ20*VLOOKUP(AE21,boc_trpr_bc,11,TRUE)*boc_rr_bc_hiv+AK20*VLOOKUP(AE21,boc_trpr_bc,11,TRUE)*boc_rr_bc_modp+AL20*VLOOKUP(AE21,boc_trpr_bc,11,TRUE)*boc_rr_bc_modv+AM20*VLOOKUP(AE21,boc_trpr_bc,11,TRUE)*boc_rr_bc_lop+AN20*VLOOKUP(AE21,boc_trpr_bc,11,TRUE)*boc_rr_bc_lov+AO20*VLOOKUP(AE21,boc_trpr_bc,11,TRUE)*boc_rr_bc_np</f>
        <v>2.2905306919478808E-3</v>
      </c>
      <c r="AQ21" s="260">
        <f>AF20*VLOOKUP(AE21,boc_trpr_oc,11,TRUE)*boc_rr_oc_mast+AG20*VLOOKUP(AE21,boc_trpr_oc,11,TRUE)*boc_rr_oc_ooph+AH20*VLOOKUP(AE21,boc_trpr_oc,11,TRUE)*boc_rr_oc_both+AI20*VLOOKUP(AE21,boc_trpr_oc,11,TRUE)*boc_rr_oc_hip+AJ20*VLOOKUP(AE21,boc_trpr_oc,11,TRUE)*boc_rr_oc_hiv+AK20*VLOOKUP(AE21,boc_trpr_oc,11,TRUE)*boc_rr_oc_modp+AL20*VLOOKUP(AE21,boc_trpr_oc,11,TRUE)*boc_rr_oc_modv+AM20*VLOOKUP(AE21,boc_trpr_oc,11,TRUE)*boc_rr_oc_lop+AN20*VLOOKUP(AE21,boc_trpr_oc,11,TRUE)*boc_rr_oc_lov+AO20*VLOOKUP(AE21,boc_trpr_oc,11,TRUE)*boc_rr_oc_np</f>
        <v>2.1262373901291765E-4</v>
      </c>
      <c r="AR21" s="260">
        <f>AP20*(1-VLOOKUP(AE21,boc_trpr_bc_death,20,TRUE))+AQ20*(1-VLOOKUP(AE21,boc_trpr_oc_death,20,TRUE))+AR20*(1-VLOOKUP(AE21,mortt,2,FALSE)*boc_rr_death_pc)</f>
        <v>2.5816457950045058E-2</v>
      </c>
      <c r="AS21" s="260">
        <f>AS20+SUM(AF20:AO20)*VLOOKUP(AE21,mortt,2,FALSE)+AP20*VLOOKUP(AE21,boc_trpr_bc_death,20,TRUE)+AQ20*VLOOKUP(AE21,boc_trpr_bc_death,20,TRUE)+AR20*VLOOKUP(AE21,mortt,2,FALSE)*boc_rr_death_pc</f>
        <v>6.195927723183399E-2</v>
      </c>
      <c r="AT21" s="260">
        <f t="shared" si="23"/>
        <v>1.0000004116531367</v>
      </c>
      <c r="AU21" s="118">
        <f>(boc_cost_mast*SUM(AI21,AK21,AM21)*(boc_tr_mast_path+boc_tr_both_path)+SUM(AJ21,AL21,AN21)*(boc_tr_mast_vus+boc_tr_both_vus)+AP21*boc_cost_bc+AQ21*boc_cost_oc+AR21*boc_cost_pc+(AP21*VLOOKUP(AE21,boc_trpr_bc_death,20,TRUE)+AQ21*VLOOKUP(AE21,boc_trpr_oc_death,TRUE)*boc_cost_death))/((1+discount)^AD21)</f>
        <v>783.86732609612443</v>
      </c>
      <c r="AV21" s="35">
        <f t="shared" si="3"/>
        <v>0.5700776191421586</v>
      </c>
      <c r="AW21" s="35">
        <f t="shared" si="4"/>
        <v>0.60209264505339954</v>
      </c>
      <c r="AY21" s="12">
        <v>15</v>
      </c>
      <c r="AZ21" s="12">
        <f t="shared" si="5"/>
        <v>60</v>
      </c>
      <c r="BA21" s="260">
        <f>BA20*(1-VLOOKUP(AZ21,boc_trpr_bc,11,TRUE)*boc_rr_bc_mast-VLOOKUP(AZ21,boc_trpr_oc,11,TRUE)*boc_rr_oc_mast-VLOOKUP(AZ21,mortt,2,FALSE))</f>
        <v>9.332205782942752E-3</v>
      </c>
      <c r="BB21" s="260">
        <f>BB20*(1-VLOOKUP(AZ21,boc_trpr_bc,11,TRUE)*boc_rr_bc_ooph-VLOOKUP(AZ21,boc_trpr_oc,11,TRUE)*boc_rr_oc_ooph-VLOOKUP(AZ21,mortt,2,FALSE))</f>
        <v>9.2384550585945004E-3</v>
      </c>
      <c r="BC21" s="260">
        <f>BC20*(1-VLOOKUP(AZ21,boc_trpr_bc,11,TRUE)*boc_rr_bc_both-VLOOKUP(AZ21,boc_trpr_oc,11,TRUE)*boc_rr_oc_both-VLOOKUP(AZ21,mortt,2,FALSE))</f>
        <v>9.3655971141965218E-3</v>
      </c>
      <c r="BD21" s="289">
        <f>BD20*(1-VLOOKUP(AZ21,boc_trpr_bc,11,TRUE)*boc_rr_bc_hip-VLOOKUP(AZ21,boc_trpr_oc,11,TRUE)*boc_rr_oc_hip-VLOOKUP(AZ21,mortt,2,FALSE))</f>
        <v>2.0565424380753258E-3</v>
      </c>
      <c r="BE21" s="289">
        <f>BE20*(1-VLOOKUP(AZ21,boc_trpr_bc,11,TRUE)*boc_rr_bc_hiv-VLOOKUP(AZ21,boc_trpr_oc,11,TRUE)*boc_rr_oc_hiv-VLOOKUP(AZ21,mortt,2,FALSE))</f>
        <v>9.3421717399339767E-3</v>
      </c>
      <c r="BF21" s="289">
        <f>BF20*(1-VLOOKUP(AZ21,boc_trpr_bc,11,TRUE)*boc_rr_bc_modp-VLOOKUP(AZ21,boc_trpr_oc,11,TRUE)*boc_rr_oc_modp-VLOOKUP(AZ21,mortt,2,FALSE))</f>
        <v>3.6344570655972882E-3</v>
      </c>
      <c r="BG21" s="289">
        <f>BG20*(1-VLOOKUP(AZ21,boc_trpr_bc,11,TRUE)*boc_rr_bc_modv-VLOOKUP(AZ21,boc_trpr_oc,11,TRUE)*boc_rr_oc_modv-VLOOKUP(AZ21,mortt,2,FALSE))</f>
        <v>1.1878362703291763E-2</v>
      </c>
      <c r="BH21" s="289">
        <f>BH20*(1-VLOOKUP(AZ21,boc_trpr_bc,11,TRUE)*boc_rr_bc_lop-VLOOKUP(AZ21,boc_trpr_oc,11,TRUE)*boc_rr_oc_lop-VLOOKUP(AZ21,mortt,2,FALSE))</f>
        <v>8.9124756629299401E-4</v>
      </c>
      <c r="BI21" s="289">
        <f>BI20*(1-VLOOKUP(AZ21,boc_trpr_bc,11,TRUE)*boc_rr_bc_lov-VLOOKUP(AZ21,boc_trpr_oc,11,TRUE)*boc_rr_oc_lov-VLOOKUP(AZ21,mortt,2,FALSE))</f>
        <v>2.6003983343432383E-3</v>
      </c>
      <c r="BJ21" s="260">
        <f>BJ20*(1-VLOOKUP(AZ21,boc_trpr_bc,11,TRUE)*boc_rr_bc_np-VLOOKUP(AZ21,boc_trpr_oc,11,TRUE)*boc_rr_oc_np-VLOOKUP(AZ21,mortt,2,FALSE))</f>
        <v>0.84912504683918533</v>
      </c>
      <c r="BK21" s="260">
        <f>BA20*VLOOKUP(AZ21,boc_trpr_bc,11,TRUE)*boc_rr_bc_mast+BB20*VLOOKUP(AZ21,boc_trpr_bc,11,TRUE)*boc_rr_bc_ooph+BC20*VLOOKUP(AZ21,boc_trpr_bc,11,TRUE)*boc_rr_bc_both+BD20*VLOOKUP(AZ21,boc_trpr_bc,11,TRUE)*boc_rr_bc_hip+BE20*VLOOKUP(AZ21,boc_trpr_bc,11,TRUE)*boc_rr_bc_hiv+BF20*VLOOKUP(AZ21,boc_trpr_bc,11,TRUE)*boc_rr_bc_modp+BG20*VLOOKUP(AZ21,boc_trpr_bc,11,TRUE)*boc_rr_bc_modv+BH20*VLOOKUP(AZ21,boc_trpr_bc,11,TRUE)*boc_rr_bc_lop+BI20*VLOOKUP(AZ21,boc_trpr_bc,11,TRUE)*boc_rr_bc_lov+BJ20*VLOOKUP(AZ21,boc_trpr_bc,11,TRUE)*boc_rr_bc_np</f>
        <v>2.4732208698680278E-3</v>
      </c>
      <c r="BL21" s="260">
        <f>BA20*VLOOKUP(AZ21,boc_trpr_oc,11,TRUE)*boc_rr_oc_mast+BB20*VLOOKUP(AZ21,boc_trpr_oc,11,TRUE)*boc_rr_oc_ooph+BC20*VLOOKUP(AZ21,boc_trpr_oc,11,TRUE)*boc_rr_oc_both+BD20*VLOOKUP(AZ21,boc_trpr_oc,11,TRUE)*boc_rr_oc_hip+BE20*VLOOKUP(AZ21,boc_trpr_oc,11,TRUE)*boc_rr_oc_hiv+BF20*VLOOKUP(AZ21,boc_trpr_oc,11,TRUE)*boc_rr_oc_modp+BG20*VLOOKUP(AZ21,boc_trpr_oc,11,TRUE)*boc_rr_oc_modv+BH20*VLOOKUP(AZ21,boc_trpr_oc,11,TRUE)*boc_rr_oc_lop+BI20*VLOOKUP(AZ21,boc_trpr_oc,11,TRUE)*boc_rr_oc_lov+BJ20*VLOOKUP(AZ21,boc_trpr_oc,11,TRUE)*boc_rr_oc_np</f>
        <v>2.2763153782072963E-4</v>
      </c>
      <c r="BM21" s="260">
        <f>BK20*(1-VLOOKUP(AZ21,boc_trpr_bc_death,20,TRUE))+BL20*(1-VLOOKUP(AZ21,boc_trpr_oc_death,20,TRUE))+BM20*(1-VLOOKUP(AZ21,mortt,2,FALSE)*boc_rr_death_pc)</f>
        <v>2.7855183428428812E-2</v>
      </c>
      <c r="BN21" s="260">
        <f>BN20+SUM(BA20:BJ20)*VLOOKUP(AZ21,mortt,2,FALSE)+BK20*VLOOKUP(AZ21,boc_trpr_bc_death,20,TRUE)+BL20*VLOOKUP(AZ21,boc_trpr_bc_death,20,TRUE)+BM20*VLOOKUP(AZ21,mortt,2,FALSE)*boc_rr_death_pc</f>
        <v>6.197992162321736E-2</v>
      </c>
      <c r="BO21" s="260">
        <f t="shared" si="24"/>
        <v>1.0000004421017885</v>
      </c>
      <c r="BP21" s="118">
        <f>(boc_cost_mast*SUM(BD21,BF21,BH21)*(boc_tr_mast_path+boc_tr_both_path)+SUM(BE21,BG21,BI21)*(boc_tr_mast_vus+boc_tr_both_vus)+BK21*boc_cost_bc+BL21*boc_cost_oc+BM21*boc_cost_pc+(BK21*VLOOKUP(AZ21,boc_trpr_bc_death,20,TRUE)+BL21*VLOOKUP(AZ21,boc_trpr_oc_death,TRUE)*boc_cost_death))/((1+discount)^AY21)</f>
        <v>867.90423114310749</v>
      </c>
      <c r="BQ21" s="35">
        <f t="shared" si="6"/>
        <v>0.56956359748874164</v>
      </c>
      <c r="BR21" s="35">
        <f t="shared" si="7"/>
        <v>0.60207939420414347</v>
      </c>
      <c r="BS21" s="35"/>
      <c r="BU21" s="270" t="s">
        <v>46</v>
      </c>
      <c r="BV21" s="264"/>
      <c r="BW21" s="264"/>
      <c r="BX21" s="264"/>
      <c r="BY21" s="264"/>
      <c r="BZ21" s="264"/>
      <c r="CA21" s="264"/>
      <c r="CD21" s="138">
        <v>16</v>
      </c>
      <c r="CE21" s="291">
        <v>2.2900000000000001E-4</v>
      </c>
    </row>
    <row r="22" spans="17:105" ht="15" customHeight="1" x14ac:dyDescent="0.2">
      <c r="Q22" s="11"/>
      <c r="S22" s="9" t="s">
        <v>11</v>
      </c>
      <c r="T22" s="251">
        <f>boc_path_mod_path</f>
        <v>9.4143645999999997E-2</v>
      </c>
      <c r="U22" s="9" t="s">
        <v>8</v>
      </c>
      <c r="V22" s="250">
        <f>boc_unk_int_ooph*boc_test_int_path_ooph</f>
        <v>0.03</v>
      </c>
      <c r="Y22" s="261">
        <f>R27*T22*V22</f>
        <v>1.4083483428297896E-4</v>
      </c>
      <c r="AD22" s="12">
        <v>16</v>
      </c>
      <c r="AE22" s="12">
        <f t="shared" si="2"/>
        <v>61</v>
      </c>
      <c r="AF22" s="260">
        <f>AF21*(1-VLOOKUP(AE22,boc_trpr_bc,11,TRUE)*boc_rr_bc_mast-VLOOKUP(AE22,boc_trpr_oc,11,TRUE)*boc_rr_oc_mast-VLOOKUP(AE22,mortt,2,FALSE))+SUM(AI21,AK21,AM21)*boc_tr_mast_path+SUM(AJ21,AL21,AN21)*boc_tr_mast_vus</f>
        <v>1.9842637080458431E-2</v>
      </c>
      <c r="AG22" s="260">
        <f>AG21*(1-VLOOKUP(AE22,boc_trpr_bc,11,TRUE)*boc_rr_bc_ooph-VLOOKUP(AE22,boc_trpr_oc,11,TRUE)*boc_rr_oc_ooph-VLOOKUP(AE22,mortt,2,FALSE))+SUM(AI21,AK21,AM21)*boc_tr_ooph_path+SUM(AJ21,AL21,AN21)*boc_tr_ooph_vus</f>
        <v>1.9227981795923672E-2</v>
      </c>
      <c r="AH22" s="260">
        <f>AH21*(1-VLOOKUP(AE22,boc_trpr_bc,11,TRUE)*boc_rr_bc_both-VLOOKUP(AE22,boc_trpr_oc,11,TRUE)*boc_rr_oc_both-VLOOKUP(AE22,mortt,2,FALSE))+SUM(AI21,AK21,AM21)*boc_tr_both_path+SUM(AJ21,AL21,AN21)*boc_tr_both_vus</f>
        <v>1.939795266009461E-2</v>
      </c>
      <c r="AI22" s="289">
        <f>AI21*(1-VLOOKUP(AE22,boc_trpr_bc,11,TRUE)*boc_rr_bc_hip-VLOOKUP(AE22,boc_trpr_oc,11,TRUE)*boc_rr_oc_hip-boc_tr_mast_path-boc_tr_ooph_path-boc_tr_both_path-VLOOKUP(AE22,mortt,2,FALSE))</f>
        <v>5.8200660837588795E-14</v>
      </c>
      <c r="AJ22" s="289">
        <f>AJ21*(1-VLOOKUP(AE22,boc_trpr_bc,11,TRUE)*boc_rr_bc_hiv-VLOOKUP(AE22,boc_trpr_oc,11,TRUE)*boc_rr_oc_hiv-boc_tr_mast_vus-boc_tr_ooph_vus-boc_tr_both_vus-VLOOKUP(AE22,mortt,2,FALSE))</f>
        <v>6.4553099750558601E-4</v>
      </c>
      <c r="AK22" s="289">
        <f>AK21*(1-VLOOKUP(AE22,boc_trpr_bc,11,TRUE)*boc_rr_bc_modp-VLOOKUP(AE22,boc_trpr_oc,11,TRUE)*boc_rr_oc_modp-boc_tr_mast_path-boc_tr_ooph_path-boc_tr_both_path-VLOOKUP(AE22,mortt,2,FALSE))</f>
        <v>3.5670133868807319E-13</v>
      </c>
      <c r="AL22" s="289">
        <f>AL21*(1-VLOOKUP(AE22,boc_trpr_bc,11,TRUE)*boc_rr_bc_modv-VLOOKUP(AE22,boc_trpr_oc,11,TRUE)*boc_rr_oc_modv-boc_tr_mast_vus-boc_tr_ooph_vus-boc_tr_both_vus-VLOOKUP(AE22,mortt,2,FALSE))</f>
        <v>8.2077824493550545E-4</v>
      </c>
      <c r="AM22" s="289">
        <f>AM21*(1-VLOOKUP(AE22,boc_trpr_bc,11,TRUE)*boc_rr_bc_lop-VLOOKUP(AE22,boc_trpr_oc,11,TRUE)*boc_rr_oc_lop-boc_tr_mast_path-boc_tr_ooph_path-boc_tr_both_path-VLOOKUP(AE22,mortt,2,FALSE))</f>
        <v>1.3053764420403231E-13</v>
      </c>
      <c r="AN22" s="289">
        <f>AN21*(1-VLOOKUP(AE22,boc_trpr_bc,11,TRUE)*boc_rr_bc_lov-VLOOKUP(AE22,boc_trpr_oc,11,TRUE)*boc_rr_oc_lov-boc_tr_mast_vus-boc_tr_ooph_vus-boc_tr_both_vus-VLOOKUP(AE22,mortt,2,FALSE))</f>
        <v>1.7968388693872579E-4</v>
      </c>
      <c r="AO22" s="260">
        <f>AO21*(1-VLOOKUP(AE22,boc_trpr_bc,11,TRUE)*boc_rr_bc_np-VLOOKUP(AE22,boc_trpr_oc,11,TRUE)*boc_rr_oc_np-VLOOKUP(AE22,mortt,2,FALSE))</f>
        <v>0.84058495382068676</v>
      </c>
      <c r="AP22" s="260">
        <f>AF21*VLOOKUP(AE22,boc_trpr_bc,11,TRUE)*boc_rr_bc_mast+AG21*VLOOKUP(AE22,boc_trpr_bc,11,TRUE)*boc_rr_bc_ooph+AH21*VLOOKUP(AE22,boc_trpr_bc,11,TRUE)*boc_rr_bc_both+AI21*VLOOKUP(AE22,boc_trpr_bc,11,TRUE)*boc_rr_bc_hip+AJ21*VLOOKUP(AE22,boc_trpr_bc,11,TRUE)*boc_rr_bc_hiv+AK21*VLOOKUP(AE22,boc_trpr_bc,11,TRUE)*boc_rr_bc_modp+AL21*VLOOKUP(AE22,boc_trpr_bc,11,TRUE)*boc_rr_bc_modv+AM21*VLOOKUP(AE22,boc_trpr_bc,11,TRUE)*boc_rr_bc_lop+AN21*VLOOKUP(AE22,boc_trpr_bc,11,TRUE)*boc_rr_bc_lov+AO21*VLOOKUP(AE22,boc_trpr_bc,11,TRUE)*boc_rr_bc_np</f>
        <v>2.2678313629587929E-3</v>
      </c>
      <c r="AQ22" s="260">
        <f>AF21*VLOOKUP(AE22,boc_trpr_oc,11,TRUE)*boc_rr_oc_mast+AG21*VLOOKUP(AE22,boc_trpr_oc,11,TRUE)*boc_rr_oc_ooph+AH21*VLOOKUP(AE22,boc_trpr_oc,11,TRUE)*boc_rr_oc_both+AI21*VLOOKUP(AE22,boc_trpr_oc,11,TRUE)*boc_rr_oc_hip+AJ21*VLOOKUP(AE22,boc_trpr_oc,11,TRUE)*boc_rr_oc_hiv+AK21*VLOOKUP(AE22,boc_trpr_oc,11,TRUE)*boc_rr_oc_modp+AL21*VLOOKUP(AE22,boc_trpr_oc,11,TRUE)*boc_rr_oc_modv+AM21*VLOOKUP(AE22,boc_trpr_oc,11,TRUE)*boc_rr_oc_lop+AN21*VLOOKUP(AE22,boc_trpr_oc,11,TRUE)*boc_rr_oc_lov+AO21*VLOOKUP(AE22,boc_trpr_oc,11,TRUE)*boc_rr_oc_np</f>
        <v>2.1054528221366609E-4</v>
      </c>
      <c r="AR22" s="260">
        <f>AP21*(1-VLOOKUP(AE22,boc_trpr_bc_death,20,TRUE))+AQ21*(1-VLOOKUP(AE22,boc_trpr_oc_death,20,TRUE))+AR21*(1-VLOOKUP(AE22,mortt,2,FALSE)*boc_rr_death_pc)</f>
        <v>2.8040130184040328E-2</v>
      </c>
      <c r="AS22" s="260">
        <f>AS21+SUM(AF21:AO21)*VLOOKUP(AE22,mortt,2,FALSE)+AP21*VLOOKUP(AE22,boc_trpr_bc_death,20,TRUE)+AQ21*VLOOKUP(AE22,boc_trpr_bc_death,20,TRUE)+AR21*VLOOKUP(AE22,mortt,2,FALSE)*boc_rr_death_pc</f>
        <v>6.8782444367997214E-2</v>
      </c>
      <c r="AT22" s="260">
        <f t="shared" si="23"/>
        <v>1.0000004696842988</v>
      </c>
      <c r="AU22" s="118">
        <f>(boc_cost_mast*SUM(AI22,AK22,AM22)*(boc_tr_mast_path+boc_tr_both_path)+SUM(AJ22,AL22,AN22)*(boc_tr_mast_vus+boc_tr_both_vus)+AP22*boc_cost_bc+AQ22*boc_cost_oc+AR22*boc_cost_pc+(AP22*VLOOKUP(AE22,boc_trpr_bc_death,20,TRUE)+AQ22*VLOOKUP(AE22,boc_trpr_oc_death,TRUE)*boc_cost_death))/((1+discount)^AD22)</f>
        <v>765.52188475059347</v>
      </c>
      <c r="AV22" s="35">
        <f t="shared" si="3"/>
        <v>0.54929978040034622</v>
      </c>
      <c r="AW22" s="35">
        <f t="shared" si="4"/>
        <v>0.58030399389123177</v>
      </c>
      <c r="AY22" s="12">
        <v>16</v>
      </c>
      <c r="AZ22" s="12">
        <f t="shared" si="5"/>
        <v>61</v>
      </c>
      <c r="BA22" s="260">
        <f>BA21*(1-VLOOKUP(AZ22,boc_trpr_bc,11,TRUE)*boc_rr_bc_mast-VLOOKUP(AZ22,boc_trpr_oc,11,TRUE)*boc_rr_oc_mast-VLOOKUP(AZ22,mortt,2,FALSE))</f>
        <v>9.2603904821931069E-3</v>
      </c>
      <c r="BB22" s="260">
        <f>BB21*(1-VLOOKUP(AZ22,boc_trpr_bc,11,TRUE)*boc_rr_bc_ooph-VLOOKUP(AZ22,boc_trpr_oc,11,TRUE)*boc_rr_oc_ooph-VLOOKUP(AZ22,mortt,2,FALSE))</f>
        <v>9.1592822765631347E-3</v>
      </c>
      <c r="BC22" s="260">
        <f>BC21*(1-VLOOKUP(AZ22,boc_trpr_bc,11,TRUE)*boc_rr_bc_both-VLOOKUP(AZ22,boc_trpr_oc,11,TRUE)*boc_rr_oc_both-VLOOKUP(AZ22,mortt,2,FALSE))</f>
        <v>9.2966417545619715E-3</v>
      </c>
      <c r="BD22" s="289">
        <f>BD21*(1-VLOOKUP(AZ22,boc_trpr_bc,11,TRUE)*boc_rr_bc_hip-VLOOKUP(AZ22,boc_trpr_oc,11,TRUE)*boc_rr_oc_hip-VLOOKUP(AZ22,mortt,2,FALSE))</f>
        <v>1.953384592271715E-3</v>
      </c>
      <c r="BE22" s="289">
        <f>BE21*(1-VLOOKUP(AZ22,boc_trpr_bc,11,TRUE)*boc_rr_bc_hiv-VLOOKUP(AZ22,boc_trpr_oc,11,TRUE)*boc_rr_oc_hiv-VLOOKUP(AZ22,mortt,2,FALSE))</f>
        <v>9.2455365664181749E-3</v>
      </c>
      <c r="BF22" s="289">
        <f>BF21*(1-VLOOKUP(AZ22,boc_trpr_bc,11,TRUE)*boc_rr_bc_modp-VLOOKUP(AZ22,boc_trpr_oc,11,TRUE)*boc_rr_oc_modp-VLOOKUP(AZ22,mortt,2,FALSE))</f>
        <v>3.5562595223790519E-3</v>
      </c>
      <c r="BG22" s="289">
        <f>BG21*(1-VLOOKUP(AZ22,boc_trpr_bc,11,TRUE)*boc_rr_bc_modv-VLOOKUP(AZ22,boc_trpr_oc,11,TRUE)*boc_rr_oc_modv-VLOOKUP(AZ22,mortt,2,FALSE))</f>
        <v>1.1755493238581587E-2</v>
      </c>
      <c r="BH22" s="289">
        <f>BH21*(1-VLOOKUP(AZ22,boc_trpr_bc,11,TRUE)*boc_rr_bc_lop-VLOOKUP(AZ22,boc_trpr_oc,11,TRUE)*boc_rr_oc_lop-VLOOKUP(AZ22,mortt,2,FALSE))</f>
        <v>8.8100732644934461E-4</v>
      </c>
      <c r="BI22" s="289">
        <f>BI21*(1-VLOOKUP(AZ22,boc_trpr_bc,11,TRUE)*boc_rr_bc_lov-VLOOKUP(AZ22,boc_trpr_oc,11,TRUE)*boc_rr_oc_lov-VLOOKUP(AZ22,mortt,2,FALSE))</f>
        <v>2.5734998838282154E-3</v>
      </c>
      <c r="BJ22" s="260">
        <f>BJ21*(1-VLOOKUP(AZ22,boc_trpr_bc,11,TRUE)*boc_rr_bc_np-VLOOKUP(AZ22,boc_trpr_oc,11,TRUE)*boc_rr_oc_np-VLOOKUP(AZ22,mortt,2,FALSE))</f>
        <v>0.84058495382068676</v>
      </c>
      <c r="BK22" s="260">
        <f>BA21*VLOOKUP(AZ22,boc_trpr_bc,11,TRUE)*boc_rr_bc_mast+BB21*VLOOKUP(AZ22,boc_trpr_bc,11,TRUE)*boc_rr_bc_ooph+BC21*VLOOKUP(AZ22,boc_trpr_bc,11,TRUE)*boc_rr_bc_both+BD21*VLOOKUP(AZ22,boc_trpr_bc,11,TRUE)*boc_rr_bc_hip+BE21*VLOOKUP(AZ22,boc_trpr_bc,11,TRUE)*boc_rr_bc_hiv+BF21*VLOOKUP(AZ22,boc_trpr_bc,11,TRUE)*boc_rr_bc_modp+BG21*VLOOKUP(AZ22,boc_trpr_bc,11,TRUE)*boc_rr_bc_modv+BH21*VLOOKUP(AZ22,boc_trpr_bc,11,TRUE)*boc_rr_bc_lop+BI21*VLOOKUP(AZ22,boc_trpr_bc,11,TRUE)*boc_rr_bc_lov+BJ21*VLOOKUP(AZ22,boc_trpr_bc,11,TRUE)*boc_rr_bc_np</f>
        <v>2.4455515396942912E-3</v>
      </c>
      <c r="BL22" s="260">
        <f>BA21*VLOOKUP(AZ22,boc_trpr_oc,11,TRUE)*boc_rr_oc_mast+BB21*VLOOKUP(AZ22,boc_trpr_oc,11,TRUE)*boc_rr_oc_ooph+BC21*VLOOKUP(AZ22,boc_trpr_oc,11,TRUE)*boc_rr_oc_both+BD21*VLOOKUP(AZ22,boc_trpr_oc,11,TRUE)*boc_rr_oc_hip+BE21*VLOOKUP(AZ22,boc_trpr_oc,11,TRUE)*boc_rr_oc_hiv+BF21*VLOOKUP(AZ22,boc_trpr_oc,11,TRUE)*boc_rr_oc_modp+BG21*VLOOKUP(AZ22,boc_trpr_oc,11,TRUE)*boc_rr_oc_modv+BH21*VLOOKUP(AZ22,boc_trpr_oc,11,TRUE)*boc_rr_oc_lop+BI21*VLOOKUP(AZ22,boc_trpr_oc,11,TRUE)*boc_rr_oc_lov+BJ21*VLOOKUP(AZ22,boc_trpr_oc,11,TRUE)*boc_rr_oc_np</f>
        <v>2.2509160079317979E-4</v>
      </c>
      <c r="BM22" s="260">
        <f>BK21*(1-VLOOKUP(AZ22,boc_trpr_bc_death,20,TRUE))+BL21*(1-VLOOKUP(AZ22,boc_trpr_oc_death,20,TRUE))+BM21*(1-VLOOKUP(AZ22,mortt,2,FALSE)*boc_rr_death_pc)</f>
        <v>3.0254482436145615E-2</v>
      </c>
      <c r="BN22" s="260">
        <f>BN21+SUM(BA21:BJ21)*VLOOKUP(AZ22,mortt,2,FALSE)+BK21*VLOOKUP(AZ22,boc_trpr_bc_death,20,TRUE)+BL21*VLOOKUP(AZ22,boc_trpr_bc_death,20,TRUE)+BM21*VLOOKUP(AZ22,mortt,2,FALSE)*boc_rr_death_pc</f>
        <v>6.8808929188446263E-2</v>
      </c>
      <c r="BO22" s="260">
        <f t="shared" si="24"/>
        <v>1.0000005042290123</v>
      </c>
      <c r="BP22" s="118">
        <f>(boc_cost_mast*SUM(BD22,BF22,BH22)*(boc_tr_mast_path+boc_tr_both_path)+SUM(BE22,BG22,BI22)*(boc_tr_mast_vus+boc_tr_both_vus)+BK22*boc_cost_bc+BL22*boc_cost_oc+BM22*boc_cost_pc+(BK22*VLOOKUP(AZ22,boc_trpr_bc_death,20,TRUE)+BL22*VLOOKUP(AZ22,boc_trpr_oc_death,TRUE)*boc_cost_death))/((1+discount)^AY22)</f>
        <v>845.82454252599825</v>
      </c>
      <c r="BQ22" s="35">
        <f t="shared" si="6"/>
        <v>0.5487923848548184</v>
      </c>
      <c r="BR22" s="35">
        <f t="shared" si="7"/>
        <v>0.58028748942673669</v>
      </c>
      <c r="BS22" s="35"/>
      <c r="BU22" s="158" t="s">
        <v>91</v>
      </c>
      <c r="BV22" s="13" t="s">
        <v>27</v>
      </c>
      <c r="BW22" s="309" t="s">
        <v>28</v>
      </c>
      <c r="BX22" s="310" t="s">
        <v>92</v>
      </c>
      <c r="BY22" s="309" t="s">
        <v>29</v>
      </c>
      <c r="BZ22" s="310" t="s">
        <v>30</v>
      </c>
      <c r="CA22" s="13" t="s">
        <v>31</v>
      </c>
      <c r="CD22" s="138">
        <v>17</v>
      </c>
      <c r="CE22" s="291">
        <v>2.6800000000000001E-4</v>
      </c>
      <c r="CH22" s="8"/>
      <c r="CI22" s="8"/>
      <c r="CJ22" s="374" t="s">
        <v>5</v>
      </c>
      <c r="CK22" s="288"/>
      <c r="CL22" s="288"/>
      <c r="CM22" s="288"/>
      <c r="CN22" s="288"/>
      <c r="CO22" s="288"/>
      <c r="CP22" s="8"/>
      <c r="CQ22" s="8"/>
      <c r="CR22" s="8"/>
      <c r="CS22" s="8"/>
      <c r="CT22" s="8"/>
      <c r="CU22" s="8"/>
      <c r="CV22" s="288"/>
      <c r="CW22" s="288"/>
      <c r="CX22" s="288"/>
      <c r="CY22" s="288"/>
      <c r="CZ22" s="288"/>
      <c r="DA22" s="288"/>
    </row>
    <row r="23" spans="17:105" ht="15" customHeight="1" x14ac:dyDescent="0.2">
      <c r="Q23" s="11"/>
      <c r="S23" s="11"/>
      <c r="U23" s="9" t="s">
        <v>6</v>
      </c>
      <c r="V23" s="250">
        <f>boc_unk_int_both*boc_test_int_path_both</f>
        <v>0.02</v>
      </c>
      <c r="Z23" s="261">
        <f>R27*T22*V23</f>
        <v>9.3889889521985985E-5</v>
      </c>
      <c r="AD23" s="12">
        <v>17</v>
      </c>
      <c r="AE23" s="12">
        <f t="shared" si="2"/>
        <v>62</v>
      </c>
      <c r="AF23" s="260">
        <f>AF22*(1-VLOOKUP(AE23,boc_trpr_bc,11,TRUE)*boc_rr_bc_mast-VLOOKUP(AE23,boc_trpr_oc,11,TRUE)*boc_rr_oc_mast-VLOOKUP(AE23,mortt,2,FALSE))+SUM(AI22,AK22,AM22)*boc_tr_mast_path+SUM(AJ22,AL22,AN22)*boc_tr_mast_vus</f>
        <v>1.9761643219886372E-2</v>
      </c>
      <c r="AG23" s="260">
        <f>AG22*(1-VLOOKUP(AE23,boc_trpr_bc,11,TRUE)*boc_rr_bc_ooph-VLOOKUP(AE23,boc_trpr_oc,11,TRUE)*boc_rr_oc_ooph-VLOOKUP(AE23,mortt,2,FALSE))+SUM(AI22,AK22,AM22)*boc_tr_ooph_path+SUM(AJ22,AL22,AN22)*boc_tr_ooph_vus</f>
        <v>1.9135231525136104E-2</v>
      </c>
      <c r="AH23" s="260">
        <f>AH22*(1-VLOOKUP(AE23,boc_trpr_bc,11,TRUE)*boc_rr_bc_both-VLOOKUP(AE23,boc_trpr_oc,11,TRUE)*boc_rr_oc_both-VLOOKUP(AE23,mortt,2,FALSE))+SUM(AI22,AK22,AM22)*boc_tr_both_path+SUM(AJ22,AL22,AN22)*boc_tr_both_vus</f>
        <v>1.9327073999823079E-2</v>
      </c>
      <c r="AI23" s="289">
        <f>AI22*(1-VLOOKUP(AE23,boc_trpr_bc,11,TRUE)*boc_rr_bc_hip-VLOOKUP(AE23,boc_trpr_oc,11,TRUE)*boc_rr_oc_hip-boc_tr_mast_path-boc_tr_ooph_path-boc_tr_both_path-VLOOKUP(AE23,mortt,2,FALSE))</f>
        <v>1.1599693446274704E-14</v>
      </c>
      <c r="AJ23" s="289">
        <f>AJ22*(1-VLOOKUP(AE23,boc_trpr_bc,11,TRUE)*boc_rr_bc_hiv-VLOOKUP(AE23,boc_trpr_oc,11,TRUE)*boc_rr_oc_hiv-boc_tr_mast_vus-boc_tr_ooph_vus-boc_tr_both_vus-VLOOKUP(AE23,mortt,2,FALSE))</f>
        <v>5.4167927903001057E-4</v>
      </c>
      <c r="AK23" s="289">
        <f>AK22*(1-VLOOKUP(AE23,boc_trpr_bc,11,TRUE)*boc_rr_bc_modp-VLOOKUP(AE23,boc_trpr_oc,11,TRUE)*boc_rr_oc_modp-boc_tr_mast_path-boc_tr_ooph_path-boc_tr_both_path-VLOOKUP(AE23,mortt,2,FALSE))</f>
        <v>8.131021099155986E-14</v>
      </c>
      <c r="AL23" s="289">
        <f>AL22*(1-VLOOKUP(AE23,boc_trpr_bc,11,TRUE)*boc_rr_bc_modv-VLOOKUP(AE23,boc_trpr_oc,11,TRUE)*boc_rr_oc_modv-boc_tr_mast_vus-boc_tr_ooph_vus-boc_tr_both_vus-VLOOKUP(AE23,mortt,2,FALSE))</f>
        <v>6.8873310449562837E-4</v>
      </c>
      <c r="AM23" s="289">
        <f>AM22*(1-VLOOKUP(AE23,boc_trpr_bc,11,TRUE)*boc_rr_bc_lop-VLOOKUP(AE23,boc_trpr_oc,11,TRUE)*boc_rr_oc_lop-boc_tr_mast_path-boc_tr_ooph_path-boc_tr_both_path-VLOOKUP(AE23,mortt,2,FALSE))</f>
        <v>3.1064854933051008E-14</v>
      </c>
      <c r="AN23" s="289">
        <f>AN22*(1-VLOOKUP(AE23,boc_trpr_bc,11,TRUE)*boc_rr_bc_lov-VLOOKUP(AE23,boc_trpr_oc,11,TRUE)*boc_rr_oc_lov-boc_tr_mast_vus-boc_tr_ooph_vus-boc_tr_both_vus-VLOOKUP(AE23,mortt,2,FALSE))</f>
        <v>1.5077670740270947E-4</v>
      </c>
      <c r="AO23" s="260">
        <f>AO22*(1-VLOOKUP(AE23,boc_trpr_bc,11,TRUE)*boc_rr_bc_np-VLOOKUP(AE23,boc_trpr_oc,11,TRUE)*boc_rr_oc_np-VLOOKUP(AE23,mortt,2,FALSE))</f>
        <v>0.83168188060200787</v>
      </c>
      <c r="AP23" s="260">
        <f>AF22*VLOOKUP(AE23,boc_trpr_bc,11,TRUE)*boc_rr_bc_mast+AG22*VLOOKUP(AE23,boc_trpr_bc,11,TRUE)*boc_rr_bc_ooph+AH22*VLOOKUP(AE23,boc_trpr_bc,11,TRUE)*boc_rr_bc_both+AI22*VLOOKUP(AE23,boc_trpr_bc,11,TRUE)*boc_rr_bc_hip+AJ22*VLOOKUP(AE23,boc_trpr_bc,11,TRUE)*boc_rr_bc_hiv+AK22*VLOOKUP(AE23,boc_trpr_bc,11,TRUE)*boc_rr_bc_modp+AL22*VLOOKUP(AE23,boc_trpr_bc,11,TRUE)*boc_rr_bc_modv+AM22*VLOOKUP(AE23,boc_trpr_bc,11,TRUE)*boc_rr_bc_lop+AN22*VLOOKUP(AE23,boc_trpr_bc,11,TRUE)*boc_rr_bc_lov+AO22*VLOOKUP(AE23,boc_trpr_bc,11,TRUE)*boc_rr_bc_np</f>
        <v>2.2443994783941934E-3</v>
      </c>
      <c r="AQ23" s="260">
        <f>AF22*VLOOKUP(AE23,boc_trpr_oc,11,TRUE)*boc_rr_oc_mast+AG22*VLOOKUP(AE23,boc_trpr_oc,11,TRUE)*boc_rr_oc_ooph+AH22*VLOOKUP(AE23,boc_trpr_oc,11,TRUE)*boc_rr_oc_both+AI22*VLOOKUP(AE23,boc_trpr_oc,11,TRUE)*boc_rr_oc_hip+AJ22*VLOOKUP(AE23,boc_trpr_oc,11,TRUE)*boc_rr_oc_hiv+AK22*VLOOKUP(AE23,boc_trpr_oc,11,TRUE)*boc_rr_oc_modp+AL22*VLOOKUP(AE23,boc_trpr_oc,11,TRUE)*boc_rr_oc_modv+AM22*VLOOKUP(AE23,boc_trpr_oc,11,TRUE)*boc_rr_oc_lop+AN22*VLOOKUP(AE23,boc_trpr_oc,11,TRUE)*boc_rr_oc_lov+AO22*VLOOKUP(AE23,boc_trpr_oc,11,TRUE)*boc_rr_oc_np</f>
        <v>2.083953914389906E-4</v>
      </c>
      <c r="AR23" s="260">
        <f>AP22*(1-VLOOKUP(AE23,boc_trpr_bc_death,20,TRUE))+AQ22*(1-VLOOKUP(AE23,boc_trpr_oc_death,20,TRUE))+AR22*(1-VLOOKUP(AE23,mortt,2,FALSE)*boc_rr_death_pc)</f>
        <v>3.0192581443958855E-2</v>
      </c>
      <c r="AS23" s="260">
        <f>AS22+SUM(AF22:AO22)*VLOOKUP(AE23,mortt,2,FALSE)+AP22*VLOOKUP(AE23,boc_trpr_bc_death,20,TRUE)+AQ22*VLOOKUP(AE23,boc_trpr_bc_death,20,TRUE)+AR22*VLOOKUP(AE23,mortt,2,FALSE)*boc_rr_death_pc</f>
        <v>7.6068132396491822E-2</v>
      </c>
      <c r="AT23" s="260">
        <f t="shared" si="23"/>
        <v>1.0000005271481898</v>
      </c>
      <c r="AU23" s="118">
        <f>(boc_cost_mast*SUM(AI23,AK23,AM23)*(boc_tr_mast_path+boc_tr_both_path)+SUM(AJ23,AL23,AN23)*(boc_tr_mast_vus+boc_tr_both_vus)+AP23*boc_cost_bc+AQ23*boc_cost_oc+AR23*boc_cost_pc+(AP23*VLOOKUP(AE23,boc_trpr_bc_death,20,TRUE)+AQ23*VLOOKUP(AE23,boc_trpr_oc_death,TRUE)*boc_cost_death))/((1+discount)^AD23)</f>
        <v>747.04076967397941</v>
      </c>
      <c r="AV23" s="35">
        <f t="shared" si="3"/>
        <v>0.52898692455190199</v>
      </c>
      <c r="AW23" s="35">
        <f t="shared" si="4"/>
        <v>0.5589939747401963</v>
      </c>
      <c r="AY23" s="12">
        <v>17</v>
      </c>
      <c r="AZ23" s="12">
        <f t="shared" si="5"/>
        <v>62</v>
      </c>
      <c r="BA23" s="260">
        <f>BA22*(1-VLOOKUP(AZ23,boc_trpr_bc,11,TRUE)*boc_rr_bc_mast-VLOOKUP(AZ23,boc_trpr_oc,11,TRUE)*boc_rr_oc_mast-VLOOKUP(AZ23,mortt,2,FALSE))</f>
        <v>9.1841827822718731E-3</v>
      </c>
      <c r="BB23" s="260">
        <f>BB22*(1-VLOOKUP(AZ23,boc_trpr_bc,11,TRUE)*boc_rr_bc_ooph-VLOOKUP(AZ23,boc_trpr_oc,11,TRUE)*boc_rr_oc_ooph-VLOOKUP(AZ23,mortt,2,FALSE))</f>
        <v>9.0758969418722347E-3</v>
      </c>
      <c r="BC23" s="260">
        <f>BC22*(1-VLOOKUP(AZ23,boc_trpr_bc,11,TRUE)*boc_rr_bc_both-VLOOKUP(AZ23,boc_trpr_oc,11,TRUE)*boc_rr_oc_both-VLOOKUP(AZ23,mortt,2,FALSE))</f>
        <v>9.2232296805392997E-3</v>
      </c>
      <c r="BD23" s="289">
        <f>BD22*(1-VLOOKUP(AZ23,boc_trpr_bc,11,TRUE)*boc_rr_bc_hip-VLOOKUP(AZ23,boc_trpr_oc,11,TRUE)*boc_rr_oc_hip-VLOOKUP(AZ23,mortt,2,FALSE))</f>
        <v>1.854358120766533E-3</v>
      </c>
      <c r="BE23" s="289">
        <f>BE22*(1-VLOOKUP(AZ23,boc_trpr_bc,11,TRUE)*boc_rr_bc_hiv-VLOOKUP(AZ23,boc_trpr_oc,11,TRUE)*boc_rr_oc_hiv-VLOOKUP(AZ23,mortt,2,FALSE))</f>
        <v>9.1449638680148083E-3</v>
      </c>
      <c r="BF23" s="289">
        <f>BF22*(1-VLOOKUP(AZ23,boc_trpr_bc,11,TRUE)*boc_rr_bc_modp-VLOOKUP(AZ23,boc_trpr_oc,11,TRUE)*boc_rr_oc_modp-VLOOKUP(AZ23,mortt,2,FALSE))</f>
        <v>3.4778454040407442E-3</v>
      </c>
      <c r="BG23" s="289">
        <f>BG22*(1-VLOOKUP(AZ23,boc_trpr_bc,11,TRUE)*boc_rr_bc_modv-VLOOKUP(AZ23,boc_trpr_oc,11,TRUE)*boc_rr_oc_modv-VLOOKUP(AZ23,mortt,2,FALSE))</f>
        <v>1.1627617298924284E-2</v>
      </c>
      <c r="BH23" s="289">
        <f>BH22*(1-VLOOKUP(AZ23,boc_trpr_bc,11,TRUE)*boc_rr_bc_lop-VLOOKUP(AZ23,boc_trpr_oc,11,TRUE)*boc_rr_oc_lop-VLOOKUP(AZ23,mortt,2,FALSE))</f>
        <v>8.7041428681219402E-4</v>
      </c>
      <c r="BI23" s="289">
        <f>BI22*(1-VLOOKUP(AZ23,boc_trpr_bc,11,TRUE)*boc_rr_bc_lov-VLOOKUP(AZ23,boc_trpr_oc,11,TRUE)*boc_rr_oc_lov-VLOOKUP(AZ23,mortt,2,FALSE))</f>
        <v>2.5455054212247729E-3</v>
      </c>
      <c r="BJ23" s="260">
        <f>BJ22*(1-VLOOKUP(AZ23,boc_trpr_bc,11,TRUE)*boc_rr_bc_np-VLOOKUP(AZ23,boc_trpr_oc,11,TRUE)*boc_rr_oc_np-VLOOKUP(AZ23,mortt,2,FALSE))</f>
        <v>0.83168188060200787</v>
      </c>
      <c r="BK23" s="260">
        <f>BA22*VLOOKUP(AZ23,boc_trpr_bc,11,TRUE)*boc_rr_bc_mast+BB22*VLOOKUP(AZ23,boc_trpr_bc,11,TRUE)*boc_rr_bc_ooph+BC22*VLOOKUP(AZ23,boc_trpr_bc,11,TRUE)*boc_rr_bc_both+BD22*VLOOKUP(AZ23,boc_trpr_bc,11,TRUE)*boc_rr_bc_hip+BE22*VLOOKUP(AZ23,boc_trpr_bc,11,TRUE)*boc_rr_bc_hiv+BF22*VLOOKUP(AZ23,boc_trpr_bc,11,TRUE)*boc_rr_bc_modp+BG22*VLOOKUP(AZ23,boc_trpr_bc,11,TRUE)*boc_rr_bc_modv+BH22*VLOOKUP(AZ23,boc_trpr_bc,11,TRUE)*boc_rr_bc_lop+BI22*VLOOKUP(AZ23,boc_trpr_bc,11,TRUE)*boc_rr_bc_lov+BJ22*VLOOKUP(AZ23,boc_trpr_bc,11,TRUE)*boc_rr_bc_np</f>
        <v>2.417164777219601E-3</v>
      </c>
      <c r="BL23" s="260">
        <f>BA22*VLOOKUP(AZ23,boc_trpr_oc,11,TRUE)*boc_rr_oc_mast+BB22*VLOOKUP(AZ23,boc_trpr_oc,11,TRUE)*boc_rr_oc_ooph+BC22*VLOOKUP(AZ23,boc_trpr_oc,11,TRUE)*boc_rr_oc_both+BD22*VLOOKUP(AZ23,boc_trpr_oc,11,TRUE)*boc_rr_oc_hip+BE22*VLOOKUP(AZ23,boc_trpr_oc,11,TRUE)*boc_rr_oc_hiv+BF22*VLOOKUP(AZ23,boc_trpr_oc,11,TRUE)*boc_rr_oc_modp+BG22*VLOOKUP(AZ23,boc_trpr_oc,11,TRUE)*boc_rr_oc_modv+BH22*VLOOKUP(AZ23,boc_trpr_oc,11,TRUE)*boc_rr_oc_lop+BI22*VLOOKUP(AZ23,boc_trpr_oc,11,TRUE)*boc_rr_oc_lov+BJ22*VLOOKUP(AZ23,boc_trpr_oc,11,TRUE)*boc_rr_oc_np</f>
        <v>2.2248542523097071E-4</v>
      </c>
      <c r="BM23" s="260">
        <f>BK22*(1-VLOOKUP(AZ23,boc_trpr_bc_death,20,TRUE))+BL22*(1-VLOOKUP(AZ23,boc_trpr_oc_death,20,TRUE))+BM22*(1-VLOOKUP(AZ23,mortt,2,FALSE)*boc_rr_death_pc)</f>
        <v>3.2573462397062582E-2</v>
      </c>
      <c r="BN23" s="260">
        <f>BN22+SUM(BA22:BJ22)*VLOOKUP(AZ23,mortt,2,FALSE)+BK22*VLOOKUP(AZ23,boc_trpr_bc_death,20,TRUE)+BL22*VLOOKUP(AZ23,boc_trpr_bc_death,20,TRUE)+BM22*VLOOKUP(AZ23,mortt,2,FALSE)*boc_rr_death_pc</f>
        <v>7.6101558657026155E-2</v>
      </c>
      <c r="BO23" s="260">
        <f t="shared" si="24"/>
        <v>1.000000565663014</v>
      </c>
      <c r="BP23" s="118">
        <f>(boc_cost_mast*SUM(BD23,BF23,BH23)*(boc_tr_mast_path+boc_tr_both_path)+SUM(BE23,BG23,BI23)*(boc_tr_mast_vus+boc_tr_both_vus)+BK23*boc_cost_bc+BL23*boc_cost_oc+BM23*boc_cost_pc+(BK23*VLOOKUP(AZ23,boc_trpr_bc_death,20,TRUE)+BL23*VLOOKUP(AZ23,boc_trpr_oc_death,TRUE)*boc_cost_death))/((1+discount)^AY23)</f>
        <v>823.73961885628376</v>
      </c>
      <c r="BQ23" s="35">
        <f t="shared" si="6"/>
        <v>0.52848637350108463</v>
      </c>
      <c r="BR23" s="35">
        <f t="shared" si="7"/>
        <v>0.55897375130284987</v>
      </c>
      <c r="BS23" s="35"/>
      <c r="CD23" s="138">
        <v>18</v>
      </c>
      <c r="CE23" s="291">
        <v>3.0499999999999999E-4</v>
      </c>
      <c r="CH23" s="12" t="s">
        <v>321</v>
      </c>
      <c r="CI23" s="12" t="s">
        <v>301</v>
      </c>
      <c r="CJ23" s="375" t="s">
        <v>317</v>
      </c>
      <c r="CK23" s="12" t="s">
        <v>320</v>
      </c>
      <c r="CL23" s="12" t="s">
        <v>319</v>
      </c>
      <c r="CM23" s="12" t="s">
        <v>101</v>
      </c>
      <c r="CN23" s="12" t="s">
        <v>103</v>
      </c>
      <c r="CO23" s="12" t="s">
        <v>324</v>
      </c>
      <c r="CP23" s="12" t="s">
        <v>37</v>
      </c>
      <c r="CQ23" s="12" t="s">
        <v>325</v>
      </c>
      <c r="CR23" s="12" t="s">
        <v>32</v>
      </c>
      <c r="CS23" s="285" t="s">
        <v>318</v>
      </c>
      <c r="CT23" s="12" t="s">
        <v>320</v>
      </c>
      <c r="CU23" s="12" t="s">
        <v>319</v>
      </c>
      <c r="CV23" s="12" t="s">
        <v>101</v>
      </c>
      <c r="CW23" s="12" t="s">
        <v>103</v>
      </c>
      <c r="CX23" s="12" t="s">
        <v>324</v>
      </c>
      <c r="CY23" s="12" t="s">
        <v>37</v>
      </c>
      <c r="CZ23" s="12" t="s">
        <v>325</v>
      </c>
      <c r="DA23" s="12" t="s">
        <v>32</v>
      </c>
    </row>
    <row r="24" spans="17:105" ht="15" customHeight="1" x14ac:dyDescent="0.2">
      <c r="Q24" s="11"/>
      <c r="S24" s="11"/>
      <c r="U24" s="9" t="s">
        <v>9</v>
      </c>
      <c r="V24" s="250">
        <f>1-SUM(V21,V22,V23)</f>
        <v>0.9</v>
      </c>
      <c r="AA24" s="261">
        <f>R27*T22*V24</f>
        <v>4.2250450284893699E-3</v>
      </c>
      <c r="AD24" s="12">
        <v>18</v>
      </c>
      <c r="AE24" s="12">
        <f t="shared" si="2"/>
        <v>63</v>
      </c>
      <c r="AF24" s="260">
        <f>AF23*(1-VLOOKUP(AE24,boc_trpr_bc,11,TRUE)*boc_rr_bc_mast-VLOOKUP(AE24,boc_trpr_oc,11,TRUE)*boc_rr_oc_mast-VLOOKUP(AE24,mortt,2,FALSE))+SUM(AI23,AK23,AM23)*boc_tr_mast_path+SUM(AJ23,AL23,AN23)*boc_tr_mast_vus</f>
        <v>1.9656198942708269E-2</v>
      </c>
      <c r="AG24" s="260">
        <f>AG23*(1-VLOOKUP(AE24,boc_trpr_bc,11,TRUE)*boc_rr_bc_ooph-VLOOKUP(AE24,boc_trpr_oc,11,TRUE)*boc_rr_oc_ooph-VLOOKUP(AE24,mortt,2,FALSE))+SUM(AI23,AK23,AM23)*boc_tr_ooph_path+SUM(AJ23,AL23,AN23)*boc_tr_ooph_vus</f>
        <v>1.9018585168830239E-2</v>
      </c>
      <c r="AH24" s="260">
        <f>AH23*(1-VLOOKUP(AE24,boc_trpr_bc,11,TRUE)*boc_rr_bc_both-VLOOKUP(AE24,boc_trpr_oc,11,TRUE)*boc_rr_oc_both-VLOOKUP(AE24,mortt,2,FALSE))+SUM(AI23,AK23,AM23)*boc_tr_both_path+SUM(AJ23,AL23,AN23)*boc_tr_both_vus</f>
        <v>1.9231899268100396E-2</v>
      </c>
      <c r="AI24" s="289">
        <f>AI23*(1-VLOOKUP(AE24,boc_trpr_bc,11,TRUE)*boc_rr_bc_hip-VLOOKUP(AE24,boc_trpr_oc,11,TRUE)*boc_rr_oc_hip-boc_tr_mast_path-boc_tr_ooph_path-boc_tr_both_path-VLOOKUP(AE24,mortt,2,FALSE))</f>
        <v>2.3049076266954268E-15</v>
      </c>
      <c r="AJ24" s="289">
        <f>AJ23*(1-VLOOKUP(AE24,boc_trpr_bc,11,TRUE)*boc_rr_bc_hiv-VLOOKUP(AE24,boc_trpr_oc,11,TRUE)*boc_rr_oc_hiv-boc_tr_mast_vus-boc_tr_ooph_vus-boc_tr_both_vus-VLOOKUP(AE24,mortt,2,FALSE))</f>
        <v>4.5420946528284617E-4</v>
      </c>
      <c r="AK24" s="289">
        <f>AK23*(1-VLOOKUP(AE24,boc_trpr_bc,11,TRUE)*boc_rr_bc_modp-VLOOKUP(AE24,boc_trpr_oc,11,TRUE)*boc_rr_oc_modp-boc_tr_mast_path-boc_tr_ooph_path-boc_tr_both_path-VLOOKUP(AE24,mortt,2,FALSE))</f>
        <v>1.8485827262709768E-14</v>
      </c>
      <c r="AL24" s="289">
        <f>AL23*(1-VLOOKUP(AE24,boc_trpr_bc,11,TRUE)*boc_rr_bc_modv-VLOOKUP(AE24,boc_trpr_oc,11,TRUE)*boc_rr_oc_modv-boc_tr_mast_vus-boc_tr_ooph_vus-boc_tr_both_vus-VLOOKUP(AE24,mortt,2,FALSE))</f>
        <v>5.7751719001646062E-4</v>
      </c>
      <c r="AM24" s="289">
        <f>AM23*(1-VLOOKUP(AE24,boc_trpr_bc,11,TRUE)*boc_rr_bc_lop-VLOOKUP(AE24,boc_trpr_oc,11,TRUE)*boc_rr_oc_lop-boc_tr_mast_path-boc_tr_ooph_path-boc_tr_both_path-VLOOKUP(AE24,mortt,2,FALSE))</f>
        <v>7.3740267258514565E-15</v>
      </c>
      <c r="AN24" s="289">
        <f>AN23*(1-VLOOKUP(AE24,boc_trpr_bc,11,TRUE)*boc_rr_bc_lov-VLOOKUP(AE24,boc_trpr_oc,11,TRUE)*boc_rr_oc_lov-boc_tr_mast_vus-boc_tr_ooph_vus-boc_tr_both_vus-VLOOKUP(AE24,mortt,2,FALSE))</f>
        <v>1.2642943951839553E-4</v>
      </c>
      <c r="AO24" s="260">
        <f>AO23*(1-VLOOKUP(AE24,boc_trpr_bc,11,TRUE)*boc_rr_bc_np-VLOOKUP(AE24,boc_trpr_oc,11,TRUE)*boc_rr_oc_np-VLOOKUP(AE24,mortt,2,FALSE))</f>
        <v>0.82237326366034402</v>
      </c>
      <c r="AP24" s="260">
        <f>AF23*VLOOKUP(AE24,boc_trpr_bc,11,TRUE)*boc_rr_bc_mast+AG23*VLOOKUP(AE24,boc_trpr_bc,11,TRUE)*boc_rr_bc_ooph+AH23*VLOOKUP(AE24,boc_trpr_bc,11,TRUE)*boc_rr_bc_both+AI23*VLOOKUP(AE24,boc_trpr_bc,11,TRUE)*boc_rr_bc_hip+AJ23*VLOOKUP(AE24,boc_trpr_bc,11,TRUE)*boc_rr_bc_hiv+AK23*VLOOKUP(AE24,boc_trpr_bc,11,TRUE)*boc_rr_bc_modp+AL23*VLOOKUP(AE24,boc_trpr_bc,11,TRUE)*boc_rr_bc_modv+AM23*VLOOKUP(AE24,boc_trpr_bc,11,TRUE)*boc_rr_bc_lop+AN23*VLOOKUP(AE24,boc_trpr_bc,11,TRUE)*boc_rr_bc_lov+AO23*VLOOKUP(AE24,boc_trpr_bc,11,TRUE)*boc_rr_bc_np</f>
        <v>2.2201137219410609E-3</v>
      </c>
      <c r="AQ24" s="260">
        <f>AF23*VLOOKUP(AE24,boc_trpr_oc,11,TRUE)*boc_rr_oc_mast+AG23*VLOOKUP(AE24,boc_trpr_oc,11,TRUE)*boc_rr_oc_ooph+AH23*VLOOKUP(AE24,boc_trpr_oc,11,TRUE)*boc_rr_oc_both+AI23*VLOOKUP(AE24,boc_trpr_oc,11,TRUE)*boc_rr_oc_hip+AJ23*VLOOKUP(AE24,boc_trpr_oc,11,TRUE)*boc_rr_oc_hiv+AK23*VLOOKUP(AE24,boc_trpr_oc,11,TRUE)*boc_rr_oc_modp+AL23*VLOOKUP(AE24,boc_trpr_oc,11,TRUE)*boc_rr_oc_modv+AM23*VLOOKUP(AE24,boc_trpr_oc,11,TRUE)*boc_rr_oc_lop+AN23*VLOOKUP(AE24,boc_trpr_oc,11,TRUE)*boc_rr_oc_lov+AO23*VLOOKUP(AE24,boc_trpr_oc,11,TRUE)*boc_rr_oc_np</f>
        <v>2.0616329158502865E-4</v>
      </c>
      <c r="AR24" s="260">
        <f>AP23*(1-VLOOKUP(AE24,boc_trpr_bc_death,20,TRUE))+AQ23*(1-VLOOKUP(AE24,boc_trpr_oc_death,20,TRUE))+AR23*(1-VLOOKUP(AE24,mortt,2,FALSE)*boc_rr_death_pc)</f>
        <v>3.2267293897220099E-2</v>
      </c>
      <c r="AS24" s="260">
        <f>AS23+SUM(AF23:AO23)*VLOOKUP(AE24,mortt,2,FALSE)+AP23*VLOOKUP(AE24,boc_trpr_bc_death,20,TRUE)+AQ23*VLOOKUP(AE24,boc_trpr_bc_death,20,TRUE)+AR23*VLOOKUP(AE24,mortt,2,FALSE)*boc_rr_death_pc</f>
        <v>8.3868909979738268E-2</v>
      </c>
      <c r="AT24" s="260">
        <f t="shared" si="23"/>
        <v>1.0000005840253132</v>
      </c>
      <c r="AU24" s="118">
        <f>(boc_cost_mast*SUM(AI24,AK24,AM24)*(boc_tr_mast_path+boc_tr_both_path)+SUM(AJ24,AL24,AN24)*(boc_tr_mast_vus+boc_tr_both_vus)+AP24*boc_cost_bc+AQ24*boc_cost_oc+AR24*boc_cost_pc+(AP24*VLOOKUP(AE24,boc_trpr_bc_death,20,TRUE)+AQ24*VLOOKUP(AE24,boc_trpr_oc_death,TRUE)*boc_cost_death))/((1+discount)^AD24)</f>
        <v>728.40289104489023</v>
      </c>
      <c r="AV24" s="35">
        <f t="shared" si="3"/>
        <v>0.50910832124544769</v>
      </c>
      <c r="AW24" s="35">
        <f t="shared" si="4"/>
        <v>0.53813046214752902</v>
      </c>
      <c r="AY24" s="12">
        <v>18</v>
      </c>
      <c r="AZ24" s="12">
        <f t="shared" si="5"/>
        <v>63</v>
      </c>
      <c r="BA24" s="260">
        <f>BA23*(1-VLOOKUP(AZ24,boc_trpr_bc,11,TRUE)*boc_rr_bc_mast-VLOOKUP(AZ24,boc_trpr_oc,11,TRUE)*boc_rr_oc_mast-VLOOKUP(AZ24,mortt,2,FALSE))</f>
        <v>9.1030825341397552E-3</v>
      </c>
      <c r="BB24" s="260">
        <f>BB23*(1-VLOOKUP(AZ24,boc_trpr_bc,11,TRUE)*boc_rr_bc_ooph-VLOOKUP(AZ24,boc_trpr_oc,11,TRUE)*boc_rr_oc_ooph-VLOOKUP(AZ24,mortt,2,FALSE))</f>
        <v>8.9878161261857659E-3</v>
      </c>
      <c r="BC24" s="260">
        <f>BC23*(1-VLOOKUP(AZ24,boc_trpr_bc,11,TRUE)*boc_rr_bc_both-VLOOKUP(AZ24,boc_trpr_oc,11,TRUE)*boc_rr_oc_both-VLOOKUP(AZ24,mortt,2,FALSE))</f>
        <v>9.1448541529423073E-3</v>
      </c>
      <c r="BD24" s="289">
        <f>BD23*(1-VLOOKUP(AZ24,boc_trpr_bc,11,TRUE)*boc_rr_bc_hip-VLOOKUP(AZ24,boc_trpr_oc,11,TRUE)*boc_rr_oc_hip-VLOOKUP(AZ24,mortt,2,FALSE))</f>
        <v>1.7592373087333124E-3</v>
      </c>
      <c r="BE24" s="289">
        <f>BE23*(1-VLOOKUP(AZ24,boc_trpr_bc,11,TRUE)*boc_rr_bc_hiv-VLOOKUP(AZ24,boc_trpr_oc,11,TRUE)*boc_rr_oc_hiv-VLOOKUP(AZ24,mortt,2,FALSE))</f>
        <v>9.0399890734382763E-3</v>
      </c>
      <c r="BF24" s="289">
        <f>BF23*(1-VLOOKUP(AZ24,boc_trpr_bc,11,TRUE)*boc_rr_bc_modp-VLOOKUP(AZ24,boc_trpr_oc,11,TRUE)*boc_rr_oc_modp-VLOOKUP(AZ24,mortt,2,FALSE))</f>
        <v>3.3990701009634526E-3</v>
      </c>
      <c r="BG24" s="289">
        <f>BG23*(1-VLOOKUP(AZ24,boc_trpr_bc,11,TRUE)*boc_rr_bc_modv-VLOOKUP(AZ24,boc_trpr_oc,11,TRUE)*boc_rr_oc_modv-VLOOKUP(AZ24,mortt,2,FALSE))</f>
        <v>1.1494144192306743E-2</v>
      </c>
      <c r="BH24" s="289">
        <f>BH23*(1-VLOOKUP(AZ24,boc_trpr_bc,11,TRUE)*boc_rr_bc_lop-VLOOKUP(AZ24,boc_trpr_oc,11,TRUE)*boc_rr_oc_lop-VLOOKUP(AZ24,mortt,2,FALSE))</f>
        <v>8.5942549658321664E-4</v>
      </c>
      <c r="BI24" s="289">
        <f>BI23*(1-VLOOKUP(AZ24,boc_trpr_bc,11,TRUE)*boc_rr_bc_lov-VLOOKUP(AZ24,boc_trpr_oc,11,TRUE)*boc_rr_oc_lov-VLOOKUP(AZ24,mortt,2,FALSE))</f>
        <v>2.5162856328753494E-3</v>
      </c>
      <c r="BJ24" s="260">
        <f>BJ23*(1-VLOOKUP(AZ24,boc_trpr_bc,11,TRUE)*boc_rr_bc_np-VLOOKUP(AZ24,boc_trpr_oc,11,TRUE)*boc_rr_oc_np-VLOOKUP(AZ24,mortt,2,FALSE))</f>
        <v>0.82237326366034402</v>
      </c>
      <c r="BK24" s="260">
        <f>BA23*VLOOKUP(AZ24,boc_trpr_bc,11,TRUE)*boc_rr_bc_mast+BB23*VLOOKUP(AZ24,boc_trpr_bc,11,TRUE)*boc_rr_bc_ooph+BC23*VLOOKUP(AZ24,boc_trpr_bc,11,TRUE)*boc_rr_bc_both+BD23*VLOOKUP(AZ24,boc_trpr_bc,11,TRUE)*boc_rr_bc_hip+BE23*VLOOKUP(AZ24,boc_trpr_bc,11,TRUE)*boc_rr_bc_hiv+BF23*VLOOKUP(AZ24,boc_trpr_bc,11,TRUE)*boc_rr_bc_modp+BG23*VLOOKUP(AZ24,boc_trpr_bc,11,TRUE)*boc_rr_bc_modv+BH23*VLOOKUP(AZ24,boc_trpr_bc,11,TRUE)*boc_rr_bc_lop+BI23*VLOOKUP(AZ24,boc_trpr_bc,11,TRUE)*boc_rr_bc_lov+BJ23*VLOOKUP(AZ24,boc_trpr_bc,11,TRUE)*boc_rr_bc_np</f>
        <v>2.3879474073147033E-3</v>
      </c>
      <c r="BL24" s="260">
        <f>BA23*VLOOKUP(AZ24,boc_trpr_oc,11,TRUE)*boc_rr_oc_mast+BB23*VLOOKUP(AZ24,boc_trpr_oc,11,TRUE)*boc_rr_oc_ooph+BC23*VLOOKUP(AZ24,boc_trpr_oc,11,TRUE)*boc_rr_oc_both+BD23*VLOOKUP(AZ24,boc_trpr_oc,11,TRUE)*boc_rr_oc_hip+BE23*VLOOKUP(AZ24,boc_trpr_oc,11,TRUE)*boc_rr_oc_hiv+BF23*VLOOKUP(AZ24,boc_trpr_oc,11,TRUE)*boc_rr_oc_modp+BG23*VLOOKUP(AZ24,boc_trpr_oc,11,TRUE)*boc_rr_oc_modv+BH23*VLOOKUP(AZ24,boc_trpr_oc,11,TRUE)*boc_rr_oc_lop+BI23*VLOOKUP(AZ24,boc_trpr_oc,11,TRUE)*boc_rr_oc_lov+BJ23*VLOOKUP(AZ24,boc_trpr_oc,11,TRUE)*boc_rr_oc_np</f>
        <v>2.1980259203060394E-4</v>
      </c>
      <c r="BM24" s="260">
        <f>BK23*(1-VLOOKUP(AZ24,boc_trpr_bc_death,20,TRUE))+BL23*(1-VLOOKUP(AZ24,boc_trpr_oc_death,20,TRUE))+BM23*(1-VLOOKUP(AZ24,mortt,2,FALSE)*boc_rr_death_pc)</f>
        <v>3.4805217896808419E-2</v>
      </c>
      <c r="BN24" s="260">
        <f>BN23+SUM(BA23:BJ23)*VLOOKUP(AZ24,mortt,2,FALSE)+BK23*VLOOKUP(AZ24,boc_trpr_bc_death,20,TRUE)+BL23*VLOOKUP(AZ24,boc_trpr_bc_death,20,TRUE)+BM23*VLOOKUP(AZ24,mortt,2,FALSE)*boc_rr_death_pc</f>
        <v>8.391049021104896E-2</v>
      </c>
      <c r="BO24" s="260">
        <f t="shared" si="24"/>
        <v>1.0000006263857149</v>
      </c>
      <c r="BP24" s="118">
        <f>(boc_cost_mast*SUM(BD24,BF24,BH24)*(boc_tr_mast_path+boc_tr_both_path)+SUM(BE24,BG24,BI24)*(boc_tr_mast_vus+boc_tr_both_vus)+BK24*boc_cost_bc+BL24*boc_cost_oc+BM24*boc_cost_pc+(BK24*VLOOKUP(AZ24,boc_trpr_bc_death,20,TRUE)+BL24*VLOOKUP(AZ24,boc_trpr_oc_death,TRUE)*boc_cost_death))/((1+discount)^AY24)</f>
        <v>801.62230636854599</v>
      </c>
      <c r="BQ24" s="35">
        <f t="shared" si="6"/>
        <v>0.50861474319079336</v>
      </c>
      <c r="BR24" s="35">
        <f t="shared" si="7"/>
        <v>0.5381060381438737</v>
      </c>
      <c r="BS24" s="35"/>
      <c r="BU24" s="33">
        <v>38</v>
      </c>
      <c r="BV24" t="str">
        <f>$M$39</f>
        <v>boc_find_mod</v>
      </c>
      <c r="BW24" s="307">
        <f>$F$39</f>
        <v>0.39892183280000004</v>
      </c>
      <c r="BX24" s="307">
        <f>$G$39</f>
        <v>0.59838274920000001</v>
      </c>
      <c r="BY24" s="311">
        <v>-2.80883969568049</v>
      </c>
      <c r="BZ24" s="311">
        <v>-12.268547174155628</v>
      </c>
      <c r="CA24" s="311">
        <f t="shared" ref="CA24:CA55" si="25">ABS(BY24-BZ24)</f>
        <v>9.4597074784751385</v>
      </c>
      <c r="CD24" s="138">
        <v>19</v>
      </c>
      <c r="CE24" s="291">
        <v>3.4099999999999999E-4</v>
      </c>
      <c r="CH24" s="12">
        <v>19</v>
      </c>
      <c r="CI24" s="12" t="s">
        <v>302</v>
      </c>
      <c r="CJ24" s="376">
        <v>1.5</v>
      </c>
      <c r="CK24" s="260">
        <f>CJ24/100000</f>
        <v>1.5E-5</v>
      </c>
      <c r="CL24" s="289">
        <f>1-EXP(-CK24)</f>
        <v>1.4999887500533049E-5</v>
      </c>
      <c r="CM24" s="289">
        <f>1-EXP(-(CK24-z*(SQRT((CK24*(1-CK24))/100000))))</f>
        <v>-9.0044188865157082E-6</v>
      </c>
      <c r="CN24" s="289">
        <f>1-EXP(-(CK24+z*(SQRT((CK24*(1-CK24))/100000))))</f>
        <v>3.9003617686050873E-5</v>
      </c>
      <c r="CO24" s="290">
        <f>CL24^2*(1-CL24)/((CN24-CM24)/(2*z))^2-CL24</f>
        <v>1.5000075001792261</v>
      </c>
      <c r="CP24" s="290">
        <f>(CL24^2*(1-CL24)/((CN24-CM24)/(2*z))^2-CL24)*(1-CL24)/CL24</f>
        <v>99999.750010269665</v>
      </c>
      <c r="CQ24" s="289">
        <f ca="1">_xlfn.BETA.INV(RAND(),CO24,CP24)</f>
        <v>1.5068072848197317E-6</v>
      </c>
      <c r="CR24" s="289">
        <f>IF(psa,CQ24,CL24)</f>
        <v>1.4999887500533049E-5</v>
      </c>
      <c r="CS24" s="373">
        <v>0.1</v>
      </c>
      <c r="CT24" s="260">
        <f>CS24/100000</f>
        <v>9.9999999999999995E-7</v>
      </c>
      <c r="CU24" s="289">
        <f>1-EXP(-CT24)</f>
        <v>9.9999949998430537E-7</v>
      </c>
      <c r="CV24" s="289">
        <f>1-EXP(-(CT24-z*(SQRT((CT24*(1-CT24))/100000))))</f>
        <v>-5.1979607333940692E-6</v>
      </c>
      <c r="CW24" s="289">
        <f>1-EXP(-(CT24+z*(SQRT((CT24*(1-CT24))/100000))))</f>
        <v>7.1979213188688718E-6</v>
      </c>
      <c r="CX24" s="290">
        <f>CU24^2*(1-CU24)/((CW24-CV24)/(2*z))^2-CU24</f>
        <v>9.9999099997245128E-2</v>
      </c>
      <c r="CY24" s="290">
        <f>(CU24^2*(1-CU24)/((CW24-CV24)/(2*z))^2-CU24)*(1-CU24)/CU24</f>
        <v>99999.049999289578</v>
      </c>
      <c r="CZ24" s="289">
        <v>0</v>
      </c>
      <c r="DA24" s="289">
        <f>IF(psa,CZ24,CU24)</f>
        <v>9.9999949998430537E-7</v>
      </c>
    </row>
    <row r="25" spans="17:105" ht="15" customHeight="1" x14ac:dyDescent="0.2">
      <c r="Q25" s="11"/>
      <c r="S25" s="11"/>
      <c r="AD25" s="12">
        <v>19</v>
      </c>
      <c r="AE25" s="12">
        <f t="shared" si="2"/>
        <v>64</v>
      </c>
      <c r="AF25" s="260">
        <f>AF24*(1-VLOOKUP(AE25,boc_trpr_bc,11,TRUE)*boc_rr_bc_mast-VLOOKUP(AE25,boc_trpr_oc,11,TRUE)*boc_rr_oc_mast-VLOOKUP(AE25,mortt,2,FALSE))+SUM(AI24,AK24,AM24)*boc_tr_mast_path+SUM(AJ24,AL24,AN24)*boc_tr_mast_vus</f>
        <v>1.9524935782489924E-2</v>
      </c>
      <c r="AG25" s="260">
        <f>AG24*(1-VLOOKUP(AE25,boc_trpr_bc,11,TRUE)*boc_rr_bc_ooph-VLOOKUP(AE25,boc_trpr_oc,11,TRUE)*boc_rr_oc_ooph-VLOOKUP(AE25,mortt,2,FALSE))+SUM(AI24,AK24,AM24)*boc_tr_ooph_path+SUM(AJ24,AL24,AN24)*boc_tr_ooph_vus</f>
        <v>1.8871748529040385E-2</v>
      </c>
      <c r="AH25" s="260">
        <f>AH24*(1-VLOOKUP(AE25,boc_trpr_bc,11,TRUE)*boc_rr_bc_both-VLOOKUP(AE25,boc_trpr_oc,11,TRUE)*boc_rr_oc_both-VLOOKUP(AE25,mortt,2,FALSE))+SUM(AI24,AK24,AM24)*boc_tr_both_path+SUM(AJ24,AL24,AN24)*boc_tr_both_vus</f>
        <v>1.9112670377554097E-2</v>
      </c>
      <c r="AI25" s="289">
        <f>AI24*(1-VLOOKUP(AE25,boc_trpr_bc,11,TRUE)*boc_rr_bc_hip-VLOOKUP(AE25,boc_trpr_oc,11,TRUE)*boc_rr_oc_hip-boc_tr_mast_path-boc_tr_ooph_path-boc_tr_both_path-VLOOKUP(AE25,mortt,2,FALSE))</f>
        <v>4.2856651581408026E-16</v>
      </c>
      <c r="AJ25" s="289">
        <f>AJ24*(1-VLOOKUP(AE25,boc_trpr_bc,11,TRUE)*boc_rr_bc_hiv-VLOOKUP(AE25,boc_trpr_oc,11,TRUE)*boc_rr_oc_hiv-boc_tr_mast_vus-boc_tr_ooph_vus-boc_tr_both_vus-VLOOKUP(AE25,mortt,2,FALSE))</f>
        <v>3.8015817237894262E-4</v>
      </c>
      <c r="AK25" s="289">
        <f>AK24*(1-VLOOKUP(AE25,boc_trpr_bc,11,TRUE)*boc_rr_bc_modp-VLOOKUP(AE25,boc_trpr_oc,11,TRUE)*boc_rr_oc_modp-boc_tr_mast_path-boc_tr_ooph_path-boc_tr_both_path-VLOOKUP(AE25,mortt,2,FALSE))</f>
        <v>4.1158480306617987E-15</v>
      </c>
      <c r="AL25" s="289">
        <f>AL24*(1-VLOOKUP(AE25,boc_trpr_bc,11,TRUE)*boc_rr_bc_modv-VLOOKUP(AE25,boc_trpr_oc,11,TRUE)*boc_rr_oc_modv-boc_tr_mast_vus-boc_tr_ooph_vus-boc_tr_both_vus-VLOOKUP(AE25,mortt,2,FALSE))</f>
        <v>4.833626250773152E-4</v>
      </c>
      <c r="AM25" s="289">
        <f>AM24*(1-VLOOKUP(AE25,boc_trpr_bc,11,TRUE)*boc_rr_bc_lop-VLOOKUP(AE25,boc_trpr_oc,11,TRUE)*boc_rr_oc_lop-boc_tr_mast_path-boc_tr_ooph_path-boc_tr_both_path-VLOOKUP(AE25,mortt,2,FALSE))</f>
        <v>1.7365696708268576E-15</v>
      </c>
      <c r="AN25" s="289">
        <f>AN24*(1-VLOOKUP(AE25,boc_trpr_bc,11,TRUE)*boc_rr_bc_lov-VLOOKUP(AE25,boc_trpr_oc,11,TRUE)*boc_rr_oc_lov-boc_tr_mast_vus-boc_tr_ooph_vus-boc_tr_both_vus-VLOOKUP(AE25,mortt,2,FALSE))</f>
        <v>1.0581722384908318E-4</v>
      </c>
      <c r="AO25" s="260">
        <f>AO24*(1-VLOOKUP(AE25,boc_trpr_bc,11,TRUE)*boc_rr_bc_np-VLOOKUP(AE25,boc_trpr_oc,11,TRUE)*boc_rr_oc_np-VLOOKUP(AE25,mortt,2,FALSE))</f>
        <v>0.81195689341632793</v>
      </c>
      <c r="AP25" s="260">
        <f>AF24*VLOOKUP(AE25,boc_trpr_bc,11,TRUE)*boc_rr_bc_mast+AG24*VLOOKUP(AE25,boc_trpr_bc,11,TRUE)*boc_rr_bc_ooph+AH24*VLOOKUP(AE25,boc_trpr_bc,11,TRUE)*boc_rr_bc_both+AI24*VLOOKUP(AE25,boc_trpr_bc,11,TRUE)*boc_rr_bc_hip+AJ24*VLOOKUP(AE25,boc_trpr_bc,11,TRUE)*boc_rr_bc_hiv+AK24*VLOOKUP(AE25,boc_trpr_bc,11,TRUE)*boc_rr_bc_modp+AL24*VLOOKUP(AE25,boc_trpr_bc,11,TRUE)*boc_rr_bc_modv+AM24*VLOOKUP(AE25,boc_trpr_bc,11,TRUE)*boc_rr_bc_lop+AN24*VLOOKUP(AE25,boc_trpr_bc,11,TRUE)*boc_rr_bc_lov+AO24*VLOOKUP(AE25,boc_trpr_bc,11,TRUE)*boc_rr_bc_np</f>
        <v>2.8268349899960477E-3</v>
      </c>
      <c r="AQ25" s="260">
        <f>AF24*VLOOKUP(AE25,boc_trpr_oc,11,TRUE)*boc_rr_oc_mast+AG24*VLOOKUP(AE25,boc_trpr_oc,11,TRUE)*boc_rr_oc_ooph+AH24*VLOOKUP(AE25,boc_trpr_oc,11,TRUE)*boc_rr_oc_both+AI24*VLOOKUP(AE25,boc_trpr_oc,11,TRUE)*boc_rr_oc_hip+AJ24*VLOOKUP(AE25,boc_trpr_oc,11,TRUE)*boc_rr_oc_hiv+AK24*VLOOKUP(AE25,boc_trpr_oc,11,TRUE)*boc_rr_oc_modp+AL24*VLOOKUP(AE25,boc_trpr_oc,11,TRUE)*boc_rr_oc_modv+AM24*VLOOKUP(AE25,boc_trpr_oc,11,TRUE)*boc_rr_oc_lop+AN24*VLOOKUP(AE25,boc_trpr_oc,11,TRUE)*boc_rr_oc_lov+AO24*VLOOKUP(AE25,boc_trpr_oc,11,TRUE)*boc_rr_oc_np</f>
        <v>2.4714628041104048E-4</v>
      </c>
      <c r="AR25" s="260">
        <f>AP24*(1-VLOOKUP(AE25,boc_trpr_bc_death,20,TRUE))+AQ24*(1-VLOOKUP(AE25,boc_trpr_oc_death,20,TRUE))+AR24*(1-VLOOKUP(AE25,mortt,2,FALSE)*boc_rr_death_pc)</f>
        <v>3.4257023246954246E-2</v>
      </c>
      <c r="AS25" s="260">
        <f>AS24+SUM(AF24:AO24)*VLOOKUP(AE25,mortt,2,FALSE)+AP24*VLOOKUP(AE25,boc_trpr_bc_death,20,TRUE)+AQ24*VLOOKUP(AE25,boc_trpr_bc_death,20,TRUE)+AR24*VLOOKUP(AE25,mortt,2,FALSE)*boc_rr_death_pc</f>
        <v>9.223406139130684E-2</v>
      </c>
      <c r="AT25" s="260">
        <f t="shared" si="23"/>
        <v>1.0000006520353921</v>
      </c>
      <c r="AU25" s="118">
        <f>(boc_cost_mast*SUM(AI25,AK25,AM25)*(boc_tr_mast_path+boc_tr_both_path)+SUM(AJ25,AL25,AN25)*(boc_tr_mast_vus+boc_tr_both_vus)+AP25*boc_cost_bc+AQ25*boc_cost_oc+AR25*boc_cost_pc+(AP25*VLOOKUP(AE25,boc_trpr_bc_death,20,TRUE)+AQ25*VLOOKUP(AE25,boc_trpr_oc_death,TRUE)*boc_cost_death))/((1+discount)^AD25)</f>
        <v>881.4898610091808</v>
      </c>
      <c r="AV25" s="35">
        <f t="shared" si="3"/>
        <v>0.48958015668661298</v>
      </c>
      <c r="AW25" s="35">
        <f t="shared" si="4"/>
        <v>0.51768623040434947</v>
      </c>
      <c r="AY25" s="12">
        <v>19</v>
      </c>
      <c r="AZ25" s="12">
        <f t="shared" si="5"/>
        <v>64</v>
      </c>
      <c r="BA25" s="260">
        <f>BA24*(1-VLOOKUP(AZ25,boc_trpr_bc,11,TRUE)*boc_rr_bc_mast-VLOOKUP(AZ25,boc_trpr_oc,11,TRUE)*boc_rr_oc_mast-VLOOKUP(AZ25,mortt,2,FALSE))</f>
        <v>9.0154746038288124E-3</v>
      </c>
      <c r="BB25" s="260">
        <f>BB24*(1-VLOOKUP(AZ25,boc_trpr_bc,11,TRUE)*boc_rr_bc_ooph-VLOOKUP(AZ25,boc_trpr_oc,11,TRUE)*boc_rr_oc_ooph-VLOOKUP(AZ25,mortt,2,FALSE))</f>
        <v>8.8910578550510898E-3</v>
      </c>
      <c r="BC25" s="260">
        <f>BC24*(1-VLOOKUP(AZ25,boc_trpr_bc,11,TRUE)*boc_rr_bc_both-VLOOKUP(AZ25,boc_trpr_oc,11,TRUE)*boc_rr_oc_both-VLOOKUP(AZ25,mortt,2,FALSE))</f>
        <v>9.0606248617517721E-3</v>
      </c>
      <c r="BD25" s="289">
        <f>BD24*(1-VLOOKUP(AZ25,boc_trpr_bc,11,TRUE)*boc_rr_bc_hip-VLOOKUP(AZ25,boc_trpr_oc,11,TRUE)*boc_rr_oc_hip-VLOOKUP(AZ25,mortt,2,FALSE))</f>
        <v>1.6465344543481687E-3</v>
      </c>
      <c r="BE25" s="289">
        <f>BE24*(1-VLOOKUP(AZ25,boc_trpr_bc,11,TRUE)*boc_rr_bc_hiv-VLOOKUP(AZ25,boc_trpr_oc,11,TRUE)*boc_rr_oc_hiv-VLOOKUP(AZ25,mortt,2,FALSE))</f>
        <v>8.9221676885171946E-3</v>
      </c>
      <c r="BF25" s="289">
        <f>BF24*(1-VLOOKUP(AZ25,boc_trpr_bc,11,TRUE)*boc_rr_bc_modp-VLOOKUP(AZ25,boc_trpr_oc,11,TRUE)*boc_rr_oc_modp-VLOOKUP(AZ25,mortt,2,FALSE))</f>
        <v>3.3061015970654449E-3</v>
      </c>
      <c r="BG25" s="289">
        <f>BG24*(1-VLOOKUP(AZ25,boc_trpr_bc,11,TRUE)*boc_rr_bc_modv-VLOOKUP(AZ25,boc_trpr_oc,11,TRUE)*boc_rr_oc_modv-VLOOKUP(AZ25,mortt,2,FALSE))</f>
        <v>1.1344336933003815E-2</v>
      </c>
      <c r="BH25" s="289">
        <f>BH24*(1-VLOOKUP(AZ25,boc_trpr_bc,11,TRUE)*boc_rr_bc_lop-VLOOKUP(AZ25,boc_trpr_oc,11,TRUE)*boc_rr_oc_lop-VLOOKUP(AZ25,mortt,2,FALSE))</f>
        <v>8.4696223914114887E-4</v>
      </c>
      <c r="BI25" s="289">
        <f>BI24*(1-VLOOKUP(AZ25,boc_trpr_bc,11,TRUE)*boc_rr_bc_lov-VLOOKUP(AZ25,boc_trpr_oc,11,TRUE)*boc_rr_oc_lov-VLOOKUP(AZ25,mortt,2,FALSE))</f>
        <v>2.4834899894609669E-3</v>
      </c>
      <c r="BJ25" s="260">
        <f>BJ24*(1-VLOOKUP(AZ25,boc_trpr_bc,11,TRUE)*boc_rr_bc_np-VLOOKUP(AZ25,boc_trpr_oc,11,TRUE)*boc_rr_oc_np-VLOOKUP(AZ25,mortt,2,FALSE))</f>
        <v>0.81195689341632793</v>
      </c>
      <c r="BK25" s="260">
        <f>BA24*VLOOKUP(AZ25,boc_trpr_bc,11,TRUE)*boc_rr_bc_mast+BB24*VLOOKUP(AZ25,boc_trpr_bc,11,TRUE)*boc_rr_bc_ooph+BC24*VLOOKUP(AZ25,boc_trpr_bc,11,TRUE)*boc_rr_bc_both+BD24*VLOOKUP(AZ25,boc_trpr_bc,11,TRUE)*boc_rr_bc_hip+BE24*VLOOKUP(AZ25,boc_trpr_bc,11,TRUE)*boc_rr_bc_hiv+BF24*VLOOKUP(AZ25,boc_trpr_bc,11,TRUE)*boc_rr_bc_modp+BG24*VLOOKUP(AZ25,boc_trpr_bc,11,TRUE)*boc_rr_bc_modv+BH24*VLOOKUP(AZ25,boc_trpr_bc,11,TRUE)*boc_rr_bc_lop+BI24*VLOOKUP(AZ25,boc_trpr_bc,11,TRUE)*boc_rr_bc_lov+BJ24*VLOOKUP(AZ25,boc_trpr_bc,11,TRUE)*boc_rr_bc_np</f>
        <v>3.0366796306032229E-3</v>
      </c>
      <c r="BL25" s="260">
        <f>BA24*VLOOKUP(AZ25,boc_trpr_oc,11,TRUE)*boc_rr_oc_mast+BB24*VLOOKUP(AZ25,boc_trpr_oc,11,TRUE)*boc_rr_oc_ooph+BC24*VLOOKUP(AZ25,boc_trpr_oc,11,TRUE)*boc_rr_oc_both+BD24*VLOOKUP(AZ25,boc_trpr_oc,11,TRUE)*boc_rr_oc_hip+BE24*VLOOKUP(AZ25,boc_trpr_oc,11,TRUE)*boc_rr_oc_hiv+BF24*VLOOKUP(AZ25,boc_trpr_oc,11,TRUE)*boc_rr_oc_modp+BG24*VLOOKUP(AZ25,boc_trpr_oc,11,TRUE)*boc_rr_oc_modv+BH24*VLOOKUP(AZ25,boc_trpr_oc,11,TRUE)*boc_rr_oc_lop+BI24*VLOOKUP(AZ25,boc_trpr_oc,11,TRUE)*boc_rr_oc_lov+BJ24*VLOOKUP(AZ25,boc_trpr_oc,11,TRUE)*boc_rr_oc_np</f>
        <v>2.631438807474598E-4</v>
      </c>
      <c r="BM25" s="260">
        <f>BK24*(1-VLOOKUP(AZ25,boc_trpr_bc_death,20,TRUE))+BL24*(1-VLOOKUP(AZ25,boc_trpr_oc_death,20,TRUE))+BM24*(1-VLOOKUP(AZ25,mortt,2,FALSE)*boc_rr_death_pc)</f>
        <v>3.6942088357665201E-2</v>
      </c>
      <c r="BN25" s="260">
        <f>BN24+SUM(BA24:BJ24)*VLOOKUP(AZ25,mortt,2,FALSE)+BK24*VLOOKUP(AZ25,boc_trpr_bc_death,20,TRUE)+BL24*VLOOKUP(AZ25,boc_trpr_bc_death,20,TRUE)+BM24*VLOOKUP(AZ25,mortt,2,FALSE)*boc_rr_death_pc</f>
        <v>9.2285143387675642E-2</v>
      </c>
      <c r="BO25" s="260">
        <f t="shared" si="24"/>
        <v>1.0000006988951879</v>
      </c>
      <c r="BP25" s="118">
        <f>(boc_cost_mast*SUM(BD25,BF25,BH25)*(boc_tr_mast_path+boc_tr_both_path)+SUM(BE25,BG25,BI25)*(boc_tr_mast_vus+boc_tr_both_vus)+BK25*boc_cost_bc+BL25*boc_cost_oc+BM25*boc_cost_pc+(BK25*VLOOKUP(AZ25,boc_trpr_bc_death,20,TRUE)+BL25*VLOOKUP(AZ25,boc_trpr_oc_death,TRUE)*boc_cost_death))/((1+discount)^AY25)</f>
        <v>962.60555750984872</v>
      </c>
      <c r="BQ25" s="35">
        <f t="shared" si="6"/>
        <v>0.48909047904570929</v>
      </c>
      <c r="BR25" s="35">
        <f t="shared" si="7"/>
        <v>0.51765709905559865</v>
      </c>
      <c r="BS25" s="35"/>
      <c r="BU25" s="33">
        <v>31</v>
      </c>
      <c r="BV25" t="str">
        <f>$M$44</f>
        <v>boc_path_high_path</v>
      </c>
      <c r="BW25" s="35">
        <f>$F$44</f>
        <v>7.5314916800000006E-2</v>
      </c>
      <c r="BX25" s="35">
        <f>$G$44</f>
        <v>0.11297237519999999</v>
      </c>
      <c r="BY25" s="311">
        <v>-11.860100388342289</v>
      </c>
      <c r="BZ25" s="311">
        <v>-3.2700075559973811</v>
      </c>
      <c r="CA25" s="311">
        <f t="shared" si="25"/>
        <v>8.5900928323449079</v>
      </c>
      <c r="CD25" s="138">
        <v>20</v>
      </c>
      <c r="CE25" s="291">
        <v>3.77E-4</v>
      </c>
      <c r="CH25" s="12">
        <v>24</v>
      </c>
      <c r="CI25" s="12" t="s">
        <v>303</v>
      </c>
      <c r="CJ25" s="376">
        <v>1.8</v>
      </c>
      <c r="CK25" s="260">
        <f t="shared" ref="CK25:CK38" si="26">CJ25/100000</f>
        <v>1.8E-5</v>
      </c>
      <c r="CL25" s="289">
        <f t="shared" ref="CL25:CL38" si="27">1-EXP(-CK25)</f>
        <v>1.7999838000992696E-5</v>
      </c>
      <c r="CM25" s="289">
        <f t="shared" ref="CM25:CM38" si="28">1-EXP(-(CK25-z*(SQRT((CK25*(1-CK25))/100000))))</f>
        <v>-8.2954739624163665E-6</v>
      </c>
      <c r="CN25" s="289">
        <f t="shared" ref="CN25:CN38" si="29">1-EXP(-(CK25+z*(SQRT((CK25*(1-CK25))/100000))))</f>
        <v>4.4294458526605851E-5</v>
      </c>
      <c r="CO25" s="290">
        <f t="shared" ref="CO25:CO38" si="30">CL25^2*(1-CL25)/((CN25-CM25)/(2*z))^2-CL25</f>
        <v>1.800014400384923</v>
      </c>
      <c r="CP25" s="290">
        <f t="shared" ref="CP25:CP38" si="31">(CL25^2*(1-CL25)/((CN25-CM25)/(2*z))^2-CL25)*(1-CL25)/CL25</f>
        <v>99999.900016769432</v>
      </c>
      <c r="CQ25" s="289">
        <f t="shared" ref="CQ25:CQ38" ca="1" si="32">_xlfn.BETA.INV(RAND(),CO25,CP25)</f>
        <v>1.526417747699238E-5</v>
      </c>
      <c r="CR25" s="289">
        <f>IF(psa,CQ25,CL25)</f>
        <v>1.7999838000992696E-5</v>
      </c>
      <c r="CS25" s="373">
        <v>0.2</v>
      </c>
      <c r="CT25" s="260">
        <f t="shared" ref="CT25:CT38" si="33">CS25/100000</f>
        <v>1.9999999999999999E-6</v>
      </c>
      <c r="CU25" s="289">
        <f t="shared" ref="CU25:CU38" si="34">1-EXP(-CT25)</f>
        <v>1.9999979999907325E-6</v>
      </c>
      <c r="CV25" s="289">
        <f t="shared" ref="CV25:CV38" si="35">1-EXP(-(CT25-z*(SQRT((CT25*(1-CT25))/100000))))</f>
        <v>-6.7652395245865193E-6</v>
      </c>
      <c r="CW25" s="289">
        <f t="shared" ref="CW25:CW38" si="36">1-EXP(-(CT25+z*(SQRT((CT25*(1-CT25))/100000))))</f>
        <v>1.0765158695802413E-5</v>
      </c>
      <c r="CX25" s="290">
        <f t="shared" ref="CX25:CX38" si="37">CU25^2*(1-CU25)/((CW25-CV25)/(2*z))^2-CU25</f>
        <v>0.19999839999736069</v>
      </c>
      <c r="CY25" s="290">
        <f t="shared" ref="CY25:CY38" si="38">(CU25^2*(1-CU25)/((CW25-CV25)/(2*z))^2-CU25)*(1-CU25)/CU25</f>
        <v>99999.10000004372</v>
      </c>
      <c r="CZ25" s="289">
        <f t="shared" ref="CZ25:CZ38" ca="1" si="39">_xlfn.BETA.INV(RAND(),CX25,CY25)</f>
        <v>3.2275167782813696E-7</v>
      </c>
      <c r="DA25" s="289">
        <f>IF(psa,CZ25,CU25)</f>
        <v>1.9999979999907325E-6</v>
      </c>
    </row>
    <row r="26" spans="17:105" ht="15" customHeight="1" x14ac:dyDescent="0.2">
      <c r="Q26" s="11"/>
      <c r="S26" s="11"/>
      <c r="U26" s="9" t="s">
        <v>7</v>
      </c>
      <c r="V26" s="250">
        <f>boc_unk_int_mast*boc_test_int_vus_mast</f>
        <v>0.03</v>
      </c>
      <c r="X26" s="261">
        <f>R27*T27*V26</f>
        <v>4.0564399628914896E-4</v>
      </c>
      <c r="AD26" s="12">
        <v>20</v>
      </c>
      <c r="AE26" s="12">
        <f t="shared" si="2"/>
        <v>65</v>
      </c>
      <c r="AF26" s="260">
        <f>AF25*(1-VLOOKUP(AE26,boc_trpr_bc,11,TRUE)*boc_rr_bc_mast-VLOOKUP(AE26,boc_trpr_oc,11,TRUE)*boc_rr_oc_mast-VLOOKUP(AE26,mortt,2,FALSE))+SUM(AI25,AK25,AM25)*boc_tr_mast_path+SUM(AJ25,AL25,AN25)*boc_tr_mast_vus</f>
        <v>1.9371261315097966E-2</v>
      </c>
      <c r="AG26" s="260">
        <f>AG25*(1-VLOOKUP(AE26,boc_trpr_bc,11,TRUE)*boc_rr_bc_ooph-VLOOKUP(AE26,boc_trpr_oc,11,TRUE)*boc_rr_oc_ooph-VLOOKUP(AE26,mortt,2,FALSE))+SUM(AI25,AK25,AM25)*boc_tr_ooph_path+SUM(AJ25,AL25,AN25)*boc_tr_ooph_vus</f>
        <v>1.8703294249702112E-2</v>
      </c>
      <c r="AH26" s="260">
        <f>AH25*(1-VLOOKUP(AE26,boc_trpr_bc,11,TRUE)*boc_rr_bc_both-VLOOKUP(AE26,boc_trpr_oc,11,TRUE)*boc_rr_oc_both-VLOOKUP(AE26,mortt,2,FALSE))+SUM(AI25,AK25,AM25)*boc_tr_both_path+SUM(AJ25,AL25,AN25)*boc_tr_both_vus</f>
        <v>1.8971165612297187E-2</v>
      </c>
      <c r="AI26" s="289">
        <f>AI25*(1-VLOOKUP(AE26,boc_trpr_bc,11,TRUE)*boc_rr_bc_hip-VLOOKUP(AE26,boc_trpr_oc,11,TRUE)*boc_rr_oc_hip-boc_tr_mast_path-boc_tr_ooph_path-boc_tr_both_path-VLOOKUP(AE26,mortt,2,FALSE))</f>
        <v>7.9373743926141534E-17</v>
      </c>
      <c r="AJ26" s="289">
        <f>AJ25*(1-VLOOKUP(AE26,boc_trpr_bc,11,TRUE)*boc_rr_bc_hiv-VLOOKUP(AE26,boc_trpr_oc,11,TRUE)*boc_rr_oc_hiv-boc_tr_mast_vus-boc_tr_ooph_vus-boc_tr_both_vus-VLOOKUP(AE26,mortt,2,FALSE))</f>
        <v>3.1790257487627463E-4</v>
      </c>
      <c r="AK26" s="289">
        <f>AK25*(1-VLOOKUP(AE26,boc_trpr_bc,11,TRUE)*boc_rr_bc_modp-VLOOKUP(AE26,boc_trpr_oc,11,TRUE)*boc_rr_oc_modp-boc_tr_mast_path-boc_tr_ooph_path-boc_tr_both_path-VLOOKUP(AE26,mortt,2,FALSE))</f>
        <v>9.1338834403871712E-16</v>
      </c>
      <c r="AL26" s="289">
        <f>AL25*(1-VLOOKUP(AE26,boc_trpr_bc,11,TRUE)*boc_rr_bc_modv-VLOOKUP(AE26,boc_trpr_oc,11,TRUE)*boc_rr_oc_modv-boc_tr_mast_vus-boc_tr_ooph_vus-boc_tr_both_vus-VLOOKUP(AE26,mortt,2,FALSE))</f>
        <v>4.0420602337561476E-4</v>
      </c>
      <c r="AM26" s="289">
        <f>AM25*(1-VLOOKUP(AE26,boc_trpr_bc,11,TRUE)*boc_rr_bc_lop-VLOOKUP(AE26,boc_trpr_oc,11,TRUE)*boc_rr_oc_lop-boc_tr_mast_path-boc_tr_ooph_path-boc_tr_both_path-VLOOKUP(AE26,mortt,2,FALSE))</f>
        <v>4.0769298997218183E-16</v>
      </c>
      <c r="AN26" s="289">
        <f>AN25*(1-VLOOKUP(AE26,boc_trpr_bc,11,TRUE)*boc_rr_bc_lov-VLOOKUP(AE26,boc_trpr_oc,11,TRUE)*boc_rr_oc_lov-boc_tr_mast_vus-boc_tr_ooph_vus-boc_tr_both_vus-VLOOKUP(AE26,mortt,2,FALSE))</f>
        <v>8.8488346093874517E-5</v>
      </c>
      <c r="AO26" s="260">
        <f>AO25*(1-VLOOKUP(AE26,boc_trpr_bc,11,TRUE)*boc_rr_bc_np-VLOOKUP(AE26,boc_trpr_oc,11,TRUE)*boc_rr_oc_np-VLOOKUP(AE26,mortt,2,FALSE))</f>
        <v>0.80108054275526808</v>
      </c>
      <c r="AP26" s="260">
        <f>AF25*VLOOKUP(AE26,boc_trpr_bc,11,TRUE)*boc_rr_bc_mast+AG25*VLOOKUP(AE26,boc_trpr_bc,11,TRUE)*boc_rr_bc_ooph+AH25*VLOOKUP(AE26,boc_trpr_bc,11,TRUE)*boc_rr_bc_both+AI25*VLOOKUP(AE26,boc_trpr_bc,11,TRUE)*boc_rr_bc_hip+AJ25*VLOOKUP(AE26,boc_trpr_bc,11,TRUE)*boc_rr_bc_hiv+AK25*VLOOKUP(AE26,boc_trpr_bc,11,TRUE)*boc_rr_bc_modp+AL25*VLOOKUP(AE26,boc_trpr_bc,11,TRUE)*boc_rr_bc_modv+AM25*VLOOKUP(AE26,boc_trpr_bc,11,TRUE)*boc_rr_bc_lop+AN25*VLOOKUP(AE26,boc_trpr_bc,11,TRUE)*boc_rr_bc_lov+AO25*VLOOKUP(AE26,boc_trpr_bc,11,TRUE)*boc_rr_bc_np</f>
        <v>2.790605062956965E-3</v>
      </c>
      <c r="AQ26" s="260">
        <f>AF25*VLOOKUP(AE26,boc_trpr_oc,11,TRUE)*boc_rr_oc_mast+AG25*VLOOKUP(AE26,boc_trpr_oc,11,TRUE)*boc_rr_oc_ooph+AH25*VLOOKUP(AE26,boc_trpr_oc,11,TRUE)*boc_rr_oc_both+AI25*VLOOKUP(AE26,boc_trpr_oc,11,TRUE)*boc_rr_oc_hip+AJ25*VLOOKUP(AE26,boc_trpr_oc,11,TRUE)*boc_rr_oc_hiv+AK25*VLOOKUP(AE26,boc_trpr_oc,11,TRUE)*boc_rr_oc_modp+AL25*VLOOKUP(AE26,boc_trpr_oc,11,TRUE)*boc_rr_oc_modv+AM25*VLOOKUP(AE26,boc_trpr_oc,11,TRUE)*boc_rr_oc_lop+AN25*VLOOKUP(AE26,boc_trpr_oc,11,TRUE)*boc_rr_oc_lov+AO25*VLOOKUP(AE26,boc_trpr_oc,11,TRUE)*boc_rr_oc_np</f>
        <v>2.4400454755825311E-4</v>
      </c>
      <c r="AR26" s="260">
        <f>AP25*(1-VLOOKUP(AE26,boc_trpr_bc_death,20,TRUE))+AQ25*(1-VLOOKUP(AE26,boc_trpr_oc_death,20,TRUE))+AR25*(1-VLOOKUP(AE26,mortt,2,FALSE)*boc_rr_death_pc)</f>
        <v>3.6829830413237875E-2</v>
      </c>
      <c r="AS26" s="260">
        <f>AS25+SUM(AF25:AO25)*VLOOKUP(AE26,mortt,2,FALSE)+AP25*VLOOKUP(AE26,boc_trpr_bc_death,20,TRUE)+AQ25*VLOOKUP(AE26,boc_trpr_bc_death,20,TRUE)+AR25*VLOOKUP(AE26,mortt,2,FALSE)*boc_rr_death_pc</f>
        <v>0.10119943266465906</v>
      </c>
      <c r="AT26" s="260">
        <f t="shared" si="23"/>
        <v>1.0000007335651246</v>
      </c>
      <c r="AU26" s="118">
        <f>(boc_cost_mast*SUM(AI26,AK26,AM26)*(boc_tr_mast_path+boc_tr_both_path)+SUM(AJ26,AL26,AN26)*(boc_tr_mast_vus+boc_tr_both_vus)+AP26*boc_cost_bc+AQ26*boc_cost_oc+AR26*boc_cost_pc+(AP26*VLOOKUP(AE26,boc_trpr_bc_death,20,TRUE)+AQ26*VLOOKUP(AE26,boc_trpr_oc_death,TRUE)*boc_cost_death))/((1+discount)^AD26)</f>
        <v>857.8123559799011</v>
      </c>
      <c r="AV26" s="35">
        <f t="shared" si="3"/>
        <v>0.47046656877621806</v>
      </c>
      <c r="AW26" s="35">
        <f t="shared" si="4"/>
        <v>0.49764408198250065</v>
      </c>
      <c r="AY26" s="12">
        <v>20</v>
      </c>
      <c r="AZ26" s="12">
        <f t="shared" si="5"/>
        <v>65</v>
      </c>
      <c r="BA26" s="260">
        <f>BA25*(1-VLOOKUP(AZ26,boc_trpr_bc,11,TRUE)*boc_rr_bc_mast-VLOOKUP(AZ26,boc_trpr_oc,11,TRUE)*boc_rr_oc_mast-VLOOKUP(AZ26,mortt,2,FALSE))</f>
        <v>8.9221375299441529E-3</v>
      </c>
      <c r="BB26" s="260">
        <f>BB25*(1-VLOOKUP(AZ26,boc_trpr_bc,11,TRUE)*boc_rr_bc_ooph-VLOOKUP(AZ26,boc_trpr_oc,11,TRUE)*boc_rr_oc_ooph-VLOOKUP(AZ26,mortt,2,FALSE))</f>
        <v>8.7888596532257543E-3</v>
      </c>
      <c r="BC26" s="260">
        <f>BC25*(1-VLOOKUP(AZ26,boc_trpr_bc,11,TRUE)*boc_rr_bc_both-VLOOKUP(AZ26,boc_trpr_oc,11,TRUE)*boc_rr_oc_both-VLOOKUP(AZ26,mortt,2,FALSE))</f>
        <v>8.9705661745605354E-3</v>
      </c>
      <c r="BD26" s="289">
        <f>BD25*(1-VLOOKUP(AZ26,boc_trpr_bc,11,TRUE)*boc_rr_bc_hip-VLOOKUP(AZ26,boc_trpr_oc,11,TRUE)*boc_rr_oc_hip-VLOOKUP(AZ26,mortt,2,FALSE))</f>
        <v>1.53985141277851E-3</v>
      </c>
      <c r="BE26" s="289">
        <f>BE25*(1-VLOOKUP(AZ26,boc_trpr_bc,11,TRUE)*boc_rr_bc_hiv-VLOOKUP(AZ26,boc_trpr_oc,11,TRUE)*boc_rr_oc_hiv-VLOOKUP(AZ26,mortt,2,FALSE))</f>
        <v>8.7993776512630892E-3</v>
      </c>
      <c r="BF26" s="289">
        <f>BF25*(1-VLOOKUP(AZ26,boc_trpr_bc,11,TRUE)*boc_rr_bc_modp-VLOOKUP(AZ26,boc_trpr_oc,11,TRUE)*boc_rr_oc_modp-VLOOKUP(AZ26,mortt,2,FALSE))</f>
        <v>3.213265741356359E-3</v>
      </c>
      <c r="BG26" s="289">
        <f>BG25*(1-VLOOKUP(AZ26,boc_trpr_bc,11,TRUE)*boc_rr_bc_modv-VLOOKUP(AZ26,boc_trpr_oc,11,TRUE)*boc_rr_oc_modv-VLOOKUP(AZ26,mortt,2,FALSE))</f>
        <v>1.1188212143237826E-2</v>
      </c>
      <c r="BH26" s="289">
        <f>BH25*(1-VLOOKUP(AZ26,boc_trpr_bc,11,TRUE)*boc_rr_bc_lop-VLOOKUP(AZ26,boc_trpr_oc,11,TRUE)*boc_rr_oc_lop-VLOOKUP(AZ26,mortt,2,FALSE))</f>
        <v>8.3406228648484388E-4</v>
      </c>
      <c r="BI26" s="289">
        <f>BI25*(1-VLOOKUP(AZ26,boc_trpr_bc,11,TRUE)*boc_rr_bc_lov-VLOOKUP(AZ26,boc_trpr_oc,11,TRUE)*boc_rr_oc_lov-VLOOKUP(AZ26,mortt,2,FALSE))</f>
        <v>2.4493113191005594E-3</v>
      </c>
      <c r="BJ26" s="260">
        <f>BJ25*(1-VLOOKUP(AZ26,boc_trpr_bc,11,TRUE)*boc_rr_bc_np-VLOOKUP(AZ26,boc_trpr_oc,11,TRUE)*boc_rr_oc_np-VLOOKUP(AZ26,mortt,2,FALSE))</f>
        <v>0.80108054275526808</v>
      </c>
      <c r="BK26" s="260">
        <f>BA25*VLOOKUP(AZ26,boc_trpr_bc,11,TRUE)*boc_rr_bc_mast+BB25*VLOOKUP(AZ26,boc_trpr_bc,11,TRUE)*boc_rr_bc_ooph+BC25*VLOOKUP(AZ26,boc_trpr_bc,11,TRUE)*boc_rr_bc_both+BD25*VLOOKUP(AZ26,boc_trpr_bc,11,TRUE)*boc_rr_bc_hip+BE25*VLOOKUP(AZ26,boc_trpr_bc,11,TRUE)*boc_rr_bc_hiv+BF25*VLOOKUP(AZ26,boc_trpr_bc,11,TRUE)*boc_rr_bc_modp+BG25*VLOOKUP(AZ26,boc_trpr_bc,11,TRUE)*boc_rr_bc_modv+BH25*VLOOKUP(AZ26,boc_trpr_bc,11,TRUE)*boc_rr_bc_lop+BI25*VLOOKUP(AZ26,boc_trpr_bc,11,TRUE)*boc_rr_bc_lov+BJ25*VLOOKUP(AZ26,boc_trpr_bc,11,TRUE)*boc_rr_bc_np</f>
        <v>2.9927927354169884E-3</v>
      </c>
      <c r="BL26" s="260">
        <f>BA25*VLOOKUP(AZ26,boc_trpr_oc,11,TRUE)*boc_rr_oc_mast+BB25*VLOOKUP(AZ26,boc_trpr_oc,11,TRUE)*boc_rr_oc_ooph+BC25*VLOOKUP(AZ26,boc_trpr_oc,11,TRUE)*boc_rr_oc_both+BD25*VLOOKUP(AZ26,boc_trpr_oc,11,TRUE)*boc_rr_oc_hip+BE25*VLOOKUP(AZ26,boc_trpr_oc,11,TRUE)*boc_rr_oc_hiv+BF25*VLOOKUP(AZ26,boc_trpr_oc,11,TRUE)*boc_rr_oc_modp+BG25*VLOOKUP(AZ26,boc_trpr_oc,11,TRUE)*boc_rr_oc_modv+BH25*VLOOKUP(AZ26,boc_trpr_oc,11,TRUE)*boc_rr_oc_lop+BI25*VLOOKUP(AZ26,boc_trpr_oc,11,TRUE)*boc_rr_oc_lov+BJ25*VLOOKUP(AZ26,boc_trpr_oc,11,TRUE)*boc_rr_oc_np</f>
        <v>2.5935052511893183E-4</v>
      </c>
      <c r="BM26" s="260">
        <f>BK25*(1-VLOOKUP(AZ26,boc_trpr_bc_death,20,TRUE))+BL25*(1-VLOOKUP(AZ26,boc_trpr_oc_death,20,TRUE))+BM25*(1-VLOOKUP(AZ26,mortt,2,FALSE)*boc_rr_death_pc)</f>
        <v>3.9701462403738605E-2</v>
      </c>
      <c r="BN26" s="260">
        <f>BN25+SUM(BA25:BJ25)*VLOOKUP(AZ26,mortt,2,FALSE)+BK25*VLOOKUP(AZ26,boc_trpr_bc_death,20,TRUE)+BL25*VLOOKUP(AZ26,boc_trpr_bc_death,20,TRUE)+BM25*VLOOKUP(AZ26,mortt,2,FALSE)*boc_rr_death_pc</f>
        <v>0.10126099337078691</v>
      </c>
      <c r="BO26" s="260">
        <f t="shared" si="24"/>
        <v>1.0000007857022812</v>
      </c>
      <c r="BP26" s="118">
        <f>(boc_cost_mast*SUM(BD26,BF26,BH26)*(boc_tr_mast_path+boc_tr_both_path)+SUM(BE26,BG26,BI26)*(boc_tr_mast_vus+boc_tr_both_vus)+BK26*boc_cost_bc+BL26*boc_cost_oc+BM26*boc_cost_pc+(BK26*VLOOKUP(AZ26,boc_trpr_bc_death,20,TRUE)+BL26*VLOOKUP(AZ26,boc_trpr_oc_death,TRUE)*boc_cost_death))/((1+discount)^AY26)</f>
        <v>934.74602889156188</v>
      </c>
      <c r="BQ26" s="35">
        <f t="shared" si="6"/>
        <v>0.46998274010386099</v>
      </c>
      <c r="BR26" s="35">
        <f t="shared" si="7"/>
        <v>0.49760999731210709</v>
      </c>
      <c r="BS26" s="35"/>
      <c r="BU26" s="33">
        <v>11</v>
      </c>
      <c r="BV26" t="str">
        <f>$M$45</f>
        <v>boc_path_high_vus</v>
      </c>
      <c r="BW26" s="35">
        <f>$F$45</f>
        <v>0.21692817679999998</v>
      </c>
      <c r="BX26" s="35">
        <f>$G$45</f>
        <v>0.32539226519999997</v>
      </c>
      <c r="BY26" s="311">
        <v>-6.498437168194414</v>
      </c>
      <c r="BZ26" s="311">
        <v>-8.6079585461902752</v>
      </c>
      <c r="CA26" s="311">
        <f t="shared" si="25"/>
        <v>2.1095213779958613</v>
      </c>
      <c r="CD26" s="138">
        <v>21</v>
      </c>
      <c r="CE26" s="291">
        <v>4.1199999999999999E-4</v>
      </c>
      <c r="CH26" s="12">
        <v>29</v>
      </c>
      <c r="CI26" s="12" t="s">
        <v>304</v>
      </c>
      <c r="CJ26" s="376">
        <v>2.2999999999999998</v>
      </c>
      <c r="CK26" s="260">
        <f t="shared" si="26"/>
        <v>2.2999999999999997E-5</v>
      </c>
      <c r="CL26" s="289">
        <f t="shared" si="27"/>
        <v>2.2999735502016172E-5</v>
      </c>
      <c r="CM26" s="289">
        <f t="shared" si="28"/>
        <v>-6.7240063135187711E-6</v>
      </c>
      <c r="CN26" s="289">
        <f t="shared" si="29"/>
        <v>5.2722593822718267E-5</v>
      </c>
      <c r="CO26" s="290">
        <f t="shared" si="30"/>
        <v>2.30002990089891</v>
      </c>
      <c r="CP26" s="290">
        <f t="shared" si="31"/>
        <v>100000.15002859164</v>
      </c>
      <c r="CQ26" s="289">
        <f t="shared" ca="1" si="32"/>
        <v>8.2180466123383651E-6</v>
      </c>
      <c r="CR26" s="289">
        <f>IF(psa,CQ26,CL26)</f>
        <v>2.2999735502016172E-5</v>
      </c>
      <c r="CS26" s="373">
        <v>0.3</v>
      </c>
      <c r="CT26" s="260">
        <f t="shared" si="33"/>
        <v>3.0000000000000001E-6</v>
      </c>
      <c r="CU26" s="289">
        <f t="shared" si="34"/>
        <v>2.9999955000192813E-6</v>
      </c>
      <c r="CV26" s="289">
        <f t="shared" si="35"/>
        <v>-7.7351786758050878E-6</v>
      </c>
      <c r="CW26" s="289">
        <f t="shared" si="36"/>
        <v>1.3735054432806315E-5</v>
      </c>
      <c r="CX26" s="290">
        <f t="shared" si="37"/>
        <v>0.29999790000143295</v>
      </c>
      <c r="CY26" s="290">
        <f t="shared" si="38"/>
        <v>99999.150001109942</v>
      </c>
      <c r="CZ26" s="289">
        <f t="shared" ca="1" si="39"/>
        <v>2.7429963683740283E-9</v>
      </c>
      <c r="DA26" s="289">
        <f>IF(psa,CZ26,CU26)</f>
        <v>2.9999955000192813E-6</v>
      </c>
    </row>
    <row r="27" spans="17:105" ht="15" customHeight="1" x14ac:dyDescent="0.2">
      <c r="Q27" s="9" t="s">
        <v>15</v>
      </c>
      <c r="R27" s="263">
        <f>$L$7*boc_find_mod</f>
        <v>4.9865229100000005E-2</v>
      </c>
      <c r="S27" s="9" t="s">
        <v>12</v>
      </c>
      <c r="T27" s="251">
        <f>boc_path_mod_vus</f>
        <v>0.27116022099999998</v>
      </c>
      <c r="U27" s="9" t="s">
        <v>8</v>
      </c>
      <c r="V27" s="250">
        <f>boc_unk_int_ooph*boc_test_int_vus_ooph</f>
        <v>0.02</v>
      </c>
      <c r="Y27" s="261">
        <f>R27*T27*V27</f>
        <v>2.7042933085943266E-4</v>
      </c>
      <c r="AD27" s="12">
        <v>21</v>
      </c>
      <c r="AE27" s="12">
        <f t="shared" si="2"/>
        <v>66</v>
      </c>
      <c r="AF27" s="260">
        <f>AF26*(1-VLOOKUP(AE27,boc_trpr_bc,11,TRUE)*boc_rr_bc_mast-VLOOKUP(AE27,boc_trpr_oc,11,TRUE)*boc_rr_oc_mast-VLOOKUP(AE27,mortt,2,FALSE))+SUM(AI26,AK26,AM26)*boc_tr_mast_path+SUM(AJ26,AL26,AN26)*boc_tr_mast_vus</f>
        <v>1.9195646917963202E-2</v>
      </c>
      <c r="AG27" s="260">
        <f>AG26*(1-VLOOKUP(AE27,boc_trpr_bc,11,TRUE)*boc_rr_bc_ooph-VLOOKUP(AE27,boc_trpr_oc,11,TRUE)*boc_rr_oc_ooph-VLOOKUP(AE27,mortt,2,FALSE))+SUM(AI26,AK26,AM26)*boc_tr_ooph_path+SUM(AJ26,AL26,AN26)*boc_tr_ooph_vus</f>
        <v>1.8513783061169731E-2</v>
      </c>
      <c r="AH27" s="260">
        <f>AH26*(1-VLOOKUP(AE27,boc_trpr_bc,11,TRUE)*boc_rr_bc_both-VLOOKUP(AE27,boc_trpr_oc,11,TRUE)*boc_rr_oc_both-VLOOKUP(AE27,mortt,2,FALSE))+SUM(AI26,AK26,AM26)*boc_tr_both_path+SUM(AJ26,AL26,AN26)*boc_tr_both_vus</f>
        <v>1.8807858500957585E-2</v>
      </c>
      <c r="AI27" s="289">
        <f>AI26*(1-VLOOKUP(AE27,boc_trpr_bc,11,TRUE)*boc_rr_bc_hip-VLOOKUP(AE27,boc_trpr_oc,11,TRUE)*boc_rr_oc_hip-boc_tr_mast_path-boc_tr_ooph_path-boc_tr_both_path-VLOOKUP(AE27,mortt,2,FALSE))</f>
        <v>1.4636718842085883E-17</v>
      </c>
      <c r="AJ27" s="289">
        <f>AJ26*(1-VLOOKUP(AE27,boc_trpr_bc,11,TRUE)*boc_rr_bc_hiv-VLOOKUP(AE27,boc_trpr_oc,11,TRUE)*boc_rr_oc_hiv-boc_tr_mast_vus-boc_tr_ooph_vus-boc_tr_both_vus-VLOOKUP(AE27,mortt,2,FALSE))</f>
        <v>2.6558618904692796E-4</v>
      </c>
      <c r="AK27" s="289">
        <f>AK26*(1-VLOOKUP(AE27,boc_trpr_bc,11,TRUE)*boc_rr_bc_modp-VLOOKUP(AE27,boc_trpr_oc,11,TRUE)*boc_rr_oc_modp-boc_tr_mast_path-boc_tr_ooph_path-boc_tr_both_path-VLOOKUP(AE27,mortt,2,FALSE))</f>
        <v>2.019637192387816E-16</v>
      </c>
      <c r="AL27" s="289">
        <f>AL26*(1-VLOOKUP(AE27,boc_trpr_bc,11,TRUE)*boc_rr_bc_modv-VLOOKUP(AE27,boc_trpr_oc,11,TRUE)*boc_rr_oc_modv-boc_tr_mast_vus-boc_tr_ooph_vus-boc_tr_both_vus-VLOOKUP(AE27,mortt,2,FALSE))</f>
        <v>3.3768690731719752E-4</v>
      </c>
      <c r="AM27" s="289">
        <f>AM26*(1-VLOOKUP(AE27,boc_trpr_bc,11,TRUE)*boc_rr_bc_lop-VLOOKUP(AE27,boc_trpr_oc,11,TRUE)*boc_rr_oc_lop-boc_tr_mast_path-boc_tr_ooph_path-boc_tr_both_path-VLOOKUP(AE27,mortt,2,FALSE))</f>
        <v>9.5385544901325379E-17</v>
      </c>
      <c r="AN27" s="289">
        <f>AN26*(1-VLOOKUP(AE27,boc_trpr_bc,11,TRUE)*boc_rr_bc_lov-VLOOKUP(AE27,boc_trpr_oc,11,TRUE)*boc_rr_oc_lov-boc_tr_mast_vus-boc_tr_ooph_vus-boc_tr_both_vus-VLOOKUP(AE27,mortt,2,FALSE))</f>
        <v>7.3926053047177352E-5</v>
      </c>
      <c r="AO27" s="260">
        <f>AO26*(1-VLOOKUP(AE27,boc_trpr_bc,11,TRUE)*boc_rr_bc_np-VLOOKUP(AE27,boc_trpr_oc,11,TRUE)*boc_rr_oc_np-VLOOKUP(AE27,mortt,2,FALSE))</f>
        <v>0.78970501349368649</v>
      </c>
      <c r="AP27" s="260">
        <f>AF26*VLOOKUP(AE27,boc_trpr_bc,11,TRUE)*boc_rr_bc_mast+AG26*VLOOKUP(AE27,boc_trpr_bc,11,TRUE)*boc_rr_bc_ooph+AH26*VLOOKUP(AE27,boc_trpr_bc,11,TRUE)*boc_rr_bc_both+AI26*VLOOKUP(AE27,boc_trpr_bc,11,TRUE)*boc_rr_bc_hip+AJ26*VLOOKUP(AE27,boc_trpr_bc,11,TRUE)*boc_rr_bc_hiv+AK26*VLOOKUP(AE27,boc_trpr_bc,11,TRUE)*boc_rr_bc_modp+AL26*VLOOKUP(AE27,boc_trpr_bc,11,TRUE)*boc_rr_bc_modv+AM26*VLOOKUP(AE27,boc_trpr_bc,11,TRUE)*boc_rr_bc_lop+AN26*VLOOKUP(AE27,boc_trpr_bc,11,TRUE)*boc_rr_bc_lov+AO26*VLOOKUP(AE27,boc_trpr_bc,11,TRUE)*boc_rr_bc_np</f>
        <v>2.7528835033552518E-3</v>
      </c>
      <c r="AQ27" s="260">
        <f>AF26*VLOOKUP(AE27,boc_trpr_oc,11,TRUE)*boc_rr_oc_mast+AG26*VLOOKUP(AE27,boc_trpr_oc,11,TRUE)*boc_rr_oc_ooph+AH26*VLOOKUP(AE27,boc_trpr_oc,11,TRUE)*boc_rr_oc_both+AI26*VLOOKUP(AE27,boc_trpr_oc,11,TRUE)*boc_rr_oc_hip+AJ26*VLOOKUP(AE27,boc_trpr_oc,11,TRUE)*boc_rr_oc_hiv+AK26*VLOOKUP(AE27,boc_trpr_oc,11,TRUE)*boc_rr_oc_modp+AL26*VLOOKUP(AE27,boc_trpr_oc,11,TRUE)*boc_rr_oc_modv+AM26*VLOOKUP(AE27,boc_trpr_oc,11,TRUE)*boc_rr_oc_lop+AN26*VLOOKUP(AE27,boc_trpr_oc,11,TRUE)*boc_rr_oc_lov+AO26*VLOOKUP(AE27,boc_trpr_oc,11,TRUE)*boc_rr_oc_np</f>
        <v>2.4073004199768182E-4</v>
      </c>
      <c r="AR27" s="260">
        <f>AP26*(1-VLOOKUP(AE27,boc_trpr_bc_death,20,TRUE))+AQ26*(1-VLOOKUP(AE27,boc_trpr_oc_death,20,TRUE))+AR26*(1-VLOOKUP(AE27,mortt,2,FALSE)*boc_rr_death_pc)</f>
        <v>3.9281286168853763E-2</v>
      </c>
      <c r="AS27" s="260">
        <f>AS26+SUM(AF26:AO26)*VLOOKUP(AE27,mortt,2,FALSE)+AP26*VLOOKUP(AE27,boc_trpr_bc_death,20,TRUE)+AQ26*VLOOKUP(AE27,boc_trpr_bc_death,20,TRUE)+AR26*VLOOKUP(AE27,mortt,2,FALSE)*boc_rr_death_pc</f>
        <v>0.11082641322105276</v>
      </c>
      <c r="AT27" s="260">
        <f t="shared" si="23"/>
        <v>1.000000814058448</v>
      </c>
      <c r="AU27" s="118">
        <f>(boc_cost_mast*SUM(AI27,AK27,AM27)*(boc_tr_mast_path+boc_tr_both_path)+SUM(AJ27,AL27,AN27)*(boc_tr_mast_vus+boc_tr_both_vus)+AP27*boc_cost_bc+AQ27*boc_cost_oc+AR27*boc_cost_pc+(AP27*VLOOKUP(AE27,boc_trpr_bc_death,20,TRUE)+AQ27*VLOOKUP(AE27,boc_trpr_oc_death,TRUE)*boc_cost_death))/((1+discount)^AD27)</f>
        <v>833.89283656053897</v>
      </c>
      <c r="AV27" s="35">
        <f t="shared" si="3"/>
        <v>0.45171971736880906</v>
      </c>
      <c r="AW27" s="35">
        <f t="shared" si="4"/>
        <v>0.47797461773048761</v>
      </c>
      <c r="AY27" s="12">
        <v>21</v>
      </c>
      <c r="AZ27" s="12">
        <f t="shared" si="5"/>
        <v>66</v>
      </c>
      <c r="BA27" s="260">
        <f>BA26*(1-VLOOKUP(AZ27,boc_trpr_bc,11,TRUE)*boc_rr_bc_mast-VLOOKUP(AZ27,boc_trpr_oc,11,TRUE)*boc_rr_oc_mast-VLOOKUP(AZ27,mortt,2,FALSE))</f>
        <v>8.8225844526793849E-3</v>
      </c>
      <c r="BB27" s="260">
        <f>BB26*(1-VLOOKUP(AZ27,boc_trpr_bc,11,TRUE)*boc_rr_bc_ooph-VLOOKUP(AZ27,boc_trpr_oc,11,TRUE)*boc_rr_oc_ooph-VLOOKUP(AZ27,mortt,2,FALSE))</f>
        <v>8.6807611358898692E-3</v>
      </c>
      <c r="BC27" s="260">
        <f>BC26*(1-VLOOKUP(AZ27,boc_trpr_bc,11,TRUE)*boc_rr_bc_both-VLOOKUP(AZ27,boc_trpr_oc,11,TRUE)*boc_rr_oc_both-VLOOKUP(AZ27,mortt,2,FALSE))</f>
        <v>8.8741813259472467E-3</v>
      </c>
      <c r="BD27" s="289">
        <f>BD26*(1-VLOOKUP(AZ27,boc_trpr_bc,11,TRUE)*boc_rr_bc_hip-VLOOKUP(AZ27,boc_trpr_oc,11,TRUE)*boc_rr_oc_hip-VLOOKUP(AZ27,mortt,2,FALSE))</f>
        <v>1.4388410490670557E-3</v>
      </c>
      <c r="BE27" s="289">
        <f>BE26*(1-VLOOKUP(AZ27,boc_trpr_bc,11,TRUE)*boc_rr_bc_hiv-VLOOKUP(AZ27,boc_trpr_oc,11,TRUE)*boc_rr_oc_hiv-VLOOKUP(AZ27,mortt,2,FALSE))</f>
        <v>8.6711939950574832E-3</v>
      </c>
      <c r="BF27" s="289">
        <f>BF26*(1-VLOOKUP(AZ27,boc_trpr_bc,11,TRUE)*boc_rr_bc_modp-VLOOKUP(AZ27,boc_trpr_oc,11,TRUE)*boc_rr_oc_modp-VLOOKUP(AZ27,mortt,2,FALSE))</f>
        <v>3.1204500522358817E-3</v>
      </c>
      <c r="BG27" s="289">
        <f>BG26*(1-VLOOKUP(AZ27,boc_trpr_bc,11,TRUE)*boc_rr_bc_modv-VLOOKUP(AZ27,boc_trpr_oc,11,TRUE)*boc_rr_oc_modv-VLOOKUP(AZ27,mortt,2,FALSE))</f>
        <v>1.1025229487445307E-2</v>
      </c>
      <c r="BH27" s="289">
        <f>BH26*(1-VLOOKUP(AZ27,boc_trpr_bc,11,TRUE)*boc_rr_bc_lop-VLOOKUP(AZ27,boc_trpr_oc,11,TRUE)*boc_rr_oc_lop-VLOOKUP(AZ27,mortt,2,FALSE))</f>
        <v>8.2068739089887854E-4</v>
      </c>
      <c r="BI27" s="289">
        <f>BI26*(1-VLOOKUP(AZ27,boc_trpr_bc,11,TRUE)*boc_rr_bc_lov-VLOOKUP(AZ27,boc_trpr_oc,11,TRUE)*boc_rr_oc_lov-VLOOKUP(AZ27,mortt,2,FALSE))</f>
        <v>2.4136313321161365E-3</v>
      </c>
      <c r="BJ27" s="260">
        <f>BJ26*(1-VLOOKUP(AZ27,boc_trpr_bc,11,TRUE)*boc_rr_bc_np-VLOOKUP(AZ27,boc_trpr_oc,11,TRUE)*boc_rr_oc_np-VLOOKUP(AZ27,mortt,2,FALSE))</f>
        <v>0.78970501349368649</v>
      </c>
      <c r="BK27" s="260">
        <f>BA26*VLOOKUP(AZ27,boc_trpr_bc,11,TRUE)*boc_rr_bc_mast+BB26*VLOOKUP(AZ27,boc_trpr_bc,11,TRUE)*boc_rr_bc_ooph+BC26*VLOOKUP(AZ27,boc_trpr_bc,11,TRUE)*boc_rr_bc_both+BD26*VLOOKUP(AZ27,boc_trpr_bc,11,TRUE)*boc_rr_bc_hip+BE26*VLOOKUP(AZ27,boc_trpr_bc,11,TRUE)*boc_rr_bc_hiv+BF26*VLOOKUP(AZ27,boc_trpr_bc,11,TRUE)*boc_rr_bc_modp+BG26*VLOOKUP(AZ27,boc_trpr_bc,11,TRUE)*boc_rr_bc_modv+BH26*VLOOKUP(AZ27,boc_trpr_bc,11,TRUE)*boc_rr_bc_lop+BI26*VLOOKUP(AZ27,boc_trpr_bc,11,TRUE)*boc_rr_bc_lov+BJ26*VLOOKUP(AZ27,boc_trpr_bc,11,TRUE)*boc_rr_bc_np</f>
        <v>2.9475968294542074E-3</v>
      </c>
      <c r="BL27" s="260">
        <f>BA26*VLOOKUP(AZ27,boc_trpr_oc,11,TRUE)*boc_rr_oc_mast+BB26*VLOOKUP(AZ27,boc_trpr_oc,11,TRUE)*boc_rr_oc_ooph+BC26*VLOOKUP(AZ27,boc_trpr_oc,11,TRUE)*boc_rr_oc_both+BD26*VLOOKUP(AZ27,boc_trpr_oc,11,TRUE)*boc_rr_oc_hip+BE26*VLOOKUP(AZ27,boc_trpr_oc,11,TRUE)*boc_rr_oc_hiv+BF26*VLOOKUP(AZ27,boc_trpr_oc,11,TRUE)*boc_rr_oc_modp+BG26*VLOOKUP(AZ27,boc_trpr_oc,11,TRUE)*boc_rr_oc_modv+BH26*VLOOKUP(AZ27,boc_trpr_oc,11,TRUE)*boc_rr_oc_lop+BI26*VLOOKUP(AZ27,boc_trpr_oc,11,TRUE)*boc_rr_oc_lov+BJ26*VLOOKUP(AZ27,boc_trpr_oc,11,TRUE)*boc_rr_oc_np</f>
        <v>2.5544336332256892E-4</v>
      </c>
      <c r="BM27" s="260">
        <f>BK26*(1-VLOOKUP(AZ27,boc_trpr_bc_death,20,TRUE))+BL26*(1-VLOOKUP(AZ27,boc_trpr_oc_death,20,TRUE))+BM26*(1-VLOOKUP(AZ27,mortt,2,FALSE)*boc_rr_death_pc)</f>
        <v>4.2324991750946658E-2</v>
      </c>
      <c r="BN27" s="260">
        <f>BN26+SUM(BA26:BJ26)*VLOOKUP(AZ27,mortt,2,FALSE)+BK26*VLOOKUP(AZ27,boc_trpr_bc_death,20,TRUE)+BL26*VLOOKUP(AZ27,boc_trpr_bc_death,20,TRUE)+BM26*VLOOKUP(AZ27,mortt,2,FALSE)*boc_rr_death_pc</f>
        <v>0.11090026559925786</v>
      </c>
      <c r="BO27" s="260">
        <f t="shared" si="24"/>
        <v>1.0000008712580051</v>
      </c>
      <c r="BP27" s="118">
        <f>(boc_cost_mast*SUM(BD27,BF27,BH27)*(boc_tr_mast_path+boc_tr_both_path)+SUM(BE27,BG27,BI27)*(boc_tr_mast_vus+boc_tr_both_vus)+BK27*boc_cost_bc+BL27*boc_cost_oc+BM27*boc_cost_pc+(BK27*VLOOKUP(AZ27,boc_trpr_bc_death,20,TRUE)+BL27*VLOOKUP(AZ27,boc_trpr_oc_death,TRUE)*boc_cost_death))/((1+discount)^AY27)</f>
        <v>906.82809221119771</v>
      </c>
      <c r="BQ27" s="35">
        <f t="shared" si="6"/>
        <v>0.45124171916904904</v>
      </c>
      <c r="BR27" s="35">
        <f t="shared" si="7"/>
        <v>0.47793491843805924</v>
      </c>
      <c r="BS27" s="35"/>
      <c r="BU27" s="33">
        <v>21</v>
      </c>
      <c r="BV27" t="str">
        <f>$M$48</f>
        <v>boc_path_mod_path</v>
      </c>
      <c r="BW27" s="35">
        <f>$F$48</f>
        <v>7.5314916800000006E-2</v>
      </c>
      <c r="BX27" s="35">
        <f>$G$48</f>
        <v>0.11297237519999999</v>
      </c>
      <c r="BY27" s="311">
        <v>-6.5958916640815914</v>
      </c>
      <c r="BZ27" s="311">
        <v>-8.473425536294144</v>
      </c>
      <c r="CA27" s="311">
        <f t="shared" si="25"/>
        <v>1.8775338722125525</v>
      </c>
      <c r="CD27" s="138">
        <v>22</v>
      </c>
      <c r="CE27" s="291">
        <v>4.4299999999999998E-4</v>
      </c>
      <c r="CH27" s="12">
        <v>34</v>
      </c>
      <c r="CI27" s="12" t="s">
        <v>305</v>
      </c>
      <c r="CJ27" s="376">
        <v>3.3</v>
      </c>
      <c r="CK27" s="260">
        <f t="shared" si="26"/>
        <v>3.2999999999999996E-5</v>
      </c>
      <c r="CL27" s="289">
        <f t="shared" si="27"/>
        <v>3.2999455505944297E-5</v>
      </c>
      <c r="CM27" s="289">
        <f t="shared" si="28"/>
        <v>-2.6039298217650497E-6</v>
      </c>
      <c r="CN27" s="289">
        <f t="shared" si="29"/>
        <v>6.8601573235960167E-5</v>
      </c>
      <c r="CO27" s="290">
        <f t="shared" si="30"/>
        <v>3.3000759030367375</v>
      </c>
      <c r="CP27" s="290">
        <f t="shared" si="31"/>
        <v>100000.65006328287</v>
      </c>
      <c r="CQ27" s="289">
        <f t="shared" ca="1" si="32"/>
        <v>3.9618585940038477E-6</v>
      </c>
      <c r="CR27" s="289">
        <f>IF(psa,CQ27,CL27)</f>
        <v>3.2999455505944297E-5</v>
      </c>
      <c r="CS27" s="373">
        <v>0.5</v>
      </c>
      <c r="CT27" s="260">
        <f t="shared" si="33"/>
        <v>5.0000000000000004E-6</v>
      </c>
      <c r="CU27" s="289">
        <f t="shared" si="34"/>
        <v>4.9999875000317218E-6</v>
      </c>
      <c r="CV27" s="289">
        <f t="shared" si="35"/>
        <v>-8.859042836872888E-6</v>
      </c>
      <c r="CW27" s="289">
        <f t="shared" si="36"/>
        <v>1.8858825766021603E-5</v>
      </c>
      <c r="CX27" s="290">
        <f t="shared" si="37"/>
        <v>0.49999749999689425</v>
      </c>
      <c r="CY27" s="290">
        <f t="shared" si="38"/>
        <v>99999.250000619417</v>
      </c>
      <c r="CZ27" s="289">
        <f t="shared" ca="1" si="39"/>
        <v>9.1637453677462233E-6</v>
      </c>
      <c r="DA27" s="289">
        <f>IF(psa,CZ27,CU27)</f>
        <v>4.9999875000317218E-6</v>
      </c>
    </row>
    <row r="28" spans="17:105" ht="15" customHeight="1" x14ac:dyDescent="0.2">
      <c r="Q28" s="11"/>
      <c r="S28" s="11"/>
      <c r="U28" s="9" t="s">
        <v>6</v>
      </c>
      <c r="V28" s="250">
        <f>boc_unk_int_both*boc_test_int_path_both</f>
        <v>0.02</v>
      </c>
      <c r="Z28" s="261">
        <f>R27*T27*V28</f>
        <v>2.7042933085943266E-4</v>
      </c>
      <c r="AD28" s="12">
        <v>22</v>
      </c>
      <c r="AE28" s="12">
        <f t="shared" si="2"/>
        <v>67</v>
      </c>
      <c r="AF28" s="260">
        <f>AF27*(1-VLOOKUP(AE28,boc_trpr_bc,11,TRUE)*boc_rr_bc_mast-VLOOKUP(AE28,boc_trpr_oc,11,TRUE)*boc_rr_oc_mast-VLOOKUP(AE28,mortt,2,FALSE))+SUM(AI27,AK27,AM27)*boc_tr_mast_path+SUM(AJ27,AL27,AN27)*boc_tr_mast_vus</f>
        <v>1.8997854095205696E-2</v>
      </c>
      <c r="AG28" s="260">
        <f>AG27*(1-VLOOKUP(AE28,boc_trpr_bc,11,TRUE)*boc_rr_bc_ooph-VLOOKUP(AE28,boc_trpr_oc,11,TRUE)*boc_rr_oc_ooph-VLOOKUP(AE28,mortt,2,FALSE))+SUM(AI27,AK27,AM27)*boc_tr_ooph_path+SUM(AJ27,AL27,AN27)*boc_tr_ooph_vus</f>
        <v>1.830308533183183E-2</v>
      </c>
      <c r="AH28" s="260">
        <f>AH27*(1-VLOOKUP(AE28,boc_trpr_bc,11,TRUE)*boc_rr_bc_both-VLOOKUP(AE28,boc_trpr_oc,11,TRUE)*boc_rr_oc_both-VLOOKUP(AE28,mortt,2,FALSE))+SUM(AI27,AK27,AM27)*boc_tr_both_path+SUM(AJ27,AL27,AN27)*boc_tr_both_vus</f>
        <v>1.8622521012822149E-2</v>
      </c>
      <c r="AI28" s="289">
        <f>AI27*(1-VLOOKUP(AE28,boc_trpr_bc,11,TRUE)*boc_rr_bc_hip-VLOOKUP(AE28,boc_trpr_oc,11,TRUE)*boc_rr_oc_hip-boc_tr_mast_path-boc_tr_ooph_path-boc_tr_both_path-VLOOKUP(AE28,mortt,2,FALSE))</f>
        <v>2.6857285060528479E-18</v>
      </c>
      <c r="AJ28" s="289">
        <f>AJ27*(1-VLOOKUP(AE28,boc_trpr_bc,11,TRUE)*boc_rr_bc_hiv-VLOOKUP(AE28,boc_trpr_oc,11,TRUE)*boc_rr_oc_hiv-boc_tr_mast_vus-boc_tr_ooph_vus-boc_tr_both_vus-VLOOKUP(AE28,mortt,2,FALSE))</f>
        <v>2.2163768901382641E-4</v>
      </c>
      <c r="AK28" s="289">
        <f>AK27*(1-VLOOKUP(AE28,boc_trpr_bc,11,TRUE)*boc_rr_bc_modp-VLOOKUP(AE28,boc_trpr_oc,11,TRUE)*boc_rr_oc_modp-boc_tr_mast_path-boc_tr_ooph_path-boc_tr_both_path-VLOOKUP(AE28,mortt,2,FALSE))</f>
        <v>4.447338885419862E-17</v>
      </c>
      <c r="AL28" s="289">
        <f>AL27*(1-VLOOKUP(AE28,boc_trpr_bc,11,TRUE)*boc_rr_bc_modv-VLOOKUP(AE28,boc_trpr_oc,11,TRUE)*boc_rr_oc_modv-boc_tr_mast_vus-boc_tr_ooph_vus-boc_tr_both_vus-VLOOKUP(AE28,mortt,2,FALSE))</f>
        <v>2.8180737114603954E-4</v>
      </c>
      <c r="AM28" s="289">
        <f>AM27*(1-VLOOKUP(AE28,boc_trpr_bc,11,TRUE)*boc_rr_bc_lop-VLOOKUP(AE28,boc_trpr_oc,11,TRUE)*boc_rr_oc_lop-boc_tr_mast_path-boc_tr_ooph_path-boc_tr_both_path-VLOOKUP(AE28,mortt,2,FALSE))</f>
        <v>2.2229997332944812E-17</v>
      </c>
      <c r="AN28" s="289">
        <f>AN27*(1-VLOOKUP(AE28,boc_trpr_bc,11,TRUE)*boc_rr_bc_lov-VLOOKUP(AE28,boc_trpr_oc,11,TRUE)*boc_rr_oc_lov-boc_tr_mast_vus-boc_tr_ooph_vus-boc_tr_both_vus-VLOOKUP(AE28,mortt,2,FALSE))</f>
        <v>6.1692965338626111E-5</v>
      </c>
      <c r="AO28" s="260">
        <f>AO27*(1-VLOOKUP(AE28,boc_trpr_bc,11,TRUE)*boc_rr_bc_np-VLOOKUP(AE28,boc_trpr_oc,11,TRUE)*boc_rr_oc_np-VLOOKUP(AE28,mortt,2,FALSE))</f>
        <v>0.77777238782025648</v>
      </c>
      <c r="AP28" s="260">
        <f>AF27*VLOOKUP(AE28,boc_trpr_bc,11,TRUE)*boc_rr_bc_mast+AG27*VLOOKUP(AE28,boc_trpr_bc,11,TRUE)*boc_rr_bc_ooph+AH27*VLOOKUP(AE28,boc_trpr_bc,11,TRUE)*boc_rr_bc_both+AI27*VLOOKUP(AE28,boc_trpr_bc,11,TRUE)*boc_rr_bc_hip+AJ27*VLOOKUP(AE28,boc_trpr_bc,11,TRUE)*boc_rr_bc_hiv+AK27*VLOOKUP(AE28,boc_trpr_bc,11,TRUE)*boc_rr_bc_modp+AL27*VLOOKUP(AE28,boc_trpr_bc,11,TRUE)*boc_rr_bc_modv+AM27*VLOOKUP(AE28,boc_trpr_bc,11,TRUE)*boc_rr_bc_lop+AN27*VLOOKUP(AE28,boc_trpr_bc,11,TRUE)*boc_rr_bc_lov+AO27*VLOOKUP(AE28,boc_trpr_bc,11,TRUE)*boc_rr_bc_np</f>
        <v>2.7135214152509929E-3</v>
      </c>
      <c r="AQ28" s="260">
        <f>AF27*VLOOKUP(AE28,boc_trpr_oc,11,TRUE)*boc_rr_oc_mast+AG27*VLOOKUP(AE28,boc_trpr_oc,11,TRUE)*boc_rr_oc_ooph+AH27*VLOOKUP(AE28,boc_trpr_oc,11,TRUE)*boc_rr_oc_both+AI27*VLOOKUP(AE28,boc_trpr_oc,11,TRUE)*boc_rr_oc_hip+AJ27*VLOOKUP(AE28,boc_trpr_oc,11,TRUE)*boc_rr_oc_hiv+AK27*VLOOKUP(AE28,boc_trpr_oc,11,TRUE)*boc_rr_oc_modp+AL27*VLOOKUP(AE28,boc_trpr_oc,11,TRUE)*boc_rr_oc_modv+AM27*VLOOKUP(AE28,boc_trpr_oc,11,TRUE)*boc_rr_oc_lop+AN27*VLOOKUP(AE28,boc_trpr_oc,11,TRUE)*boc_rr_oc_lov+AO27*VLOOKUP(AE28,boc_trpr_oc,11,TRUE)*boc_rr_oc_np</f>
        <v>2.3731002897482196E-4</v>
      </c>
      <c r="AR28" s="260">
        <f>AP27*(1-VLOOKUP(AE28,boc_trpr_bc_death,20,TRUE))+AQ27*(1-VLOOKUP(AE28,boc_trpr_oc_death,20,TRUE))+AR27*(1-VLOOKUP(AE28,mortt,2,FALSE)*boc_rr_death_pc)</f>
        <v>4.1599429864539766E-2</v>
      </c>
      <c r="AS28" s="260">
        <f>AS27+SUM(AF27:AO27)*VLOOKUP(AE28,mortt,2,FALSE)+AP27*VLOOKUP(AE28,boc_trpr_bc_death,20,TRUE)+AQ27*VLOOKUP(AE28,boc_trpr_bc_death,20,TRUE)+AR27*VLOOKUP(AE28,mortt,2,FALSE)*boc_rr_death_pc</f>
        <v>0.12118964587718262</v>
      </c>
      <c r="AT28" s="260">
        <f t="shared" si="23"/>
        <v>1.000000893471563</v>
      </c>
      <c r="AU28" s="118">
        <f>(boc_cost_mast*SUM(AI28,AK28,AM28)*(boc_tr_mast_path+boc_tr_both_path)+SUM(AJ28,AL28,AN28)*(boc_tr_mast_vus+boc_tr_both_vus)+AP28*boc_cost_bc+AQ28*boc_cost_oc+AR28*boc_cost_pc+(AP28*VLOOKUP(AE28,boc_trpr_bc_death,20,TRUE)+AQ28*VLOOKUP(AE28,boc_trpr_oc_death,TRUE)*boc_cost_death))/((1+discount)^AD28)</f>
        <v>809.70806028976244</v>
      </c>
      <c r="AV28" s="35">
        <f t="shared" si="3"/>
        <v>0.43330775483821676</v>
      </c>
      <c r="AW28" s="35">
        <f t="shared" si="4"/>
        <v>0.45864453351466777</v>
      </c>
      <c r="AY28" s="12">
        <v>22</v>
      </c>
      <c r="AZ28" s="12">
        <f t="shared" si="5"/>
        <v>67</v>
      </c>
      <c r="BA28" s="260">
        <f>BA27*(1-VLOOKUP(AZ28,boc_trpr_bc,11,TRUE)*boc_rr_bc_mast-VLOOKUP(AZ28,boc_trpr_oc,11,TRUE)*boc_rr_oc_mast-VLOOKUP(AZ28,mortt,2,FALSE))</f>
        <v>8.7161136353115024E-3</v>
      </c>
      <c r="BB28" s="260">
        <f>BB27*(1-VLOOKUP(AZ28,boc_trpr_bc,11,TRUE)*boc_rr_bc_ooph-VLOOKUP(AZ28,boc_trpr_oc,11,TRUE)*boc_rr_oc_ooph-VLOOKUP(AZ28,mortt,2,FALSE))</f>
        <v>8.5660926828721104E-3</v>
      </c>
      <c r="BC28" s="260">
        <f>BC27*(1-VLOOKUP(AZ28,boc_trpr_bc,11,TRUE)*boc_rr_bc_both-VLOOKUP(AZ28,boc_trpr_oc,11,TRUE)*boc_rr_oc_both-VLOOKUP(AZ28,mortt,2,FALSE))</f>
        <v>8.7707565857837802E-3</v>
      </c>
      <c r="BD28" s="289">
        <f>BD27*(1-VLOOKUP(AZ28,boc_trpr_bc,11,TRUE)*boc_rr_bc_hip-VLOOKUP(AZ28,boc_trpr_oc,11,TRUE)*boc_rr_oc_hip-VLOOKUP(AZ28,mortt,2,FALSE))</f>
        <v>1.3431473647540204E-3</v>
      </c>
      <c r="BE28" s="289">
        <f>BE27*(1-VLOOKUP(AZ28,boc_trpr_bc,11,TRUE)*boc_rr_bc_hiv-VLOOKUP(AZ28,boc_trpr_oc,11,TRUE)*boc_rr_oc_hiv-VLOOKUP(AZ28,mortt,2,FALSE))</f>
        <v>8.536986849115016E-3</v>
      </c>
      <c r="BF28" s="289">
        <f>BF27*(1-VLOOKUP(AZ28,boc_trpr_bc,11,TRUE)*boc_rr_bc_modp-VLOOKUP(AZ28,boc_trpr_oc,11,TRUE)*boc_rr_oc_modp-VLOOKUP(AZ28,mortt,2,FALSE))</f>
        <v>3.0274757494270148E-3</v>
      </c>
      <c r="BG28" s="289">
        <f>BG27*(1-VLOOKUP(AZ28,boc_trpr_bc,11,TRUE)*boc_rr_bc_modv-VLOOKUP(AZ28,boc_trpr_oc,11,TRUE)*boc_rr_oc_modv-VLOOKUP(AZ28,mortt,2,FALSE))</f>
        <v>1.0854588098991287E-2</v>
      </c>
      <c r="BH28" s="289">
        <f>BH27*(1-VLOOKUP(AZ28,boc_trpr_bc,11,TRUE)*boc_rr_bc_lop-VLOOKUP(AZ28,boc_trpr_oc,11,TRUE)*boc_rr_oc_lop-VLOOKUP(AZ28,mortt,2,FALSE))</f>
        <v>8.0678014757240893E-4</v>
      </c>
      <c r="BI28" s="289">
        <f>BI27*(1-VLOOKUP(AZ28,boc_trpr_bc,11,TRUE)*boc_rr_bc_lov-VLOOKUP(AZ28,boc_trpr_oc,11,TRUE)*boc_rr_oc_lov-VLOOKUP(AZ28,mortt,2,FALSE))</f>
        <v>2.3762747036489085E-3</v>
      </c>
      <c r="BJ28" s="260">
        <f>BJ27*(1-VLOOKUP(AZ28,boc_trpr_bc,11,TRUE)*boc_rr_bc_np-VLOOKUP(AZ28,boc_trpr_oc,11,TRUE)*boc_rr_oc_np-VLOOKUP(AZ28,mortt,2,FALSE))</f>
        <v>0.77777238782025648</v>
      </c>
      <c r="BK28" s="260">
        <f>BA27*VLOOKUP(AZ28,boc_trpr_bc,11,TRUE)*boc_rr_bc_mast+BB27*VLOOKUP(AZ28,boc_trpr_bc,11,TRUE)*boc_rr_bc_ooph+BC27*VLOOKUP(AZ28,boc_trpr_bc,11,TRUE)*boc_rr_bc_both+BD27*VLOOKUP(AZ28,boc_trpr_bc,11,TRUE)*boc_rr_bc_hip+BE27*VLOOKUP(AZ28,boc_trpr_bc,11,TRUE)*boc_rr_bc_hiv+BF27*VLOOKUP(AZ28,boc_trpr_bc,11,TRUE)*boc_rr_bc_modp+BG27*VLOOKUP(AZ28,boc_trpr_bc,11,TRUE)*boc_rr_bc_modv+BH27*VLOOKUP(AZ28,boc_trpr_bc,11,TRUE)*boc_rr_bc_lop+BI27*VLOOKUP(AZ28,boc_trpr_bc,11,TRUE)*boc_rr_bc_lov+BJ27*VLOOKUP(AZ28,boc_trpr_bc,11,TRUE)*boc_rr_bc_np</f>
        <v>2.9009346445932013E-3</v>
      </c>
      <c r="BL28" s="260">
        <f>BA27*VLOOKUP(AZ28,boc_trpr_oc,11,TRUE)*boc_rr_oc_mast+BB27*VLOOKUP(AZ28,boc_trpr_oc,11,TRUE)*boc_rr_oc_ooph+BC27*VLOOKUP(AZ28,boc_trpr_oc,11,TRUE)*boc_rr_oc_both+BD27*VLOOKUP(AZ28,boc_trpr_oc,11,TRUE)*boc_rr_oc_hip+BE27*VLOOKUP(AZ28,boc_trpr_oc,11,TRUE)*boc_rr_oc_hiv+BF27*VLOOKUP(AZ28,boc_trpr_oc,11,TRUE)*boc_rr_oc_modp+BG27*VLOOKUP(AZ28,boc_trpr_oc,11,TRUE)*boc_rr_oc_modv+BH27*VLOOKUP(AZ28,boc_trpr_oc,11,TRUE)*boc_rr_oc_lop+BI27*VLOOKUP(AZ28,boc_trpr_oc,11,TRUE)*boc_rr_oc_lov+BJ27*VLOOKUP(AZ28,boc_trpr_oc,11,TRUE)*boc_rr_oc_np</f>
        <v>2.5140876197191493E-4</v>
      </c>
      <c r="BM28" s="260">
        <f>BK27*(1-VLOOKUP(AZ28,boc_trpr_bc_death,20,TRUE))+BL27*(1-VLOOKUP(AZ28,boc_trpr_oc_death,20,TRUE))+BM27*(1-VLOOKUP(AZ28,mortt,2,FALSE)*boc_rr_death_pc)</f>
        <v>4.4800233698567532E-2</v>
      </c>
      <c r="BN28" s="260">
        <f>BN27+SUM(BA27:BJ27)*VLOOKUP(AZ28,mortt,2,FALSE)+BK27*VLOOKUP(AZ28,boc_trpr_bc_death,20,TRUE)+BL27*VLOOKUP(AZ28,boc_trpr_bc_death,20,TRUE)+BM27*VLOOKUP(AZ28,mortt,2,FALSE)*boc_rr_death_pc</f>
        <v>0.12127777478195166</v>
      </c>
      <c r="BO28" s="260">
        <f t="shared" si="24"/>
        <v>1.0000009555248168</v>
      </c>
      <c r="BP28" s="118">
        <f>(boc_cost_mast*SUM(BD28,BF28,BH28)*(boc_tr_mast_path+boc_tr_both_path)+SUM(BE28,BG28,BI28)*(boc_tr_mast_vus+boc_tr_both_vus)+BK28*boc_cost_bc+BL28*boc_cost_oc+BM28*boc_cost_pc+(BK28*VLOOKUP(AZ28,boc_trpr_bc_death,20,TRUE)+BL28*VLOOKUP(AZ28,boc_trpr_oc_death,TRUE)*boc_cost_death))/((1+discount)^AY28)</f>
        <v>878.81485308328149</v>
      </c>
      <c r="BQ28" s="35">
        <f t="shared" si="6"/>
        <v>0.43283551103244988</v>
      </c>
      <c r="BR28" s="35">
        <f t="shared" si="7"/>
        <v>0.45859853970015779</v>
      </c>
      <c r="BS28" s="35"/>
      <c r="BU28" s="33">
        <v>23</v>
      </c>
      <c r="BV28" t="str">
        <f>$M$49</f>
        <v>boc_path_mod_vus</v>
      </c>
      <c r="BW28" s="35">
        <f>$F$49</f>
        <v>0.21692817679999998</v>
      </c>
      <c r="BX28" s="35">
        <f>$G$49</f>
        <v>0.32539226519999997</v>
      </c>
      <c r="BY28" s="311">
        <v>-6.6745725327023138</v>
      </c>
      <c r="BZ28" s="311">
        <v>-8.5107202758613312</v>
      </c>
      <c r="CA28" s="311">
        <f t="shared" si="25"/>
        <v>1.8361477431590174</v>
      </c>
      <c r="CD28" s="138">
        <v>23</v>
      </c>
      <c r="CE28" s="291">
        <v>4.6999999999999999E-4</v>
      </c>
      <c r="CH28" s="12">
        <v>39</v>
      </c>
      <c r="CI28" s="12" t="s">
        <v>306</v>
      </c>
      <c r="CJ28" s="376">
        <v>4.5</v>
      </c>
      <c r="CK28" s="260">
        <f t="shared" si="26"/>
        <v>4.5000000000000003E-5</v>
      </c>
      <c r="CL28" s="289">
        <f t="shared" si="27"/>
        <v>4.499898751519904E-5</v>
      </c>
      <c r="CM28" s="289">
        <f t="shared" si="28"/>
        <v>3.4238149038134935E-6</v>
      </c>
      <c r="CN28" s="289">
        <f t="shared" si="29"/>
        <v>8.6572431625575597E-5</v>
      </c>
      <c r="CO28" s="290">
        <f t="shared" si="30"/>
        <v>4.5001575082964331</v>
      </c>
      <c r="CP28" s="290">
        <f t="shared" si="31"/>
        <v>100001.25012246058</v>
      </c>
      <c r="CQ28" s="289">
        <f t="shared" ca="1" si="32"/>
        <v>4.679754773095901E-5</v>
      </c>
      <c r="CR28" s="289">
        <f>IF(psa,CQ28,CL28)</f>
        <v>4.499898751519904E-5</v>
      </c>
      <c r="CS28" s="373">
        <v>1.1000000000000001</v>
      </c>
      <c r="CT28" s="260">
        <f t="shared" si="33"/>
        <v>1.1000000000000001E-5</v>
      </c>
      <c r="CU28" s="289">
        <f t="shared" si="34"/>
        <v>1.0999939500266898E-5</v>
      </c>
      <c r="CV28" s="289">
        <f t="shared" si="35"/>
        <v>-9.5562082913502877E-6</v>
      </c>
      <c r="CW28" s="289">
        <f t="shared" si="36"/>
        <v>3.1555664740556821E-5</v>
      </c>
      <c r="CX28" s="290">
        <f t="shared" si="37"/>
        <v>1.1000011000508421</v>
      </c>
      <c r="CY28" s="290">
        <f t="shared" si="38"/>
        <v>99999.550004670629</v>
      </c>
      <c r="CZ28" s="289">
        <f t="shared" ca="1" si="39"/>
        <v>5.075837777757958E-6</v>
      </c>
      <c r="DA28" s="289">
        <f>IF(psa,CZ28,CU28)</f>
        <v>1.0999939500266898E-5</v>
      </c>
    </row>
    <row r="29" spans="17:105" ht="15" customHeight="1" x14ac:dyDescent="0.2">
      <c r="Q29" s="11"/>
      <c r="S29" s="11"/>
      <c r="U29" s="9" t="s">
        <v>9</v>
      </c>
      <c r="V29" s="250">
        <f>1-SUM(V26,V27,V28)</f>
        <v>0.92999999999999994</v>
      </c>
      <c r="AA29" s="261">
        <f>R27*T27*V29</f>
        <v>1.2574963884963618E-2</v>
      </c>
      <c r="AD29" s="12">
        <v>23</v>
      </c>
      <c r="AE29" s="12">
        <f t="shared" si="2"/>
        <v>68</v>
      </c>
      <c r="AF29" s="260">
        <f>AF28*(1-VLOOKUP(AE29,boc_trpr_bc,11,TRUE)*boc_rr_bc_mast-VLOOKUP(AE29,boc_trpr_oc,11,TRUE)*boc_rr_oc_mast-VLOOKUP(AE29,mortt,2,FALSE))+SUM(AI28,AK28,AM28)*boc_tr_mast_path+SUM(AJ28,AL28,AN28)*boc_tr_mast_vus</f>
        <v>1.8777106406677634E-2</v>
      </c>
      <c r="AG29" s="260">
        <f>AG28*(1-VLOOKUP(AE29,boc_trpr_bc,11,TRUE)*boc_rr_bc_ooph-VLOOKUP(AE29,boc_trpr_oc,11,TRUE)*boc_rr_oc_ooph-VLOOKUP(AE29,mortt,2,FALSE))+SUM(AI28,AK28,AM28)*boc_tr_ooph_path+SUM(AJ28,AL28,AN28)*boc_tr_ooph_vus</f>
        <v>1.8070550850808543E-2</v>
      </c>
      <c r="AH29" s="260">
        <f>AH28*(1-VLOOKUP(AE29,boc_trpr_bc,11,TRUE)*boc_rr_bc_both-VLOOKUP(AE29,boc_trpr_oc,11,TRUE)*boc_rr_oc_both-VLOOKUP(AE29,mortt,2,FALSE))+SUM(AI28,AK28,AM28)*boc_tr_both_path+SUM(AJ28,AL28,AN28)*boc_tr_both_vus</f>
        <v>1.8414391697317786E-2</v>
      </c>
      <c r="AI29" s="289">
        <f>AI28*(1-VLOOKUP(AE29,boc_trpr_bc,11,TRUE)*boc_rr_bc_hip-VLOOKUP(AE29,boc_trpr_oc,11,TRUE)*boc_rr_oc_hip-boc_tr_mast_path-boc_tr_ooph_path-boc_tr_both_path-VLOOKUP(AE29,mortt,2,FALSE))</f>
        <v>4.9002063459089619E-19</v>
      </c>
      <c r="AJ29" s="289">
        <f>AJ28*(1-VLOOKUP(AE29,boc_trpr_bc,11,TRUE)*boc_rr_bc_hiv-VLOOKUP(AE29,boc_trpr_oc,11,TRUE)*boc_rr_oc_hiv-boc_tr_mast_vus-boc_tr_ooph_vus-boc_tr_both_vus-VLOOKUP(AE29,mortt,2,FALSE))</f>
        <v>1.8473138895444752E-4</v>
      </c>
      <c r="AK29" s="289">
        <f>AK28*(1-VLOOKUP(AE29,boc_trpr_bc,11,TRUE)*boc_rr_bc_modp-VLOOKUP(AE29,boc_trpr_oc,11,TRUE)*boc_rr_oc_modp-boc_tr_mast_path-boc_tr_ooph_path-boc_tr_both_path-VLOOKUP(AE29,mortt,2,FALSE))</f>
        <v>9.7470477081054863E-18</v>
      </c>
      <c r="AL29" s="289">
        <f>AL28*(1-VLOOKUP(AE29,boc_trpr_bc,11,TRUE)*boc_rr_bc_modv-VLOOKUP(AE29,boc_trpr_oc,11,TRUE)*boc_rr_oc_modv-boc_tr_mast_vus-boc_tr_ooph_vus-boc_tr_both_vus-VLOOKUP(AE29,mortt,2,FALSE))</f>
        <v>2.3488183494893691E-4</v>
      </c>
      <c r="AM29" s="289">
        <f>AM28*(1-VLOOKUP(AE29,boc_trpr_bc,11,TRUE)*boc_rr_bc_lop-VLOOKUP(AE29,boc_trpr_oc,11,TRUE)*boc_rr_oc_lop-boc_tr_mast_path-boc_tr_ooph_path-boc_tr_both_path-VLOOKUP(AE29,mortt,2,FALSE))</f>
        <v>5.1576962224933314E-18</v>
      </c>
      <c r="AN29" s="289">
        <f>AN28*(1-VLOOKUP(AE29,boc_trpr_bc,11,TRUE)*boc_rr_bc_lov-VLOOKUP(AE29,boc_trpr_oc,11,TRUE)*boc_rr_oc_lov-boc_tr_mast_vus-boc_tr_ooph_vus-boc_tr_both_vus-VLOOKUP(AE29,mortt,2,FALSE))</f>
        <v>5.1420077634052729E-5</v>
      </c>
      <c r="AO29" s="260">
        <f>AO28*(1-VLOOKUP(AE29,boc_trpr_bc,11,TRUE)*boc_rr_bc_np-VLOOKUP(AE29,boc_trpr_oc,11,TRUE)*boc_rr_oc_np-VLOOKUP(AE29,mortt,2,FALSE))</f>
        <v>0.76521196137376335</v>
      </c>
      <c r="AP29" s="260">
        <f>AF28*VLOOKUP(AE29,boc_trpr_bc,11,TRUE)*boc_rr_bc_mast+AG28*VLOOKUP(AE29,boc_trpr_bc,11,TRUE)*boc_rr_bc_ooph+AH28*VLOOKUP(AE29,boc_trpr_bc,11,TRUE)*boc_rr_bc_both+AI28*VLOOKUP(AE29,boc_trpr_bc,11,TRUE)*boc_rr_bc_hip+AJ28*VLOOKUP(AE29,boc_trpr_bc,11,TRUE)*boc_rr_bc_hiv+AK28*VLOOKUP(AE29,boc_trpr_bc,11,TRUE)*boc_rr_bc_modp+AL28*VLOOKUP(AE29,boc_trpr_bc,11,TRUE)*boc_rr_bc_modv+AM28*VLOOKUP(AE29,boc_trpr_bc,11,TRUE)*boc_rr_bc_lop+AN28*VLOOKUP(AE29,boc_trpr_bc,11,TRUE)*boc_rr_bc_lov+AO28*VLOOKUP(AE29,boc_trpr_bc,11,TRUE)*boc_rr_bc_np</f>
        <v>2.6723077801516135E-3</v>
      </c>
      <c r="AQ29" s="260">
        <f>AF28*VLOOKUP(AE29,boc_trpr_oc,11,TRUE)*boc_rr_oc_mast+AG28*VLOOKUP(AE29,boc_trpr_oc,11,TRUE)*boc_rr_oc_ooph+AH28*VLOOKUP(AE29,boc_trpr_oc,11,TRUE)*boc_rr_oc_both+AI28*VLOOKUP(AE29,boc_trpr_oc,11,TRUE)*boc_rr_oc_hip+AJ28*VLOOKUP(AE29,boc_trpr_oc,11,TRUE)*boc_rr_oc_hiv+AK28*VLOOKUP(AE29,boc_trpr_oc,11,TRUE)*boc_rr_oc_modp+AL28*VLOOKUP(AE29,boc_trpr_oc,11,TRUE)*boc_rr_oc_modv+AM28*VLOOKUP(AE29,boc_trpr_oc,11,TRUE)*boc_rr_oc_lop+AN28*VLOOKUP(AE29,boc_trpr_oc,11,TRUE)*boc_rr_oc_lov+AO28*VLOOKUP(AE29,boc_trpr_oc,11,TRUE)*boc_rr_oc_np</f>
        <v>2.3372628848647128E-4</v>
      </c>
      <c r="AR29" s="260">
        <f>AP28*(1-VLOOKUP(AE29,boc_trpr_bc_death,20,TRUE))+AQ28*(1-VLOOKUP(AE29,boc_trpr_oc_death,20,TRUE))+AR28*(1-VLOOKUP(AE29,mortt,2,FALSE)*boc_rr_death_pc)</f>
        <v>4.3770203777952585E-2</v>
      </c>
      <c r="AS29" s="260">
        <f>AS28+SUM(AF28:AO28)*VLOOKUP(AE29,mortt,2,FALSE)+AP28*VLOOKUP(AE29,boc_trpr_bc_death,20,TRUE)+AQ28*VLOOKUP(AE29,boc_trpr_bc_death,20,TRUE)+AR28*VLOOKUP(AE29,mortt,2,FALSE)*boc_rr_death_pc</f>
        <v>0.13237969027977292</v>
      </c>
      <c r="AT29" s="260">
        <f t="shared" si="23"/>
        <v>1.0000009717564684</v>
      </c>
      <c r="AU29" s="118">
        <f>(boc_cost_mast*SUM(AI29,AK29,AM29)*(boc_tr_mast_path+boc_tr_both_path)+SUM(AJ29,AL29,AN29)*(boc_tr_mast_vus+boc_tr_both_vus)+AP29*boc_cost_bc+AQ29*boc_cost_oc+AR29*boc_cost_pc+(AP29*VLOOKUP(AE29,boc_trpr_bc_death,20,TRUE)+AQ29*VLOOKUP(AE29,boc_trpr_oc_death,TRUE)*boc_cost_death))/((1+discount)^AD29)</f>
        <v>785.21783038688022</v>
      </c>
      <c r="AV29" s="35">
        <f t="shared" si="3"/>
        <v>0.41519466056443316</v>
      </c>
      <c r="AW29" s="35">
        <f t="shared" si="4"/>
        <v>0.43961605170525508</v>
      </c>
      <c r="AY29" s="12">
        <v>23</v>
      </c>
      <c r="AZ29" s="12">
        <f t="shared" si="5"/>
        <v>68</v>
      </c>
      <c r="BA29" s="260">
        <f>BA28*(1-VLOOKUP(AZ29,boc_trpr_bc,11,TRUE)*boc_rr_bc_mast-VLOOKUP(AZ29,boc_trpr_oc,11,TRUE)*boc_rr_oc_mast-VLOOKUP(AZ29,mortt,2,FALSE))</f>
        <v>8.6018716641098822E-3</v>
      </c>
      <c r="BB29" s="260">
        <f>BB28*(1-VLOOKUP(AZ29,boc_trpr_bc,11,TRUE)*boc_rr_bc_ooph-VLOOKUP(AZ29,boc_trpr_oc,11,TRUE)*boc_rr_oc_ooph-VLOOKUP(AZ29,mortt,2,FALSE))</f>
        <v>8.4440387716784738E-3</v>
      </c>
      <c r="BC29" s="260">
        <f>BC28*(1-VLOOKUP(AZ29,boc_trpr_bc,11,TRUE)*boc_rr_bc_both-VLOOKUP(AZ29,boc_trpr_oc,11,TRUE)*boc_rr_oc_both-VLOOKUP(AZ29,mortt,2,FALSE))</f>
        <v>8.6594244000835693E-3</v>
      </c>
      <c r="BD29" s="289">
        <f>BD28*(1-VLOOKUP(AZ29,boc_trpr_bc,11,TRUE)*boc_rr_bc_hip-VLOOKUP(AZ29,boc_trpr_oc,11,TRUE)*boc_rr_oc_hip-VLOOKUP(AZ29,mortt,2,FALSE))</f>
        <v>1.2524224955937869E-3</v>
      </c>
      <c r="BE29" s="289">
        <f>BE28*(1-VLOOKUP(AZ29,boc_trpr_bc,11,TRUE)*boc_rr_bc_hiv-VLOOKUP(AZ29,boc_trpr_oc,11,TRUE)*boc_rr_oc_hiv-VLOOKUP(AZ29,mortt,2,FALSE))</f>
        <v>8.3959869454498567E-3</v>
      </c>
      <c r="BF29" s="289">
        <f>BF28*(1-VLOOKUP(AZ29,boc_trpr_bc,11,TRUE)*boc_rr_bc_modp-VLOOKUP(AZ29,boc_trpr_oc,11,TRUE)*boc_rr_oc_modp-VLOOKUP(AZ29,mortt,2,FALSE))</f>
        <v>2.9341260833706685E-3</v>
      </c>
      <c r="BG29" s="289">
        <f>BG28*(1-VLOOKUP(AZ29,boc_trpr_bc,11,TRUE)*boc_rr_bc_modv-VLOOKUP(AZ29,boc_trpr_oc,11,TRUE)*boc_rr_oc_modv-VLOOKUP(AZ29,mortt,2,FALSE))</f>
        <v>1.0675309870813929E-2</v>
      </c>
      <c r="BH29" s="289">
        <f>BH28*(1-VLOOKUP(AZ29,boc_trpr_bc,11,TRUE)*boc_rr_bc_lop-VLOOKUP(AZ29,boc_trpr_oc,11,TRUE)*boc_rr_oc_lop-VLOOKUP(AZ29,mortt,2,FALSE))</f>
        <v>7.9227032969640687E-4</v>
      </c>
      <c r="BI29" s="289">
        <f>BI28*(1-VLOOKUP(AZ29,boc_trpr_bc,11,TRUE)*boc_rr_bc_lov-VLOOKUP(AZ29,boc_trpr_oc,11,TRUE)*boc_rr_oc_lov-VLOOKUP(AZ29,mortt,2,FALSE))</f>
        <v>2.3370273075572555E-3</v>
      </c>
      <c r="BJ29" s="260">
        <f>BJ28*(1-VLOOKUP(AZ29,boc_trpr_bc,11,TRUE)*boc_rr_bc_np-VLOOKUP(AZ29,boc_trpr_oc,11,TRUE)*boc_rr_oc_np-VLOOKUP(AZ29,mortt,2,FALSE))</f>
        <v>0.76521196137376335</v>
      </c>
      <c r="BK29" s="260">
        <f>BA28*VLOOKUP(AZ29,boc_trpr_bc,11,TRUE)*boc_rr_bc_mast+BB28*VLOOKUP(AZ29,boc_trpr_bc,11,TRUE)*boc_rr_bc_ooph+BC28*VLOOKUP(AZ29,boc_trpr_bc,11,TRUE)*boc_rr_bc_both+BD28*VLOOKUP(AZ29,boc_trpr_bc,11,TRUE)*boc_rr_bc_hip+BE28*VLOOKUP(AZ29,boc_trpr_bc,11,TRUE)*boc_rr_bc_hiv+BF28*VLOOKUP(AZ29,boc_trpr_bc,11,TRUE)*boc_rr_bc_modp+BG28*VLOOKUP(AZ29,boc_trpr_bc,11,TRUE)*boc_rr_bc_modv+BH28*VLOOKUP(AZ29,boc_trpr_bc,11,TRUE)*boc_rr_bc_lop+BI28*VLOOKUP(AZ29,boc_trpr_bc,11,TRUE)*boc_rr_bc_lov+BJ28*VLOOKUP(AZ29,boc_trpr_bc,11,TRUE)*boc_rr_bc_np</f>
        <v>2.8525815554369116E-3</v>
      </c>
      <c r="BL29" s="260">
        <f>BA28*VLOOKUP(AZ29,boc_trpr_oc,11,TRUE)*boc_rr_oc_mast+BB28*VLOOKUP(AZ29,boc_trpr_oc,11,TRUE)*boc_rr_oc_ooph+BC28*VLOOKUP(AZ29,boc_trpr_oc,11,TRUE)*boc_rr_oc_both+BD28*VLOOKUP(AZ29,boc_trpr_oc,11,TRUE)*boc_rr_oc_hip+BE28*VLOOKUP(AZ29,boc_trpr_oc,11,TRUE)*boc_rr_oc_hiv+BF28*VLOOKUP(AZ29,boc_trpr_oc,11,TRUE)*boc_rr_oc_modp+BG28*VLOOKUP(AZ29,boc_trpr_oc,11,TRUE)*boc_rr_oc_modv+BH28*VLOOKUP(AZ29,boc_trpr_oc,11,TRUE)*boc_rr_oc_lop+BI28*VLOOKUP(AZ29,boc_trpr_oc,11,TRUE)*boc_rr_oc_lov+BJ28*VLOOKUP(AZ29,boc_trpr_oc,11,TRUE)*boc_rr_oc_np</f>
        <v>2.472272479868525E-4</v>
      </c>
      <c r="BM29" s="260">
        <f>BK28*(1-VLOOKUP(AZ29,boc_trpr_bc_death,20,TRUE))+BL28*(1-VLOOKUP(AZ29,boc_trpr_oc_death,20,TRUE))+BM28*(1-VLOOKUP(AZ29,mortt,2,FALSE)*boc_rr_death_pc)</f>
        <v>4.7112511027969761E-2</v>
      </c>
      <c r="BN29" s="260">
        <f>BN28+SUM(BA28:BJ28)*VLOOKUP(AZ29,mortt,2,FALSE)+BK28*VLOOKUP(AZ29,boc_trpr_bc_death,20,TRUE)+BL28*VLOOKUP(AZ29,boc_trpr_bc_death,20,TRUE)+BM28*VLOOKUP(AZ29,mortt,2,FALSE)*boc_rr_death_pc</f>
        <v>0.13248427938716539</v>
      </c>
      <c r="BO29" s="260">
        <f t="shared" si="24"/>
        <v>1.0000010384606761</v>
      </c>
      <c r="BP29" s="118">
        <f>(boc_cost_mast*SUM(BD29,BF29,BH29)*(boc_tr_mast_path+boc_tr_both_path)+SUM(BE29,BG29,BI29)*(boc_tr_mast_vus+boc_tr_both_vus)+BK29*boc_cost_bc+BL29*boc_cost_oc+BM29*boc_cost_pc+(BK29*VLOOKUP(AZ29,boc_trpr_bc_death,20,TRUE)+BL29*VLOOKUP(AZ29,boc_trpr_oc_death,TRUE)*boc_cost_death))/((1+discount)^AY29)</f>
        <v>850.65182267133935</v>
      </c>
      <c r="BQ29" s="35">
        <f t="shared" si="6"/>
        <v>0.41472804455003043</v>
      </c>
      <c r="BR29" s="35">
        <f t="shared" si="7"/>
        <v>0.43956305726756362</v>
      </c>
      <c r="BS29" s="35"/>
      <c r="BU29" s="33">
        <v>64</v>
      </c>
      <c r="BV29" t="str">
        <f>$M$52</f>
        <v>boc_path_low_path</v>
      </c>
      <c r="BW29" s="35">
        <f>$F$52</f>
        <v>7.5314916800000006E-2</v>
      </c>
      <c r="BX29" s="35">
        <f>$G$52</f>
        <v>0.11297237519999999</v>
      </c>
      <c r="BY29" s="311">
        <v>-6.7048499809043278</v>
      </c>
      <c r="BZ29" s="311">
        <v>-8.4015457334785424</v>
      </c>
      <c r="CA29" s="311">
        <f t="shared" si="25"/>
        <v>1.6966957525742146</v>
      </c>
      <c r="CD29" s="138">
        <v>24</v>
      </c>
      <c r="CE29" s="291">
        <v>4.9600000000000002E-4</v>
      </c>
      <c r="CH29" s="12">
        <v>44</v>
      </c>
      <c r="CI29" s="12" t="s">
        <v>307</v>
      </c>
      <c r="CJ29" s="376">
        <v>8.9</v>
      </c>
      <c r="CK29" s="260">
        <f t="shared" si="26"/>
        <v>8.9000000000000008E-5</v>
      </c>
      <c r="CL29" s="289">
        <f t="shared" si="27"/>
        <v>8.8996039617539324E-5</v>
      </c>
      <c r="CM29" s="289">
        <f t="shared" si="28"/>
        <v>3.0530789553728788E-5</v>
      </c>
      <c r="CN29" s="289">
        <f t="shared" si="29"/>
        <v>1.4745787139147648E-4</v>
      </c>
      <c r="CO29" s="290">
        <f t="shared" si="30"/>
        <v>8.9007031701966977</v>
      </c>
      <c r="CP29" s="290">
        <f t="shared" si="31"/>
        <v>100003.45050310246</v>
      </c>
      <c r="CQ29" s="289">
        <f t="shared" ca="1" si="32"/>
        <v>1.0735224101920959E-4</v>
      </c>
      <c r="CR29" s="289">
        <f>IF(psa,CQ29,CL29)</f>
        <v>8.8996039617539324E-5</v>
      </c>
      <c r="CS29" s="373">
        <v>2.2000000000000002</v>
      </c>
      <c r="CT29" s="260">
        <f t="shared" si="33"/>
        <v>2.2000000000000003E-5</v>
      </c>
      <c r="CU29" s="289">
        <f t="shared" si="34"/>
        <v>2.1999758001767233E-5</v>
      </c>
      <c r="CV29" s="289">
        <f t="shared" si="35"/>
        <v>-7.0706690884492218E-6</v>
      </c>
      <c r="CW29" s="289">
        <f t="shared" si="36"/>
        <v>5.1069340008313979E-5</v>
      </c>
      <c r="CX29" s="290">
        <f t="shared" si="37"/>
        <v>2.2000264007792198</v>
      </c>
      <c r="CY29" s="290">
        <f t="shared" si="38"/>
        <v>100000.10002628583</v>
      </c>
      <c r="CZ29" s="289">
        <f t="shared" ca="1" si="39"/>
        <v>2.3654251608329346E-5</v>
      </c>
      <c r="DA29" s="289">
        <f>IF(psa,CZ29,CU29)</f>
        <v>2.1999758001767233E-5</v>
      </c>
    </row>
    <row r="30" spans="17:105" ht="15" customHeight="1" x14ac:dyDescent="0.2">
      <c r="Q30" s="11"/>
      <c r="S30" s="11"/>
      <c r="AD30" s="12">
        <v>24</v>
      </c>
      <c r="AE30" s="12">
        <f t="shared" si="2"/>
        <v>69</v>
      </c>
      <c r="AF30" s="260">
        <f>AF29*(1-VLOOKUP(AE30,boc_trpr_bc,11,TRUE)*boc_rr_bc_mast-VLOOKUP(AE30,boc_trpr_oc,11,TRUE)*boc_rr_oc_mast-VLOOKUP(AE30,mortt,2,FALSE))+SUM(AI29,AK29,AM29)*boc_tr_mast_path+SUM(AJ29,AL29,AN29)*boc_tr_mast_vus</f>
        <v>1.8528746087919417E-2</v>
      </c>
      <c r="AG30" s="260">
        <f>AG29*(1-VLOOKUP(AE30,boc_trpr_bc,11,TRUE)*boc_rr_bc_ooph-VLOOKUP(AE30,boc_trpr_oc,11,TRUE)*boc_rr_oc_ooph-VLOOKUP(AE30,mortt,2,FALSE))+SUM(AI29,AK29,AM29)*boc_tr_ooph_path+SUM(AJ29,AL29,AN29)*boc_tr_ooph_vus</f>
        <v>1.7806538398427264E-2</v>
      </c>
      <c r="AH30" s="260">
        <f>AH29*(1-VLOOKUP(AE30,boc_trpr_bc,11,TRUE)*boc_rr_bc_both-VLOOKUP(AE30,boc_trpr_oc,11,TRUE)*boc_rr_oc_both-VLOOKUP(AE30,mortt,2,FALSE))+SUM(AI29,AK29,AM29)*boc_tr_both_path+SUM(AJ29,AL29,AN29)*boc_tr_both_vus</f>
        <v>1.8180746960300323E-2</v>
      </c>
      <c r="AI30" s="289">
        <f>AI29*(1-VLOOKUP(AE30,boc_trpr_bc,11,TRUE)*boc_rr_bc_hip-VLOOKUP(AE30,boc_trpr_oc,11,TRUE)*boc_rr_oc_hip-boc_tr_mast_path-boc_tr_ooph_path-boc_tr_both_path-VLOOKUP(AE30,mortt,2,FALSE))</f>
        <v>8.2047885632747252E-20</v>
      </c>
      <c r="AJ30" s="289">
        <f>AJ29*(1-VLOOKUP(AE30,boc_trpr_bc,11,TRUE)*boc_rr_bc_hiv-VLOOKUP(AE30,boc_trpr_oc,11,TRUE)*boc_rr_oc_hiv-boc_tr_mast_vus-boc_tr_ooph_vus-boc_tr_both_vus-VLOOKUP(AE30,mortt,2,FALSE))</f>
        <v>1.5355832636939533E-4</v>
      </c>
      <c r="AK30" s="289">
        <f>AK29*(1-VLOOKUP(AE30,boc_trpr_bc,11,TRUE)*boc_rr_bc_modp-VLOOKUP(AE30,boc_trpr_oc,11,TRUE)*boc_rr_oc_modp-boc_tr_mast_path-boc_tr_ooph_path-boc_tr_both_path-VLOOKUP(AE30,mortt,2,FALSE))</f>
        <v>2.0795053807259818E-18</v>
      </c>
      <c r="AL30" s="289">
        <f>AL29*(1-VLOOKUP(AE30,boc_trpr_bc,11,TRUE)*boc_rr_bc_modv-VLOOKUP(AE30,boc_trpr_oc,11,TRUE)*boc_rr_oc_modv-boc_tr_mast_vus-boc_tr_ooph_vus-boc_tr_both_vus-VLOOKUP(AE30,mortt,2,FALSE))</f>
        <v>1.9524598214451381E-4</v>
      </c>
      <c r="AM30" s="289">
        <f>AM29*(1-VLOOKUP(AE30,boc_trpr_bc,11,TRUE)*boc_rr_bc_lop-VLOOKUP(AE30,boc_trpr_oc,11,TRUE)*boc_rr_oc_lop-boc_tr_mast_path-boc_tr_ooph_path-boc_tr_both_path-VLOOKUP(AE30,mortt,2,FALSE))</f>
        <v>1.1832557741677564E-18</v>
      </c>
      <c r="AN30" s="289">
        <f>AN29*(1-VLOOKUP(AE30,boc_trpr_bc,11,TRUE)*boc_rr_bc_lov-VLOOKUP(AE30,boc_trpr_oc,11,TRUE)*boc_rr_oc_lov-boc_tr_mast_vus-boc_tr_ooph_vus-boc_tr_both_vus-VLOOKUP(AE30,mortt,2,FALSE))</f>
        <v>4.2743039544928476E-5</v>
      </c>
      <c r="AO30" s="260">
        <f>AO29*(1-VLOOKUP(AE30,boc_trpr_bc,11,TRUE)*boc_rr_bc_np-VLOOKUP(AE30,boc_trpr_oc,11,TRUE)*boc_rr_oc_np-VLOOKUP(AE30,mortt,2,FALSE))</f>
        <v>0.75121703111052252</v>
      </c>
      <c r="AP30" s="260">
        <f>AF29*VLOOKUP(AE30,boc_trpr_bc,11,TRUE)*boc_rr_bc_mast+AG29*VLOOKUP(AE30,boc_trpr_bc,11,TRUE)*boc_rr_bc_ooph+AH29*VLOOKUP(AE30,boc_trpr_bc,11,TRUE)*boc_rr_bc_both+AI29*VLOOKUP(AE30,boc_trpr_bc,11,TRUE)*boc_rr_bc_hip+AJ29*VLOOKUP(AE30,boc_trpr_bc,11,TRUE)*boc_rr_bc_hiv+AK29*VLOOKUP(AE30,boc_trpr_bc,11,TRUE)*boc_rr_bc_modp+AL29*VLOOKUP(AE30,boc_trpr_bc,11,TRUE)*boc_rr_bc_modv+AM29*VLOOKUP(AE30,boc_trpr_bc,11,TRUE)*boc_rr_bc_lop+AN29*VLOOKUP(AE30,boc_trpr_bc,11,TRUE)*boc_rr_bc_lov+AO29*VLOOKUP(AE30,boc_trpr_bc,11,TRUE)*boc_rr_bc_np</f>
        <v>3.2906555991495823E-3</v>
      </c>
      <c r="AQ30" s="260">
        <f>AF29*VLOOKUP(AE30,boc_trpr_oc,11,TRUE)*boc_rr_oc_mast+AG29*VLOOKUP(AE30,boc_trpr_oc,11,TRUE)*boc_rr_oc_ooph+AH29*VLOOKUP(AE30,boc_trpr_oc,11,TRUE)*boc_rr_oc_both+AI29*VLOOKUP(AE30,boc_trpr_oc,11,TRUE)*boc_rr_oc_hip+AJ29*VLOOKUP(AE30,boc_trpr_oc,11,TRUE)*boc_rr_oc_hiv+AK29*VLOOKUP(AE30,boc_trpr_oc,11,TRUE)*boc_rr_oc_modp+AL29*VLOOKUP(AE30,boc_trpr_oc,11,TRUE)*boc_rr_oc_modv+AM29*VLOOKUP(AE30,boc_trpr_oc,11,TRUE)*boc_rr_oc_lop+AN29*VLOOKUP(AE30,boc_trpr_oc,11,TRUE)*boc_rr_oc_lov+AO29*VLOOKUP(AE30,boc_trpr_oc,11,TRUE)*boc_rr_oc_np</f>
        <v>2.8447291808160138E-4</v>
      </c>
      <c r="AR30" s="260">
        <f>AP29*(1-VLOOKUP(AE30,boc_trpr_bc_death,20,TRUE))+AQ29*(1-VLOOKUP(AE30,boc_trpr_oc_death,20,TRUE))+AR29*(1-VLOOKUP(AE30,mortt,2,FALSE)*boc_rr_death_pc)</f>
        <v>4.5775104955281705E-2</v>
      </c>
      <c r="AS30" s="260">
        <f>AS29+SUM(AF29:AO29)*VLOOKUP(AE30,mortt,2,FALSE)+AP29*VLOOKUP(AE30,boc_trpr_bc_death,20,TRUE)+AQ29*VLOOKUP(AE30,boc_trpr_bc_death,20,TRUE)+AR29*VLOOKUP(AE30,mortt,2,FALSE)*boc_rr_death_pc</f>
        <v>0.14452621855621534</v>
      </c>
      <c r="AT30" s="260">
        <f>SUM(AF30:AS30)</f>
        <v>1.0000010619339565</v>
      </c>
      <c r="AU30" s="118">
        <f>(boc_cost_mast*SUM(AI30,AK30,AM30)*(boc_tr_mast_path+boc_tr_both_path)+SUM(AJ30,AL30,AN30)*(boc_tr_mast_vus+boc_tr_both_vus)+AP30*boc_cost_bc+AQ30*boc_cost_oc+AR30*boc_cost_pc+(AP30*VLOOKUP(AE30,boc_trpr_bc_death,20,TRUE)+AQ30*VLOOKUP(AE30,boc_trpr_oc_death,TRUE)*boc_cost_death))/((1+discount)^AD30)</f>
        <v>946.51110841090474</v>
      </c>
      <c r="AV30" s="35">
        <f t="shared" si="3"/>
        <v>0.39727752230080177</v>
      </c>
      <c r="AW30" s="35">
        <f t="shared" si="4"/>
        <v>0.42083641364612989</v>
      </c>
      <c r="AY30" s="12">
        <v>24</v>
      </c>
      <c r="AZ30" s="12">
        <f t="shared" si="5"/>
        <v>69</v>
      </c>
      <c r="BA30" s="260">
        <f>BA29*(1-VLOOKUP(AZ30,boc_trpr_bc,11,TRUE)*boc_rr_bc_mast-VLOOKUP(AZ30,boc_trpr_oc,11,TRUE)*boc_rr_oc_mast-VLOOKUP(AZ30,mortt,2,FALSE))</f>
        <v>8.477307637138656E-3</v>
      </c>
      <c r="BB30" s="260">
        <f>BB29*(1-VLOOKUP(AZ30,boc_trpr_bc,11,TRUE)*boc_rr_bc_ooph-VLOOKUP(AZ30,boc_trpr_oc,11,TRUE)*boc_rr_oc_ooph-VLOOKUP(AZ30,mortt,2,FALSE))</f>
        <v>8.3096653053017413E-3</v>
      </c>
      <c r="BC30" s="260">
        <f>BC29*(1-VLOOKUP(AZ30,boc_trpr_bc,11,TRUE)*boc_rr_bc_both-VLOOKUP(AZ30,boc_trpr_oc,11,TRUE)*boc_rr_oc_both-VLOOKUP(AZ30,mortt,2,FALSE))</f>
        <v>8.5384770000000894E-3</v>
      </c>
      <c r="BD30" s="289">
        <f>BD29*(1-VLOOKUP(AZ30,boc_trpr_bc,11,TRUE)*boc_rr_bc_hip-VLOOKUP(AZ30,boc_trpr_oc,11,TRUE)*boc_rr_oc_hip-VLOOKUP(AZ30,mortt,2,FALSE))</f>
        <v>1.1490195054796278E-3</v>
      </c>
      <c r="BE30" s="289">
        <f>BE29*(1-VLOOKUP(AZ30,boc_trpr_bc,11,TRUE)*boc_rr_bc_hiv-VLOOKUP(AZ30,boc_trpr_oc,11,TRUE)*boc_rr_oc_hiv-VLOOKUP(AZ30,mortt,2,FALSE))</f>
        <v>8.2385785203472582E-3</v>
      </c>
      <c r="BF30" s="289">
        <f>BF29*(1-VLOOKUP(AZ30,boc_trpr_bc,11,TRUE)*boc_rr_bc_modp-VLOOKUP(AZ30,boc_trpr_oc,11,TRUE)*boc_rr_oc_modp-VLOOKUP(AZ30,mortt,2,FALSE))</f>
        <v>2.8265821600878061E-3</v>
      </c>
      <c r="BG30" s="289">
        <f>BG29*(1-VLOOKUP(AZ30,boc_trpr_bc,11,TRUE)*boc_rr_bc_modv-VLOOKUP(AZ30,boc_trpr_oc,11,TRUE)*boc_rr_oc_modv-VLOOKUP(AZ30,mortt,2,FALSE))</f>
        <v>1.0475168574124833E-2</v>
      </c>
      <c r="BH30" s="289">
        <f>BH29*(1-VLOOKUP(AZ30,boc_trpr_bc,11,TRUE)*boc_rr_bc_lop-VLOOKUP(AZ30,boc_trpr_oc,11,TRUE)*boc_rr_oc_lop-VLOOKUP(AZ30,mortt,2,FALSE))</f>
        <v>7.7596188970234915E-4</v>
      </c>
      <c r="BI30" s="289">
        <f>BI29*(1-VLOOKUP(AZ30,boc_trpr_bc,11,TRUE)*boc_rr_bc_lov-VLOOKUP(AZ30,boc_trpr_oc,11,TRUE)*boc_rr_oc_lov-VLOOKUP(AZ30,mortt,2,FALSE))</f>
        <v>2.2932125910391792E-3</v>
      </c>
      <c r="BJ30" s="260">
        <f>BJ29*(1-VLOOKUP(AZ30,boc_trpr_bc,11,TRUE)*boc_rr_bc_np-VLOOKUP(AZ30,boc_trpr_oc,11,TRUE)*boc_rr_oc_np-VLOOKUP(AZ30,mortt,2,FALSE))</f>
        <v>0.75121703111052252</v>
      </c>
      <c r="BK30" s="260">
        <f>BA29*VLOOKUP(AZ30,boc_trpr_bc,11,TRUE)*boc_rr_bc_mast+BB29*VLOOKUP(AZ30,boc_trpr_bc,11,TRUE)*boc_rr_bc_ooph+BC29*VLOOKUP(AZ30,boc_trpr_bc,11,TRUE)*boc_rr_bc_both+BD29*VLOOKUP(AZ30,boc_trpr_bc,11,TRUE)*boc_rr_bc_hip+BE29*VLOOKUP(AZ30,boc_trpr_bc,11,TRUE)*boc_rr_bc_hiv+BF29*VLOOKUP(AZ30,boc_trpr_bc,11,TRUE)*boc_rr_bc_modp+BG29*VLOOKUP(AZ30,boc_trpr_bc,11,TRUE)*boc_rr_bc_modv+BH29*VLOOKUP(AZ30,boc_trpr_bc,11,TRUE)*boc_rr_bc_lop+BI29*VLOOKUP(AZ30,boc_trpr_bc,11,TRUE)*boc_rr_bc_lov+BJ29*VLOOKUP(AZ30,boc_trpr_bc,11,TRUE)*boc_rr_bc_np</f>
        <v>3.507544654485092E-3</v>
      </c>
      <c r="BL30" s="260">
        <f>BA29*VLOOKUP(AZ30,boc_trpr_oc,11,TRUE)*boc_rr_oc_mast+BB29*VLOOKUP(AZ30,boc_trpr_oc,11,TRUE)*boc_rr_oc_ooph+BC29*VLOOKUP(AZ30,boc_trpr_oc,11,TRUE)*boc_rr_oc_both+BD29*VLOOKUP(AZ30,boc_trpr_oc,11,TRUE)*boc_rr_oc_hip+BE29*VLOOKUP(AZ30,boc_trpr_oc,11,TRUE)*boc_rr_oc_hiv+BF29*VLOOKUP(AZ30,boc_trpr_oc,11,TRUE)*boc_rr_oc_modp+BG29*VLOOKUP(AZ30,boc_trpr_oc,11,TRUE)*boc_rr_oc_modv+BH29*VLOOKUP(AZ30,boc_trpr_oc,11,TRUE)*boc_rr_oc_lop+BI29*VLOOKUP(AZ30,boc_trpr_oc,11,TRUE)*boc_rr_oc_lov+BJ29*VLOOKUP(AZ30,boc_trpr_oc,11,TRUE)*boc_rr_oc_np</f>
        <v>3.0045408514946492E-4</v>
      </c>
      <c r="BM30" s="260">
        <f>BK29*(1-VLOOKUP(AZ30,boc_trpr_bc_death,20,TRUE))+BL29*(1-VLOOKUP(AZ30,boc_trpr_oc_death,20,TRUE))+BM29*(1-VLOOKUP(AZ30,mortt,2,FALSE)*boc_rr_death_pc)</f>
        <v>4.9242392623973917E-2</v>
      </c>
      <c r="BN30" s="260">
        <f>BN29+SUM(BA29:BJ29)*VLOOKUP(AZ30,mortt,2,FALSE)+BK29*VLOOKUP(AZ30,boc_trpr_bc_death,20,TRUE)+BL29*VLOOKUP(AZ30,boc_trpr_bc_death,20,TRUE)+BM29*VLOOKUP(AZ30,mortt,2,FALSE)*boc_rr_death_pc</f>
        <v>0.14464973818982196</v>
      </c>
      <c r="BO30" s="260">
        <f t="shared" si="24"/>
        <v>1.0000011338471744</v>
      </c>
      <c r="BP30" s="118">
        <f>(boc_cost_mast*SUM(BD30,BF30,BH30)*(boc_tr_mast_path+boc_tr_both_path)+SUM(BE30,BG30,BI30)*(boc_tr_mast_vus+boc_tr_both_vus)+BK30*boc_cost_bc+BL30*boc_cost_oc+BM30*boc_cost_pc+(BK30*VLOOKUP(AZ30,boc_trpr_bc_death,20,TRUE)+BL30*VLOOKUP(AZ30,boc_trpr_oc_death,TRUE)*boc_cost_death))/((1+discount)^AY30)</f>
        <v>1019.0116808253425</v>
      </c>
      <c r="BQ30" s="35">
        <f t="shared" si="6"/>
        <v>0.396813792632981</v>
      </c>
      <c r="BR30" s="35">
        <f t="shared" si="7"/>
        <v>0.42077565017125851</v>
      </c>
      <c r="BS30" s="35"/>
      <c r="BU30" s="33">
        <v>3</v>
      </c>
      <c r="BV30" t="str">
        <f>$M$53</f>
        <v>boc_path_low_vus</v>
      </c>
      <c r="BW30" s="35">
        <f>$F$53</f>
        <v>0.21692817679999998</v>
      </c>
      <c r="BX30" s="35">
        <f>$G$53</f>
        <v>0.32539226519999997</v>
      </c>
      <c r="BY30" s="311">
        <v>-7.0336538985111474</v>
      </c>
      <c r="BZ30" s="311">
        <v>-8.0727418158735418</v>
      </c>
      <c r="CA30" s="311">
        <f t="shared" si="25"/>
        <v>1.0390879173623944</v>
      </c>
      <c r="CD30" s="138">
        <v>25</v>
      </c>
      <c r="CE30" s="291">
        <v>5.2300000000000003E-4</v>
      </c>
      <c r="CH30" s="12">
        <v>49</v>
      </c>
      <c r="CI30" s="12" t="s">
        <v>308</v>
      </c>
      <c r="CJ30" s="376">
        <v>14.5</v>
      </c>
      <c r="CK30" s="260">
        <f t="shared" si="26"/>
        <v>1.45E-4</v>
      </c>
      <c r="CL30" s="289">
        <f t="shared" si="27"/>
        <v>1.4498948800811817E-4</v>
      </c>
      <c r="CM30" s="289">
        <f t="shared" si="28"/>
        <v>7.0369730028274624E-5</v>
      </c>
      <c r="CN30" s="289">
        <f t="shared" si="29"/>
        <v>2.1960367748774523E-4</v>
      </c>
      <c r="CO30" s="290">
        <f t="shared" si="30"/>
        <v>14.501957813905294</v>
      </c>
      <c r="CP30" s="290">
        <f t="shared" si="31"/>
        <v>100006.25136116677</v>
      </c>
      <c r="CQ30" s="289">
        <f t="shared" ca="1" si="32"/>
        <v>1.03977208249017E-4</v>
      </c>
      <c r="CR30" s="289">
        <f>IF(psa,CQ30,CL30)</f>
        <v>1.4498948800811817E-4</v>
      </c>
      <c r="CS30" s="373">
        <v>4.5999999999999996</v>
      </c>
      <c r="CT30" s="260">
        <f t="shared" si="33"/>
        <v>4.5999999999999993E-5</v>
      </c>
      <c r="CU30" s="289">
        <f t="shared" si="34"/>
        <v>4.5998942016178823E-5</v>
      </c>
      <c r="CV30" s="289">
        <f t="shared" si="35"/>
        <v>3.9644146834216798E-6</v>
      </c>
      <c r="CW30" s="289">
        <f t="shared" si="36"/>
        <v>8.8031702440538595E-5</v>
      </c>
      <c r="CX30" s="290">
        <f t="shared" si="37"/>
        <v>4.6001656088861473</v>
      </c>
      <c r="CY30" s="290">
        <f t="shared" si="38"/>
        <v>100001.30012810156</v>
      </c>
      <c r="CZ30" s="289">
        <f t="shared" ca="1" si="39"/>
        <v>3.3746159534654196E-5</v>
      </c>
      <c r="DA30" s="289">
        <f>IF(psa,CZ30,CU30)</f>
        <v>4.5998942016178823E-5</v>
      </c>
    </row>
    <row r="31" spans="17:105" ht="15" customHeight="1" x14ac:dyDescent="0.2">
      <c r="Q31" s="11"/>
      <c r="S31" s="11"/>
      <c r="U31" s="9" t="s">
        <v>7</v>
      </c>
      <c r="V31" s="250">
        <f>boc_unk_int_mast*boc_test_int_np_mast</f>
        <v>0.01</v>
      </c>
      <c r="X31" s="261">
        <f>R27*T32*V31</f>
        <v>3.1649268080929076E-4</v>
      </c>
      <c r="AD31" s="12">
        <v>25</v>
      </c>
      <c r="AE31" s="12">
        <f t="shared" si="2"/>
        <v>70</v>
      </c>
      <c r="AF31" s="260">
        <f>AF30*(1-VLOOKUP(AE31,boc_trpr_bc,11,TRUE)*boc_rr_bc_mast-VLOOKUP(AE31,boc_trpr_oc,11,TRUE)*boc_rr_oc_mast-VLOOKUP(AE31,mortt,2,FALSE))+SUM(AI30,AK30,AM30)*boc_tr_mast_path+SUM(AJ30,AL30,AN30)*boc_tr_mast_vus</f>
        <v>1.8253308063488075E-2</v>
      </c>
      <c r="AG31" s="260">
        <f>AG30*(1-VLOOKUP(AE31,boc_trpr_bc,11,TRUE)*boc_rr_bc_ooph-VLOOKUP(AE31,boc_trpr_oc,11,TRUE)*boc_rr_oc_ooph-VLOOKUP(AE31,mortt,2,FALSE))+SUM(AI30,AK30,AM30)*boc_tr_ooph_path+SUM(AJ30,AL30,AN30)*boc_tr_ooph_vus</f>
        <v>1.7517093765419611E-2</v>
      </c>
      <c r="AH31" s="260">
        <f>AH30*(1-VLOOKUP(AE31,boc_trpr_bc,11,TRUE)*boc_rr_bc_both-VLOOKUP(AE31,boc_trpr_oc,11,TRUE)*boc_rr_oc_both-VLOOKUP(AE31,mortt,2,FALSE))+SUM(AI30,AK30,AM30)*boc_tr_both_path+SUM(AJ30,AL30,AN30)*boc_tr_both_vus</f>
        <v>1.7920192818184726E-2</v>
      </c>
      <c r="AI31" s="289">
        <f>AI30*(1-VLOOKUP(AE31,boc_trpr_bc,11,TRUE)*boc_rr_bc_hip-VLOOKUP(AE31,boc_trpr_oc,11,TRUE)*boc_rr_oc_hip-boc_tr_mast_path-boc_tr_ooph_path-boc_tr_both_path-VLOOKUP(AE31,mortt,2,FALSE))</f>
        <v>1.361967116172857E-20</v>
      </c>
      <c r="AJ31" s="289">
        <f>AJ30*(1-VLOOKUP(AE31,boc_trpr_bc,11,TRUE)*boc_rr_bc_hiv-VLOOKUP(AE31,boc_trpr_oc,11,TRUE)*boc_rr_oc_hiv-boc_tr_mast_vus-boc_tr_ooph_vus-boc_tr_both_vus-VLOOKUP(AE31,mortt,2,FALSE))</f>
        <v>1.2742437991592566E-4</v>
      </c>
      <c r="AK31" s="289">
        <f>AK30*(1-VLOOKUP(AE31,boc_trpr_bc,11,TRUE)*boc_rr_bc_modp-VLOOKUP(AE31,boc_trpr_oc,11,TRUE)*boc_rr_oc_modp-boc_tr_mast_path-boc_tr_ooph_path-boc_tr_both_path-VLOOKUP(AE31,mortt,2,FALSE))</f>
        <v>4.4066009248266065E-19</v>
      </c>
      <c r="AL31" s="289">
        <f>AL30*(1-VLOOKUP(AE31,boc_trpr_bc,11,TRUE)*boc_rr_bc_modv-VLOOKUP(AE31,boc_trpr_oc,11,TRUE)*boc_rr_oc_modv-boc_tr_mast_vus-boc_tr_ooph_vus-boc_tr_both_vus-VLOOKUP(AE31,mortt,2,FALSE))</f>
        <v>1.6201725294916373E-4</v>
      </c>
      <c r="AM31" s="289">
        <f>AM30*(1-VLOOKUP(AE31,boc_trpr_bc,11,TRUE)*boc_rr_bc_lop-VLOOKUP(AE31,boc_trpr_oc,11,TRUE)*boc_rr_oc_lop-boc_tr_mast_path-boc_tr_ooph_path-boc_tr_both_path-VLOOKUP(AE31,mortt,2,FALSE))</f>
        <v>2.6975221608342719E-19</v>
      </c>
      <c r="AN31" s="289">
        <f>AN30*(1-VLOOKUP(AE31,boc_trpr_bc,11,TRUE)*boc_rr_bc_lov-VLOOKUP(AE31,boc_trpr_oc,11,TRUE)*boc_rr_oc_lov-boc_tr_mast_vus-boc_tr_ooph_vus-boc_tr_both_vus-VLOOKUP(AE31,mortt,2,FALSE))</f>
        <v>3.5468642036592978E-5</v>
      </c>
      <c r="AO31" s="260">
        <f>AO30*(1-VLOOKUP(AE31,boc_trpr_bc,11,TRUE)*boc_rr_bc_np-VLOOKUP(AE31,boc_trpr_oc,11,TRUE)*boc_rr_oc_np-VLOOKUP(AE31,mortt,2,FALSE))</f>
        <v>0.73639554981262212</v>
      </c>
      <c r="AP31" s="260">
        <f>AF30*VLOOKUP(AE31,boc_trpr_bc,11,TRUE)*boc_rr_bc_mast+AG30*VLOOKUP(AE31,boc_trpr_bc,11,TRUE)*boc_rr_bc_ooph+AH30*VLOOKUP(AE31,boc_trpr_bc,11,TRUE)*boc_rr_bc_both+AI30*VLOOKUP(AE31,boc_trpr_bc,11,TRUE)*boc_rr_bc_hip+AJ30*VLOOKUP(AE31,boc_trpr_bc,11,TRUE)*boc_rr_bc_hiv+AK30*VLOOKUP(AE31,boc_trpr_bc,11,TRUE)*boc_rr_bc_modp+AL30*VLOOKUP(AE31,boc_trpr_bc,11,TRUE)*boc_rr_bc_modv+AM30*VLOOKUP(AE31,boc_trpr_bc,11,TRUE)*boc_rr_bc_lop+AN30*VLOOKUP(AE31,boc_trpr_bc,11,TRUE)*boc_rr_bc_lov+AO30*VLOOKUP(AE31,boc_trpr_bc,11,TRUE)*boc_rr_bc_np</f>
        <v>3.230348575597852E-3</v>
      </c>
      <c r="AQ31" s="260">
        <f>AF30*VLOOKUP(AE31,boc_trpr_oc,11,TRUE)*boc_rr_oc_mast+AG30*VLOOKUP(AE31,boc_trpr_oc,11,TRUE)*boc_rr_oc_ooph+AH30*VLOOKUP(AE31,boc_trpr_oc,11,TRUE)*boc_rr_oc_both+AI30*VLOOKUP(AE31,boc_trpr_oc,11,TRUE)*boc_rr_oc_hip+AJ30*VLOOKUP(AE31,boc_trpr_oc,11,TRUE)*boc_rr_oc_hiv+AK30*VLOOKUP(AE31,boc_trpr_oc,11,TRUE)*boc_rr_oc_modp+AL30*VLOOKUP(AE31,boc_trpr_oc,11,TRUE)*boc_rr_oc_modv+AM30*VLOOKUP(AE31,boc_trpr_oc,11,TRUE)*boc_rr_oc_lop+AN30*VLOOKUP(AE31,boc_trpr_oc,11,TRUE)*boc_rr_oc_lov+AO30*VLOOKUP(AE31,boc_trpr_oc,11,TRUE)*boc_rr_oc_np</f>
        <v>2.7928612565904774E-4</v>
      </c>
      <c r="AR31" s="260">
        <f>AP30*(1-VLOOKUP(AE31,boc_trpr_bc_death,20,TRUE))+AQ30*(1-VLOOKUP(AE31,boc_trpr_oc_death,20,TRUE))+AR30*(1-VLOOKUP(AE31,mortt,2,FALSE)*boc_rr_death_pc)</f>
        <v>4.8308550471248254E-2</v>
      </c>
      <c r="AS31" s="260">
        <f>AS30+SUM(AF30:AO30)*VLOOKUP(AE31,mortt,2,FALSE)+AP30*VLOOKUP(AE31,boc_trpr_bc_death,20,TRUE)+AQ30*VLOOKUP(AE31,boc_trpr_bc_death,20,TRUE)+AR30*VLOOKUP(AE31,mortt,2,FALSE)*boc_rr_death_pc</f>
        <v>0.15777193178365118</v>
      </c>
      <c r="AT31" s="260">
        <f t="shared" ref="AT31:AT44" si="40">SUM(AF31:AS31)</f>
        <v>1.0000011716907726</v>
      </c>
      <c r="AU31" s="118">
        <f>(boc_cost_mast*SUM(AI31,AK31,AM31)*(boc_tr_mast_path+boc_tr_both_path)+SUM(AJ31,AL31,AN31)*(boc_tr_mast_vus+boc_tr_both_vus)+AP31*boc_cost_bc+AQ31*boc_cost_oc+AR31*boc_cost_pc+(AP31*VLOOKUP(AE31,boc_trpr_bc_death,20,TRUE)+AQ31*VLOOKUP(AE31,boc_trpr_oc_death,TRUE)*boc_cost_death))/((1+discount)^AD31)</f>
        <v>914.62395271643629</v>
      </c>
      <c r="AV31" s="35">
        <f t="shared" si="3"/>
        <v>0.37958047856964294</v>
      </c>
      <c r="AW31" s="35">
        <f t="shared" si="4"/>
        <v>0.40225281596861717</v>
      </c>
      <c r="AY31" s="12">
        <v>25</v>
      </c>
      <c r="AZ31" s="12">
        <f t="shared" si="5"/>
        <v>70</v>
      </c>
      <c r="BA31" s="260">
        <f>BA30*(1-VLOOKUP(AZ31,boc_trpr_bc,11,TRUE)*boc_rr_bc_mast-VLOOKUP(AZ31,boc_trpr_oc,11,TRUE)*boc_rr_oc_mast-VLOOKUP(AZ31,mortt,2,FALSE))</f>
        <v>8.3423316262200981E-3</v>
      </c>
      <c r="BB31" s="260">
        <f>BB30*(1-VLOOKUP(AZ31,boc_trpr_bc,11,TRUE)*boc_rr_bc_ooph-VLOOKUP(AZ31,boc_trpr_oc,11,TRUE)*boc_rr_oc_ooph-VLOOKUP(AZ31,mortt,2,FALSE))</f>
        <v>8.1654559515278672E-3</v>
      </c>
      <c r="BC31" s="260">
        <f>BC30*(1-VLOOKUP(AZ31,boc_trpr_bc,11,TRUE)*boc_rr_bc_both-VLOOKUP(AZ31,boc_trpr_oc,11,TRUE)*boc_rr_oc_both-VLOOKUP(AZ31,mortt,2,FALSE))</f>
        <v>8.4069149439293285E-3</v>
      </c>
      <c r="BD31" s="289">
        <f>BD30*(1-VLOOKUP(AZ31,boc_trpr_bc,11,TRUE)*boc_rr_bc_hip-VLOOKUP(AZ31,boc_trpr_oc,11,TRUE)*boc_rr_oc_hip-VLOOKUP(AZ31,mortt,2,FALSE))</f>
        <v>1.0524979758907928E-3</v>
      </c>
      <c r="BE31" s="289">
        <f>BE30*(1-VLOOKUP(AZ31,boc_trpr_bc,11,TRUE)*boc_rr_bc_hiv-VLOOKUP(AZ31,boc_trpr_oc,11,TRUE)*boc_rr_oc_hiv-VLOOKUP(AZ31,mortt,2,FALSE))</f>
        <v>8.0722494054094387E-3</v>
      </c>
      <c r="BF31" s="289">
        <f>BF30*(1-VLOOKUP(AZ31,boc_trpr_bc,11,TRUE)*boc_rr_bc_modp-VLOOKUP(AZ31,boc_trpr_oc,11,TRUE)*boc_rr_oc_modp-VLOOKUP(AZ31,mortt,2,FALSE))</f>
        <v>2.7189069173388001E-3</v>
      </c>
      <c r="BG31" s="289">
        <f>BG30*(1-VLOOKUP(AZ31,boc_trpr_bc,11,TRUE)*boc_rr_bc_modv-VLOOKUP(AZ31,boc_trpr_oc,11,TRUE)*boc_rr_oc_modv-VLOOKUP(AZ31,mortt,2,FALSE))</f>
        <v>1.0263684819560191E-2</v>
      </c>
      <c r="BH31" s="289">
        <f>BH30*(1-VLOOKUP(AZ31,boc_trpr_bc,11,TRUE)*boc_rr_bc_lop-VLOOKUP(AZ31,boc_trpr_oc,11,TRUE)*boc_rr_oc_lop-VLOOKUP(AZ31,mortt,2,FALSE))</f>
        <v>7.5887098870772835E-4</v>
      </c>
      <c r="BI31" s="289">
        <f>BI30*(1-VLOOKUP(AZ31,boc_trpr_bc,11,TRUE)*boc_rr_bc_lov-VLOOKUP(AZ31,boc_trpr_oc,11,TRUE)*boc_rr_oc_lov-VLOOKUP(AZ31,mortt,2,FALSE))</f>
        <v>2.2469147958928712E-3</v>
      </c>
      <c r="BJ31" s="260">
        <f>BJ30*(1-VLOOKUP(AZ31,boc_trpr_bc,11,TRUE)*boc_rr_bc_np-VLOOKUP(AZ31,boc_trpr_oc,11,TRUE)*boc_rr_oc_np-VLOOKUP(AZ31,mortt,2,FALSE))</f>
        <v>0.73639554981262212</v>
      </c>
      <c r="BK31" s="260">
        <f>BA30*VLOOKUP(AZ31,boc_trpr_bc,11,TRUE)*boc_rr_bc_mast+BB30*VLOOKUP(AZ31,boc_trpr_bc,11,TRUE)*boc_rr_bc_ooph+BC30*VLOOKUP(AZ31,boc_trpr_bc,11,TRUE)*boc_rr_bc_both+BD30*VLOOKUP(AZ31,boc_trpr_bc,11,TRUE)*boc_rr_bc_hip+BE30*VLOOKUP(AZ31,boc_trpr_bc,11,TRUE)*boc_rr_bc_hiv+BF30*VLOOKUP(AZ31,boc_trpr_bc,11,TRUE)*boc_rr_bc_modp+BG30*VLOOKUP(AZ31,boc_trpr_bc,11,TRUE)*boc_rr_bc_modv+BH30*VLOOKUP(AZ31,boc_trpr_bc,11,TRUE)*boc_rr_bc_lop+BI30*VLOOKUP(AZ31,boc_trpr_bc,11,TRUE)*boc_rr_bc_lov+BJ30*VLOOKUP(AZ31,boc_trpr_bc,11,TRUE)*boc_rr_bc_np</f>
        <v>3.4371544109956451E-3</v>
      </c>
      <c r="BL31" s="260">
        <f>BA30*VLOOKUP(AZ31,boc_trpr_oc,11,TRUE)*boc_rr_oc_mast+BB30*VLOOKUP(AZ31,boc_trpr_oc,11,TRUE)*boc_rr_oc_ooph+BC30*VLOOKUP(AZ31,boc_trpr_oc,11,TRUE)*boc_rr_oc_both+BD30*VLOOKUP(AZ31,boc_trpr_oc,11,TRUE)*boc_rr_oc_hip+BE30*VLOOKUP(AZ31,boc_trpr_oc,11,TRUE)*boc_rr_oc_hiv+BF30*VLOOKUP(AZ31,boc_trpr_oc,11,TRUE)*boc_rr_oc_modp+BG30*VLOOKUP(AZ31,boc_trpr_oc,11,TRUE)*boc_rr_oc_modv+BH30*VLOOKUP(AZ31,boc_trpr_oc,11,TRUE)*boc_rr_oc_lop+BI30*VLOOKUP(AZ31,boc_trpr_oc,11,TRUE)*boc_rr_oc_lov+BJ30*VLOOKUP(AZ31,boc_trpr_oc,11,TRUE)*boc_rr_oc_np</f>
        <v>2.9443774164619393E-4</v>
      </c>
      <c r="BM31" s="260">
        <f>BK30*(1-VLOOKUP(AZ31,boc_trpr_bc_death,20,TRUE))+BL30*(1-VLOOKUP(AZ31,boc_trpr_oc_death,20,TRUE))+BM30*(1-VLOOKUP(AZ31,mortt,2,FALSE)*boc_rr_death_pc)</f>
        <v>5.1929827240672174E-2</v>
      </c>
      <c r="BN31" s="260">
        <f>BN30+SUM(BA30:BJ30)*VLOOKUP(AZ31,mortt,2,FALSE)+BK30*VLOOKUP(AZ31,boc_trpr_bc_death,20,TRUE)+BL30*VLOOKUP(AZ31,boc_trpr_bc_death,20,TRUE)+BM30*VLOOKUP(AZ31,mortt,2,FALSE)*boc_rr_death_pc</f>
        <v>0.15791645313951391</v>
      </c>
      <c r="BO31" s="260">
        <f t="shared" si="24"/>
        <v>1.0000012497699271</v>
      </c>
      <c r="BP31" s="118">
        <f>(boc_cost_mast*SUM(BD31,BF31,BH31)*(boc_tr_mast_path+boc_tr_both_path)+SUM(BE31,BG31,BI31)*(boc_tr_mast_vus+boc_tr_both_vus)+BK31*boc_cost_bc+BL31*boc_cost_oc+BM31*boc_cost_pc+(BK31*VLOOKUP(AZ31,boc_trpr_bc_death,20,TRUE)+BL31*VLOOKUP(AZ31,boc_trpr_oc_death,TRUE)*boc_cost_death))/((1+discount)^AY31)</f>
        <v>982.71224898705987</v>
      </c>
      <c r="BQ31" s="35">
        <f t="shared" si="6"/>
        <v>0.37912114829614152</v>
      </c>
      <c r="BR31" s="35">
        <f t="shared" si="7"/>
        <v>0.40218379176417995</v>
      </c>
      <c r="BS31" s="35"/>
      <c r="BU31" s="33">
        <v>20</v>
      </c>
      <c r="BV31" t="str">
        <f>$M$58</f>
        <v>boc_test_int_path_mast</v>
      </c>
      <c r="BW31" s="35">
        <f>$F$58</f>
        <v>4</v>
      </c>
      <c r="BX31" s="35">
        <f>$G$58</f>
        <v>6</v>
      </c>
      <c r="BY31" s="311">
        <v>-7.0358274516665915</v>
      </c>
      <c r="BZ31" s="311">
        <v>-8.0705682627185524</v>
      </c>
      <c r="CA31" s="311">
        <f t="shared" si="25"/>
        <v>1.0347408110519609</v>
      </c>
      <c r="CD31" s="138">
        <v>26</v>
      </c>
      <c r="CE31" s="291">
        <v>5.5199999999999997E-4</v>
      </c>
      <c r="CH31" s="12">
        <v>54</v>
      </c>
      <c r="CI31" s="12" t="s">
        <v>309</v>
      </c>
      <c r="CJ31" s="376">
        <v>20</v>
      </c>
      <c r="CK31" s="260">
        <f t="shared" si="26"/>
        <v>2.0000000000000001E-4</v>
      </c>
      <c r="CL31" s="289">
        <f t="shared" si="27"/>
        <v>1.9998000133325533E-4</v>
      </c>
      <c r="CM31" s="289">
        <f t="shared" si="28"/>
        <v>1.1235019984956462E-4</v>
      </c>
      <c r="CN31" s="289">
        <f t="shared" si="29"/>
        <v>2.8760212297196386E-4</v>
      </c>
      <c r="CO31" s="290">
        <f t="shared" si="30"/>
        <v>20.003800835618428</v>
      </c>
      <c r="CP31" s="290">
        <f t="shared" si="31"/>
        <v>100009.00261107668</v>
      </c>
      <c r="CQ31" s="289">
        <f t="shared" ca="1" si="32"/>
        <v>1.4964902869940303E-4</v>
      </c>
      <c r="CR31" s="289">
        <f>IF(psa,CQ31,CL31)</f>
        <v>1.9998000133325533E-4</v>
      </c>
      <c r="CS31" s="373">
        <v>8.3000000000000007</v>
      </c>
      <c r="CT31" s="260">
        <f t="shared" si="33"/>
        <v>8.3000000000000012E-5</v>
      </c>
      <c r="CU31" s="289">
        <f t="shared" si="34"/>
        <v>8.2996555595293842E-5</v>
      </c>
      <c r="CV31" s="289">
        <f t="shared" si="35"/>
        <v>2.6535976557995333E-5</v>
      </c>
      <c r="CW31" s="289">
        <f t="shared" si="36"/>
        <v>1.3945394675096701E-4</v>
      </c>
      <c r="CX31" s="290">
        <f t="shared" si="37"/>
        <v>8.3006059565655832</v>
      </c>
      <c r="CY31" s="290">
        <f t="shared" si="38"/>
        <v>100003.15043594972</v>
      </c>
      <c r="CZ31" s="289">
        <f t="shared" ca="1" si="39"/>
        <v>9.4262127418032193E-5</v>
      </c>
      <c r="DA31" s="289">
        <f>IF(psa,CZ31,CU31)</f>
        <v>8.2996555595293842E-5</v>
      </c>
    </row>
    <row r="32" spans="17:105" ht="15" customHeight="1" x14ac:dyDescent="0.2">
      <c r="Q32" s="11"/>
      <c r="S32" s="9" t="s">
        <v>13</v>
      </c>
      <c r="T32" s="251">
        <f>boc_path_mod_np</f>
        <v>0.63469613300000005</v>
      </c>
      <c r="U32" s="9" t="s">
        <v>8</v>
      </c>
      <c r="V32" s="250">
        <f>boc_unk_int_ooph*boc_test_int_np_ooph</f>
        <v>0.01</v>
      </c>
      <c r="Y32" s="261">
        <f>R27*T32*V32</f>
        <v>3.1649268080929076E-4</v>
      </c>
      <c r="AD32" s="12">
        <v>26</v>
      </c>
      <c r="AE32" s="12">
        <f t="shared" si="2"/>
        <v>71</v>
      </c>
      <c r="AF32" s="260">
        <f>AF31*(1-VLOOKUP(AE32,boc_trpr_bc,11,TRUE)*boc_rr_bc_mast-VLOOKUP(AE32,boc_trpr_oc,11,TRUE)*boc_rr_oc_mast-VLOOKUP(AE32,mortt,2,FALSE))+SUM(AI31,AK31,AM31)*boc_tr_mast_path+SUM(AJ31,AL31,AN31)*boc_tr_mast_vus</f>
        <v>1.7949408120840813E-2</v>
      </c>
      <c r="AG32" s="260">
        <f>AG31*(1-VLOOKUP(AE32,boc_trpr_bc,11,TRUE)*boc_rr_bc_ooph-VLOOKUP(AE32,boc_trpr_oc,11,TRUE)*boc_rr_oc_ooph-VLOOKUP(AE32,mortt,2,FALSE))+SUM(AI31,AK31,AM31)*boc_tr_ooph_path+SUM(AJ31,AL31,AN31)*boc_tr_ooph_vus</f>
        <v>1.7201015279494997E-2</v>
      </c>
      <c r="AH32" s="260">
        <f>AH31*(1-VLOOKUP(AE32,boc_trpr_bc,11,TRUE)*boc_rr_bc_both-VLOOKUP(AE32,boc_trpr_oc,11,TRUE)*boc_rr_oc_both-VLOOKUP(AE32,mortt,2,FALSE))+SUM(AI31,AK31,AM31)*boc_tr_both_path+SUM(AJ31,AL31,AN31)*boc_tr_both_vus</f>
        <v>1.7631344525539244E-2</v>
      </c>
      <c r="AI32" s="289">
        <f>AI31*(1-VLOOKUP(AE32,boc_trpr_bc,11,TRUE)*boc_rr_bc_hip-VLOOKUP(AE32,boc_trpr_oc,11,TRUE)*boc_rr_oc_hip-boc_tr_mast_path-boc_tr_ooph_path-boc_tr_both_path-VLOOKUP(AE32,mortt,2,FALSE))</f>
        <v>2.2387962818703313E-21</v>
      </c>
      <c r="AJ32" s="289">
        <f>AJ31*(1-VLOOKUP(AE32,boc_trpr_bc,11,TRUE)*boc_rr_bc_hiv-VLOOKUP(AE32,boc_trpr_oc,11,TRUE)*boc_rr_oc_hiv-boc_tr_mast_vus-boc_tr_ooph_vus-boc_tr_both_vus-VLOOKUP(AE32,mortt,2,FALSE))</f>
        <v>1.0553209989068649E-4</v>
      </c>
      <c r="AK32" s="289">
        <f>AK31*(1-VLOOKUP(AE32,boc_trpr_bc,11,TRUE)*boc_rr_bc_modp-VLOOKUP(AE32,boc_trpr_oc,11,TRUE)*boc_rr_oc_modp-boc_tr_mast_path-boc_tr_ooph_path-boc_tr_both_path-VLOOKUP(AE32,mortt,2,FALSE))</f>
        <v>9.2666060306400052E-20</v>
      </c>
      <c r="AL32" s="289">
        <f>AL31*(1-VLOOKUP(AE32,boc_trpr_bc,11,TRUE)*boc_rr_bc_modv-VLOOKUP(AE32,boc_trpr_oc,11,TRUE)*boc_rr_oc_modv-boc_tr_mast_vus-boc_tr_ooph_vus-boc_tr_both_vus-VLOOKUP(AE32,mortt,2,FALSE))</f>
        <v>1.3418170787667954E-4</v>
      </c>
      <c r="AM32" s="289">
        <f>AM31*(1-VLOOKUP(AE32,boc_trpr_bc,11,TRUE)*boc_rr_bc_lop-VLOOKUP(AE32,boc_trpr_oc,11,TRUE)*boc_rr_oc_lop-boc_tr_mast_path-boc_tr_ooph_path-boc_tr_both_path-VLOOKUP(AE32,mortt,2,FALSE))</f>
        <v>6.1060453802013407E-20</v>
      </c>
      <c r="AN32" s="289">
        <f>AN31*(1-VLOOKUP(AE32,boc_trpr_bc,11,TRUE)*boc_rr_bc_lov-VLOOKUP(AE32,boc_trpr_oc,11,TRUE)*boc_rr_oc_lov-boc_tr_mast_vus-boc_tr_ooph_vus-boc_tr_both_vus-VLOOKUP(AE32,mortt,2,FALSE))</f>
        <v>2.9374914571782958E-5</v>
      </c>
      <c r="AO32" s="260">
        <f>AO31*(1-VLOOKUP(AE32,boc_trpr_bc,11,TRUE)*boc_rr_bc_np-VLOOKUP(AE32,boc_trpr_oc,11,TRUE)*boc_rr_oc_np-VLOOKUP(AE32,mortt,2,FALSE))</f>
        <v>0.72067574413046132</v>
      </c>
      <c r="AP32" s="260">
        <f>AF31*VLOOKUP(AE32,boc_trpr_bc,11,TRUE)*boc_rr_bc_mast+AG31*VLOOKUP(AE32,boc_trpr_bc,11,TRUE)*boc_rr_bc_ooph+AH31*VLOOKUP(AE32,boc_trpr_bc,11,TRUE)*boc_rr_bc_both+AI31*VLOOKUP(AE32,boc_trpr_bc,11,TRUE)*boc_rr_bc_hip+AJ31*VLOOKUP(AE32,boc_trpr_bc,11,TRUE)*boc_rr_bc_hiv+AK31*VLOOKUP(AE32,boc_trpr_bc,11,TRUE)*boc_rr_bc_modp+AL31*VLOOKUP(AE32,boc_trpr_bc,11,TRUE)*boc_rr_bc_modv+AM31*VLOOKUP(AE32,boc_trpr_bc,11,TRUE)*boc_rr_bc_lop+AN31*VLOOKUP(AE32,boc_trpr_bc,11,TRUE)*boc_rr_bc_lov+AO31*VLOOKUP(AE32,boc_trpr_bc,11,TRUE)*boc_rr_bc_np</f>
        <v>3.1665321677008477E-3</v>
      </c>
      <c r="AQ32" s="260">
        <f>AF31*VLOOKUP(AE32,boc_trpr_oc,11,TRUE)*boc_rr_oc_mast+AG31*VLOOKUP(AE32,boc_trpr_oc,11,TRUE)*boc_rr_oc_ooph+AH31*VLOOKUP(AE32,boc_trpr_oc,11,TRUE)*boc_rr_oc_both+AI31*VLOOKUP(AE32,boc_trpr_oc,11,TRUE)*boc_rr_oc_hip+AJ31*VLOOKUP(AE32,boc_trpr_oc,11,TRUE)*boc_rr_oc_hiv+AK31*VLOOKUP(AE32,boc_trpr_oc,11,TRUE)*boc_rr_oc_modp+AL31*VLOOKUP(AE32,boc_trpr_oc,11,TRUE)*boc_rr_oc_modv+AM31*VLOOKUP(AE32,boc_trpr_oc,11,TRUE)*boc_rr_oc_lop+AN31*VLOOKUP(AE32,boc_trpr_oc,11,TRUE)*boc_rr_oc_lov+AO31*VLOOKUP(AE32,boc_trpr_oc,11,TRUE)*boc_rr_oc_np</f>
        <v>2.7379415510660324E-4</v>
      </c>
      <c r="AR32" s="260">
        <f>AP31*(1-VLOOKUP(AE32,boc_trpr_bc_death,20,TRUE))+AQ31*(1-VLOOKUP(AE32,boc_trpr_oc_death,20,TRUE))+AR31*(1-VLOOKUP(AE32,mortt,2,FALSE)*boc_rr_death_pc)</f>
        <v>5.0601839328720297E-2</v>
      </c>
      <c r="AS32" s="260">
        <f>AS31+SUM(AF31:AO31)*VLOOKUP(AE32,mortt,2,FALSE)+AP31*VLOOKUP(AE32,boc_trpr_bc_death,20,TRUE)+AQ31*VLOOKUP(AE32,boc_trpr_bc_death,20,TRUE)+AR31*VLOOKUP(AE32,mortt,2,FALSE)*boc_rr_death_pc</f>
        <v>0.17223251301619008</v>
      </c>
      <c r="AT32" s="260">
        <f t="shared" si="40"/>
        <v>1.0000012794463933</v>
      </c>
      <c r="AU32" s="118">
        <f>(boc_cost_mast*SUM(AI32,AK32,AM32)*(boc_tr_mast_path+boc_tr_both_path)+SUM(AJ32,AL32,AN32)*(boc_tr_mast_vus+boc_tr_both_vus)+AP32*boc_cost_bc+AQ32*boc_cost_oc+AR32*boc_cost_pc+(AP32*VLOOKUP(AE32,boc_trpr_bc_death,20,TRUE)+AQ32*VLOOKUP(AE32,boc_trpr_oc_death,TRUE)*boc_cost_death))/((1+discount)^AD32)</f>
        <v>882.14945876746037</v>
      </c>
      <c r="AV32" s="35">
        <f t="shared" si="3"/>
        <v>0.36205349436911971</v>
      </c>
      <c r="AW32" s="35">
        <f t="shared" si="4"/>
        <v>0.3838314192594135</v>
      </c>
      <c r="AY32" s="12">
        <v>26</v>
      </c>
      <c r="AZ32" s="12">
        <f t="shared" si="5"/>
        <v>71</v>
      </c>
      <c r="BA32" s="260">
        <f>BA31*(1-VLOOKUP(AZ32,boc_trpr_bc,11,TRUE)*boc_rr_bc_mast-VLOOKUP(AZ32,boc_trpr_oc,11,TRUE)*boc_rr_oc_mast-VLOOKUP(AZ32,mortt,2,FALSE))</f>
        <v>8.1960151581824594E-3</v>
      </c>
      <c r="BB32" s="260">
        <f>BB31*(1-VLOOKUP(AZ32,boc_trpr_bc,11,TRUE)*boc_rr_bc_ooph-VLOOKUP(AZ32,boc_trpr_oc,11,TRUE)*boc_rr_oc_ooph-VLOOKUP(AZ32,mortt,2,FALSE))</f>
        <v>8.0105457239937009E-3</v>
      </c>
      <c r="BC32" s="260">
        <f>BC31*(1-VLOOKUP(AZ32,boc_trpr_bc,11,TRUE)*boc_rr_bc_both-VLOOKUP(AZ32,boc_trpr_oc,11,TRUE)*boc_rr_oc_both-VLOOKUP(AZ32,mortt,2,FALSE))</f>
        <v>8.2637860330817652E-3</v>
      </c>
      <c r="BD32" s="289">
        <f>BD31*(1-VLOOKUP(AZ32,boc_trpr_bc,11,TRUE)*boc_rr_bc_hip-VLOOKUP(AZ32,boc_trpr_oc,11,TRUE)*boc_rr_oc_hip-VLOOKUP(AZ32,mortt,2,FALSE))</f>
        <v>9.6238269242837962E-4</v>
      </c>
      <c r="BE32" s="289">
        <f>BE31*(1-VLOOKUP(AZ32,boc_trpr_bc,11,TRUE)*boc_rr_bc_hiv-VLOOKUP(AZ32,boc_trpr_oc,11,TRUE)*boc_rr_oc_hiv-VLOOKUP(AZ32,mortt,2,FALSE))</f>
        <v>7.8962254908340399E-3</v>
      </c>
      <c r="BF32" s="289">
        <f>BF31*(1-VLOOKUP(AZ32,boc_trpr_bc,11,TRUE)*boc_rr_bc_modp-VLOOKUP(AZ32,boc_trpr_oc,11,TRUE)*boc_rr_oc_modp-VLOOKUP(AZ32,mortt,2,FALSE))</f>
        <v>2.6109369607813385E-3</v>
      </c>
      <c r="BG32" s="289">
        <f>BG31*(1-VLOOKUP(AZ32,boc_trpr_bc,11,TRUE)*boc_rr_bc_modv-VLOOKUP(AZ32,boc_trpr_oc,11,TRUE)*boc_rr_oc_modv-VLOOKUP(AZ32,mortt,2,FALSE))</f>
        <v>1.0039874343796596E-2</v>
      </c>
      <c r="BH32" s="289">
        <f>BH31*(1-VLOOKUP(AZ32,boc_trpr_bc,11,TRUE)*boc_rr_bc_lop-VLOOKUP(AZ32,boc_trpr_oc,11,TRUE)*boc_rr_oc_lop-VLOOKUP(AZ32,mortt,2,FALSE))</f>
        <v>7.4092942791565872E-4</v>
      </c>
      <c r="BI32" s="289">
        <f>BI31*(1-VLOOKUP(AZ32,boc_trpr_bc,11,TRUE)*boc_rr_bc_lov-VLOOKUP(AZ32,boc_trpr_oc,11,TRUE)*boc_rr_oc_lov-VLOOKUP(AZ32,mortt,2,FALSE))</f>
        <v>2.1979184482545781E-3</v>
      </c>
      <c r="BJ32" s="260">
        <f>BJ31*(1-VLOOKUP(AZ32,boc_trpr_bc,11,TRUE)*boc_rr_bc_np-VLOOKUP(AZ32,boc_trpr_oc,11,TRUE)*boc_rr_oc_np-VLOOKUP(AZ32,mortt,2,FALSE))</f>
        <v>0.72067574413046132</v>
      </c>
      <c r="BK32" s="260">
        <f>BA31*VLOOKUP(AZ32,boc_trpr_bc,11,TRUE)*boc_rr_bc_mast+BB31*VLOOKUP(AZ32,boc_trpr_bc,11,TRUE)*boc_rr_bc_ooph+BC31*VLOOKUP(AZ32,boc_trpr_bc,11,TRUE)*boc_rr_bc_both+BD31*VLOOKUP(AZ32,boc_trpr_bc,11,TRUE)*boc_rr_bc_hip+BE31*VLOOKUP(AZ32,boc_trpr_bc,11,TRUE)*boc_rr_bc_hiv+BF31*VLOOKUP(AZ32,boc_trpr_bc,11,TRUE)*boc_rr_bc_modp+BG31*VLOOKUP(AZ32,boc_trpr_bc,11,TRUE)*boc_rr_bc_modv+BH31*VLOOKUP(AZ32,boc_trpr_bc,11,TRUE)*boc_rr_bc_lop+BI31*VLOOKUP(AZ32,boc_trpr_bc,11,TRUE)*boc_rr_bc_lov+BJ31*VLOOKUP(AZ32,boc_trpr_bc,11,TRUE)*boc_rr_bc_np</f>
        <v>3.3635622619099348E-3</v>
      </c>
      <c r="BL32" s="260">
        <f>BA31*VLOOKUP(AZ32,boc_trpr_oc,11,TRUE)*boc_rr_oc_mast+BB31*VLOOKUP(AZ32,boc_trpr_oc,11,TRUE)*boc_rr_oc_ooph+BC31*VLOOKUP(AZ32,boc_trpr_oc,11,TRUE)*boc_rr_oc_both+BD31*VLOOKUP(AZ32,boc_trpr_oc,11,TRUE)*boc_rr_oc_hip+BE31*VLOOKUP(AZ32,boc_trpr_oc,11,TRUE)*boc_rr_oc_hiv+BF31*VLOOKUP(AZ32,boc_trpr_oc,11,TRUE)*boc_rr_oc_modp+BG31*VLOOKUP(AZ32,boc_trpr_oc,11,TRUE)*boc_rr_oc_modv+BH31*VLOOKUP(AZ32,boc_trpr_oc,11,TRUE)*boc_rr_oc_lop+BI31*VLOOKUP(AZ32,boc_trpr_oc,11,TRUE)*boc_rr_oc_lov+BJ31*VLOOKUP(AZ32,boc_trpr_oc,11,TRUE)*boc_rr_oc_np</f>
        <v>2.881464564746224E-4</v>
      </c>
      <c r="BM32" s="260">
        <f>BK31*(1-VLOOKUP(AZ32,boc_trpr_bc_death,20,TRUE))+BL31*(1-VLOOKUP(AZ32,boc_trpr_oc_death,20,TRUE))+BM31*(1-VLOOKUP(AZ32,mortt,2,FALSE)*boc_rr_death_pc)</f>
        <v>5.4353918886871119E-2</v>
      </c>
      <c r="BN32" s="260">
        <f>BN31+SUM(BA31:BJ31)*VLOOKUP(AZ32,mortt,2,FALSE)+BK31*VLOOKUP(AZ32,boc_trpr_bc_death,20,TRUE)+BL31*VLOOKUP(AZ32,boc_trpr_bc_death,20,TRUE)+BM31*VLOOKUP(AZ32,mortt,2,FALSE)*boc_rr_death_pc</f>
        <v>0.17240137735643751</v>
      </c>
      <c r="BO32" s="260">
        <f t="shared" si="24"/>
        <v>1.0000013633714229</v>
      </c>
      <c r="BP32" s="118">
        <f>(boc_cost_mast*SUM(BD32,BF32,BH32)*(boc_tr_mast_path+boc_tr_both_path)+SUM(BE32,BG32,BI32)*(boc_tr_mast_vus+boc_tr_both_vus)+BK32*boc_cost_bc+BL32*boc_cost_oc+BM32*boc_cost_pc+(BK32*VLOOKUP(AZ32,boc_trpr_bc_death,20,TRUE)+BL32*VLOOKUP(AZ32,boc_trpr_oc_death,TRUE)*boc_cost_death))/((1+discount)^AY32)</f>
        <v>946.02905165027187</v>
      </c>
      <c r="BQ32" s="35">
        <f t="shared" si="6"/>
        <v>0.36159832306519973</v>
      </c>
      <c r="BR32" s="35">
        <f t="shared" si="7"/>
        <v>0.38375311775518844</v>
      </c>
      <c r="BS32" s="35"/>
      <c r="BU32" s="33">
        <v>1</v>
      </c>
      <c r="BV32" t="str">
        <f>$M$38</f>
        <v>boc_find_high</v>
      </c>
      <c r="BW32" s="117">
        <f>$F$38</f>
        <v>0.31374663040000006</v>
      </c>
      <c r="BX32" s="117">
        <f>$G$38</f>
        <v>0.47061994559999998</v>
      </c>
      <c r="BY32" s="311">
        <v>-7.0582092951190134</v>
      </c>
      <c r="BZ32" s="311">
        <v>-8.0481864192679495</v>
      </c>
      <c r="CA32" s="311">
        <f t="shared" si="25"/>
        <v>0.98997712414893613</v>
      </c>
      <c r="CD32" s="138">
        <v>27</v>
      </c>
      <c r="CE32" s="291">
        <v>5.8200000000000005E-4</v>
      </c>
      <c r="CH32" s="12">
        <v>59</v>
      </c>
      <c r="CI32" s="12" t="s">
        <v>310</v>
      </c>
      <c r="CJ32" s="376">
        <v>24</v>
      </c>
      <c r="CK32" s="260">
        <f t="shared" si="26"/>
        <v>2.4000000000000001E-4</v>
      </c>
      <c r="CL32" s="289">
        <f t="shared" si="27"/>
        <v>2.3997120230390134E-4</v>
      </c>
      <c r="CM32" s="289">
        <f t="shared" si="28"/>
        <v>1.439829228162548E-4</v>
      </c>
      <c r="CN32" s="289">
        <f t="shared" si="29"/>
        <v>3.3595026671484618E-4</v>
      </c>
      <c r="CO32" s="290">
        <f t="shared" si="30"/>
        <v>24.005521453029701</v>
      </c>
      <c r="CP32" s="290">
        <f t="shared" si="31"/>
        <v>100011.00377365784</v>
      </c>
      <c r="CQ32" s="289">
        <f t="shared" ca="1" si="32"/>
        <v>2.369383645940415E-4</v>
      </c>
      <c r="CR32" s="289">
        <f>IF(psa,CQ32,CL32)</f>
        <v>2.3997120230390134E-4</v>
      </c>
      <c r="CS32" s="373">
        <v>12.4</v>
      </c>
      <c r="CT32" s="260">
        <f t="shared" si="33"/>
        <v>1.2400000000000001E-4</v>
      </c>
      <c r="CU32" s="289">
        <f t="shared" si="34"/>
        <v>1.2399231231774444E-4</v>
      </c>
      <c r="CV32" s="289">
        <f t="shared" si="35"/>
        <v>5.498531360448311E-5</v>
      </c>
      <c r="CW32" s="289">
        <f t="shared" si="36"/>
        <v>1.9299454880328248E-4</v>
      </c>
      <c r="CX32" s="290">
        <f t="shared" si="37"/>
        <v>12.401413794558026</v>
      </c>
      <c r="CY32" s="290">
        <f t="shared" si="38"/>
        <v>100005.20099028022</v>
      </c>
      <c r="CZ32" s="289">
        <f t="shared" ca="1" si="39"/>
        <v>1.8252205523650034E-4</v>
      </c>
      <c r="DA32" s="289">
        <f>IF(psa,CZ32,CU32)</f>
        <v>1.2399231231774444E-4</v>
      </c>
    </row>
    <row r="33" spans="2:105" ht="15" customHeight="1" x14ac:dyDescent="0.2">
      <c r="Q33" s="11"/>
      <c r="U33" s="9" t="s">
        <v>6</v>
      </c>
      <c r="V33" s="250">
        <f>boc_unk_int_both*boc_test_int_np_both</f>
        <v>0.01</v>
      </c>
      <c r="Z33" s="261">
        <f>R27*T32*V33</f>
        <v>3.1649268080929076E-4</v>
      </c>
      <c r="AD33" s="12">
        <v>27</v>
      </c>
      <c r="AE33" s="12">
        <f t="shared" si="2"/>
        <v>72</v>
      </c>
      <c r="AF33" s="260">
        <f>AF32*(1-VLOOKUP(AE33,boc_trpr_bc,11,TRUE)*boc_rr_bc_mast-VLOOKUP(AE33,boc_trpr_oc,11,TRUE)*boc_rr_oc_mast-VLOOKUP(AE33,mortt,2,FALSE))+SUM(AI32,AK32,AM32)*boc_tr_mast_path+SUM(AJ32,AL32,AN32)*boc_tr_mast_vus</f>
        <v>1.7617102433484865E-2</v>
      </c>
      <c r="AG33" s="260">
        <f>AG32*(1-VLOOKUP(AE33,boc_trpr_bc,11,TRUE)*boc_rr_bc_ooph-VLOOKUP(AE33,boc_trpr_oc,11,TRUE)*boc_rr_oc_ooph-VLOOKUP(AE33,mortt,2,FALSE))+SUM(AI32,AK32,AM32)*boc_tr_ooph_path+SUM(AJ32,AL32,AN32)*boc_tr_ooph_vus</f>
        <v>1.685848762072354E-2</v>
      </c>
      <c r="AH33" s="260">
        <f>AH32*(1-VLOOKUP(AE33,boc_trpr_bc,11,TRUE)*boc_rr_bc_both-VLOOKUP(AE33,boc_trpr_oc,11,TRUE)*boc_rr_oc_both-VLOOKUP(AE33,mortt,2,FALSE))+SUM(AI32,AK32,AM32)*boc_tr_both_path+SUM(AJ32,AL32,AN32)*boc_tr_both_vus</f>
        <v>1.7314226400163762E-2</v>
      </c>
      <c r="AI33" s="289">
        <f>AI32*(1-VLOOKUP(AE33,boc_trpr_bc,11,TRUE)*boc_rr_bc_hip-VLOOKUP(AE33,boc_trpr_oc,11,TRUE)*boc_rr_oc_hip-boc_tr_mast_path-boc_tr_ooph_path-boc_tr_both_path-VLOOKUP(AE33,mortt,2,FALSE))</f>
        <v>3.6415278277981471E-22</v>
      </c>
      <c r="AJ33" s="289">
        <f>AJ32*(1-VLOOKUP(AE33,boc_trpr_bc,11,TRUE)*boc_rr_bc_hiv-VLOOKUP(AE33,boc_trpr_oc,11,TRUE)*boc_rr_oc_hiv-boc_tr_mast_vus-boc_tr_ooph_vus-boc_tr_both_vus-VLOOKUP(AE33,mortt,2,FALSE))</f>
        <v>8.721910879151E-5</v>
      </c>
      <c r="AK33" s="289">
        <f>AK32*(1-VLOOKUP(AE33,boc_trpr_bc,11,TRUE)*boc_rr_bc_modp-VLOOKUP(AE33,boc_trpr_oc,11,TRUE)*boc_rr_oc_modp-boc_tr_mast_path-boc_tr_ooph_path-boc_tr_both_path-VLOOKUP(AE33,mortt,2,FALSE))</f>
        <v>1.9326915818712853E-20</v>
      </c>
      <c r="AL33" s="289">
        <f>AL32*(1-VLOOKUP(AE33,boc_trpr_bc,11,TRUE)*boc_rr_bc_modv-VLOOKUP(AE33,boc_trpr_oc,11,TRUE)*boc_rr_oc_modv-boc_tr_mast_vus-boc_tr_ooph_vus-boc_tr_both_vus-VLOOKUP(AE33,mortt,2,FALSE))</f>
        <v>1.1089714872772629E-4</v>
      </c>
      <c r="AM33" s="289">
        <f>AM32*(1-VLOOKUP(AE33,boc_trpr_bc,11,TRUE)*boc_rr_bc_lop-VLOOKUP(AE33,boc_trpr_oc,11,TRUE)*boc_rr_oc_lop-boc_tr_mast_path-boc_tr_ooph_path-boc_tr_both_path-VLOOKUP(AE33,mortt,2,FALSE))</f>
        <v>1.371622719533163E-20</v>
      </c>
      <c r="AN33" s="289">
        <f>AN32*(1-VLOOKUP(AE33,boc_trpr_bc,11,TRUE)*boc_rr_bc_lov-VLOOKUP(AE33,boc_trpr_oc,11,TRUE)*boc_rr_oc_lov-boc_tr_mast_vus-boc_tr_ooph_vus-boc_tr_both_vus-VLOOKUP(AE33,mortt,2,FALSE))</f>
        <v>2.4277484030276165E-5</v>
      </c>
      <c r="AO33" s="260">
        <f>AO32*(1-VLOOKUP(AE33,boc_trpr_bc,11,TRUE)*boc_rr_bc_np-VLOOKUP(AE33,boc_trpr_oc,11,TRUE)*boc_rr_oc_np-VLOOKUP(AE33,mortt,2,FALSE))</f>
        <v>0.70404906351435292</v>
      </c>
      <c r="AP33" s="260">
        <f>AF32*VLOOKUP(AE33,boc_trpr_bc,11,TRUE)*boc_rr_bc_mast+AG32*VLOOKUP(AE33,boc_trpr_bc,11,TRUE)*boc_rr_bc_ooph+AH32*VLOOKUP(AE33,boc_trpr_bc,11,TRUE)*boc_rr_bc_both+AI32*VLOOKUP(AE33,boc_trpr_bc,11,TRUE)*boc_rr_bc_hip+AJ32*VLOOKUP(AE33,boc_trpr_bc,11,TRUE)*boc_rr_bc_hiv+AK32*VLOOKUP(AE33,boc_trpr_bc,11,TRUE)*boc_rr_bc_modp+AL32*VLOOKUP(AE33,boc_trpr_bc,11,TRUE)*boc_rr_bc_modv+AM32*VLOOKUP(AE33,boc_trpr_bc,11,TRUE)*boc_rr_bc_lop+AN32*VLOOKUP(AE33,boc_trpr_bc,11,TRUE)*boc_rr_bc_lov+AO32*VLOOKUP(AE33,boc_trpr_bc,11,TRUE)*boc_rr_bc_np</f>
        <v>3.0988897655854397E-3</v>
      </c>
      <c r="AQ33" s="260">
        <f>AF32*VLOOKUP(AE33,boc_trpr_oc,11,TRUE)*boc_rr_oc_mast+AG32*VLOOKUP(AE33,boc_trpr_oc,11,TRUE)*boc_rr_oc_ooph+AH32*VLOOKUP(AE33,boc_trpr_oc,11,TRUE)*boc_rr_oc_both+AI32*VLOOKUP(AE33,boc_trpr_oc,11,TRUE)*boc_rr_oc_hip+AJ32*VLOOKUP(AE33,boc_trpr_oc,11,TRUE)*boc_rr_oc_hiv+AK32*VLOOKUP(AE33,boc_trpr_oc,11,TRUE)*boc_rr_oc_modp+AL32*VLOOKUP(AE33,boc_trpr_oc,11,TRUE)*boc_rr_oc_modv+AM32*VLOOKUP(AE33,boc_trpr_oc,11,TRUE)*boc_rr_oc_lop+AN32*VLOOKUP(AE33,boc_trpr_oc,11,TRUE)*boc_rr_oc_lov+AO32*VLOOKUP(AE33,boc_trpr_oc,11,TRUE)*boc_rr_oc_np</f>
        <v>2.6796972042555798E-4</v>
      </c>
      <c r="AR33" s="260">
        <f>AP32*(1-VLOOKUP(AE33,boc_trpr_bc_death,20,TRUE))+AQ32*(1-VLOOKUP(AE33,boc_trpr_oc_death,20,TRUE))+AR32*(1-VLOOKUP(AE33,mortt,2,FALSE)*boc_rr_death_pc)</f>
        <v>5.2637366568908418E-2</v>
      </c>
      <c r="AS33" s="260">
        <f>AS32+SUM(AF32:AO32)*VLOOKUP(AE33,mortt,2,FALSE)+AP32*VLOOKUP(AE33,boc_trpr_bc_death,20,TRUE)+AQ32*VLOOKUP(AE33,boc_trpr_bc_death,20,TRUE)+AR32*VLOOKUP(AE33,mortt,2,FALSE)*boc_rr_death_pc</f>
        <v>0.18793588531787958</v>
      </c>
      <c r="AT33" s="260">
        <f t="shared" si="40"/>
        <v>1.0000013850830736</v>
      </c>
      <c r="AU33" s="118">
        <f>(boc_cost_mast*SUM(AI33,AK33,AM33)*(boc_tr_mast_path+boc_tr_both_path)+SUM(AJ33,AL33,AN33)*(boc_tr_mast_vus+boc_tr_both_vus)+AP33*boc_cost_bc+AQ33*boc_cost_oc+AR33*boc_cost_pc+(AP33*VLOOKUP(AE33,boc_trpr_bc_death,20,TRUE)+AQ33*VLOOKUP(AE33,boc_trpr_oc_death,TRUE)*boc_cost_death))/((1+discount)^AD33)</f>
        <v>849.06756378662112</v>
      </c>
      <c r="AV33" s="35">
        <f t="shared" si="3"/>
        <v>0.3447058142095249</v>
      </c>
      <c r="AW33" s="35">
        <f t="shared" si="4"/>
        <v>0.3655823770098216</v>
      </c>
      <c r="AY33" s="12">
        <v>27</v>
      </c>
      <c r="AZ33" s="12">
        <f t="shared" si="5"/>
        <v>72</v>
      </c>
      <c r="BA33" s="260">
        <f>BA32*(1-VLOOKUP(AZ33,boc_trpr_bc,11,TRUE)*boc_rr_bc_mast-VLOOKUP(AZ33,boc_trpr_oc,11,TRUE)*boc_rr_oc_mast-VLOOKUP(AZ33,mortt,2,FALSE))</f>
        <v>8.038135010046063E-3</v>
      </c>
      <c r="BB33" s="260">
        <f>BB32*(1-VLOOKUP(AZ33,boc_trpr_bc,11,TRUE)*boc_rr_bc_ooph-VLOOKUP(AZ33,boc_trpr_oc,11,TRUE)*boc_rr_oc_ooph-VLOOKUP(AZ33,mortt,2,FALSE))</f>
        <v>7.8447641813526644E-3</v>
      </c>
      <c r="BC33" s="260">
        <f>BC32*(1-VLOOKUP(AZ33,boc_trpr_bc,11,TRUE)*boc_rr_bc_both-VLOOKUP(AZ33,boc_trpr_oc,11,TRUE)*boc_rr_oc_both-VLOOKUP(AZ33,mortt,2,FALSE))</f>
        <v>8.1088471449768749E-3</v>
      </c>
      <c r="BD33" s="289">
        <f>BD32*(1-VLOOKUP(AZ33,boc_trpr_bc,11,TRUE)*boc_rr_bc_hip-VLOOKUP(AZ33,boc_trpr_oc,11,TRUE)*boc_rr_oc_hip-VLOOKUP(AZ33,mortt,2,FALSE))</f>
        <v>8.7832396660178893E-4</v>
      </c>
      <c r="BE33" s="289">
        <f>BE32*(1-VLOOKUP(AZ33,boc_trpr_bc,11,TRUE)*boc_rr_bc_hiv-VLOOKUP(AZ33,boc_trpr_oc,11,TRUE)*boc_rr_oc_hiv-VLOOKUP(AZ33,mortt,2,FALSE))</f>
        <v>7.7104268706764574E-3</v>
      </c>
      <c r="BF33" s="289">
        <f>BF32*(1-VLOOKUP(AZ33,boc_trpr_bc,11,TRUE)*boc_rr_bc_modp-VLOOKUP(AZ33,boc_trpr_oc,11,TRUE)*boc_rr_oc_modp-VLOOKUP(AZ33,mortt,2,FALSE))</f>
        <v>2.5027533217676723E-3</v>
      </c>
      <c r="BG33" s="289">
        <f>BG32*(1-VLOOKUP(AZ33,boc_trpr_bc,11,TRUE)*boc_rr_bc_modv-VLOOKUP(AZ33,boc_trpr_oc,11,TRUE)*boc_rr_oc_modv-VLOOKUP(AZ33,mortt,2,FALSE))</f>
        <v>9.8036355482102391E-3</v>
      </c>
      <c r="BH33" s="289">
        <f>BH32*(1-VLOOKUP(AZ33,boc_trpr_bc,11,TRUE)*boc_rr_bc_lop-VLOOKUP(AZ33,boc_trpr_oc,11,TRUE)*boc_rr_oc_lop-VLOOKUP(AZ33,mortt,2,FALSE))</f>
        <v>7.2213468704013359E-4</v>
      </c>
      <c r="BI33" s="289">
        <f>BI32*(1-VLOOKUP(AZ33,boc_trpr_bc,11,TRUE)*boc_rr_bc_lov-VLOOKUP(AZ33,boc_trpr_oc,11,TRUE)*boc_rr_oc_lov-VLOOKUP(AZ33,mortt,2,FALSE))</f>
        <v>2.1462013062633024E-3</v>
      </c>
      <c r="BJ33" s="260">
        <f>BJ32*(1-VLOOKUP(AZ33,boc_trpr_bc,11,TRUE)*boc_rr_bc_np-VLOOKUP(AZ33,boc_trpr_oc,11,TRUE)*boc_rr_oc_np-VLOOKUP(AZ33,mortt,2,FALSE))</f>
        <v>0.70404906351435292</v>
      </c>
      <c r="BK33" s="260">
        <f>BA32*VLOOKUP(AZ33,boc_trpr_bc,11,TRUE)*boc_rr_bc_mast+BB32*VLOOKUP(AZ33,boc_trpr_bc,11,TRUE)*boc_rr_bc_ooph+BC32*VLOOKUP(AZ33,boc_trpr_bc,11,TRUE)*boc_rr_bc_both+BD32*VLOOKUP(AZ33,boc_trpr_bc,11,TRUE)*boc_rr_bc_hip+BE32*VLOOKUP(AZ33,boc_trpr_bc,11,TRUE)*boc_rr_bc_hiv+BF32*VLOOKUP(AZ33,boc_trpr_bc,11,TRUE)*boc_rr_bc_modp+BG32*VLOOKUP(AZ33,boc_trpr_bc,11,TRUE)*boc_rr_bc_modv+BH32*VLOOKUP(AZ33,boc_trpr_bc,11,TRUE)*boc_rr_bc_lop+BI32*VLOOKUP(AZ33,boc_trpr_bc,11,TRUE)*boc_rr_bc_lov+BJ32*VLOOKUP(AZ33,boc_trpr_bc,11,TRUE)*boc_rr_bc_np</f>
        <v>3.2864188360681025E-3</v>
      </c>
      <c r="BL33" s="260">
        <f>BA32*VLOOKUP(AZ33,boc_trpr_oc,11,TRUE)*boc_rr_oc_mast+BB32*VLOOKUP(AZ33,boc_trpr_oc,11,TRUE)*boc_rr_oc_ooph+BC32*VLOOKUP(AZ33,boc_trpr_oc,11,TRUE)*boc_rr_oc_both+BD32*VLOOKUP(AZ33,boc_trpr_oc,11,TRUE)*boc_rr_oc_hip+BE32*VLOOKUP(AZ33,boc_trpr_oc,11,TRUE)*boc_rr_oc_hiv+BF32*VLOOKUP(AZ33,boc_trpr_oc,11,TRUE)*boc_rr_oc_modp+BG32*VLOOKUP(AZ33,boc_trpr_oc,11,TRUE)*boc_rr_oc_modv+BH32*VLOOKUP(AZ33,boc_trpr_oc,11,TRUE)*boc_rr_oc_lop+BI32*VLOOKUP(AZ33,boc_trpr_oc,11,TRUE)*boc_rr_oc_lov+BJ32*VLOOKUP(AZ33,boc_trpr_oc,11,TRUE)*boc_rr_oc_np</f>
        <v>2.8155027896180346E-4</v>
      </c>
      <c r="BM33" s="260">
        <f>BK32*(1-VLOOKUP(AZ33,boc_trpr_bc_death,20,TRUE))+BL32*(1-VLOOKUP(AZ33,boc_trpr_oc_death,20,TRUE))+BM32*(1-VLOOKUP(AZ33,mortt,2,FALSE)*boc_rr_death_pc)</f>
        <v>5.6496689905833314E-2</v>
      </c>
      <c r="BN33" s="260">
        <f>BN32+SUM(BA32:BJ32)*VLOOKUP(AZ33,mortt,2,FALSE)+BK32*VLOOKUP(AZ33,boc_trpr_bc_death,20,TRUE)+BL32*VLOOKUP(AZ33,boc_trpr_bc_death,20,TRUE)+BM32*VLOOKUP(AZ33,mortt,2,FALSE)*boc_rr_death_pc</f>
        <v>0.1881325299734313</v>
      </c>
      <c r="BO33" s="260">
        <f t="shared" si="24"/>
        <v>1.0000014745455825</v>
      </c>
      <c r="BP33" s="118">
        <f>(boc_cost_mast*SUM(BD33,BF33,BH33)*(boc_tr_mast_path+boc_tr_both_path)+SUM(BE33,BG33,BI33)*(boc_tr_mast_vus+boc_tr_both_vus)+BK33*boc_cost_bc+BL33*boc_cost_oc+BM33*boc_cost_pc+(BK33*VLOOKUP(AZ33,boc_trpr_bc_death,20,TRUE)+BL33*VLOOKUP(AZ33,boc_trpr_oc_death,TRUE)*boc_cost_death))/((1+discount)^AY33)</f>
        <v>908.92492271551282</v>
      </c>
      <c r="BQ33" s="35">
        <f t="shared" si="6"/>
        <v>0.34425456022702694</v>
      </c>
      <c r="BR33" s="35">
        <f t="shared" si="7"/>
        <v>0.36549384973801746</v>
      </c>
      <c r="BS33" s="35"/>
      <c r="BU33" s="33">
        <v>15</v>
      </c>
      <c r="BV33" t="str">
        <f>$M$59</f>
        <v>boc_test_int_path_ooph</v>
      </c>
      <c r="BW33" s="35">
        <f>$F$59</f>
        <v>2.4000000000000004</v>
      </c>
      <c r="BX33" s="35">
        <f>$G$59</f>
        <v>3.5999999999999996</v>
      </c>
      <c r="BY33" s="311">
        <v>-7.0791376437423423</v>
      </c>
      <c r="BZ33" s="311">
        <v>-8.0272580706405279</v>
      </c>
      <c r="CA33" s="311">
        <f t="shared" si="25"/>
        <v>0.94812042689818554</v>
      </c>
      <c r="CD33" s="138">
        <v>28</v>
      </c>
      <c r="CE33" s="291">
        <v>6.1300000000000005E-4</v>
      </c>
      <c r="CH33" s="12">
        <v>64</v>
      </c>
      <c r="CI33" s="12" t="s">
        <v>311</v>
      </c>
      <c r="CJ33" s="376">
        <v>29.1</v>
      </c>
      <c r="CK33" s="260">
        <f t="shared" si="26"/>
        <v>2.9100000000000003E-4</v>
      </c>
      <c r="CL33" s="289">
        <f t="shared" si="27"/>
        <v>2.9095766360676123E-4</v>
      </c>
      <c r="CM33" s="289">
        <f t="shared" si="28"/>
        <v>1.8526910805627406E-4</v>
      </c>
      <c r="CN33" s="289">
        <f t="shared" si="29"/>
        <v>3.9663504701659136E-4</v>
      </c>
      <c r="CO33" s="290">
        <f t="shared" si="30"/>
        <v>29.108179704273205</v>
      </c>
      <c r="CP33" s="290">
        <f t="shared" si="31"/>
        <v>100013.55556540284</v>
      </c>
      <c r="CQ33" s="289">
        <f t="shared" ca="1" si="32"/>
        <v>3.1958781557095417E-4</v>
      </c>
      <c r="CR33" s="289">
        <f>IF(psa,CQ33,CL33)</f>
        <v>2.9095766360676123E-4</v>
      </c>
      <c r="CS33" s="373">
        <v>18.5</v>
      </c>
      <c r="CT33" s="260">
        <f t="shared" si="33"/>
        <v>1.85E-4</v>
      </c>
      <c r="CU33" s="289">
        <f t="shared" si="34"/>
        <v>1.8498288855517409E-4</v>
      </c>
      <c r="CV33" s="289">
        <f t="shared" si="35"/>
        <v>1.0070148895635622E-4</v>
      </c>
      <c r="CW33" s="289">
        <f t="shared" si="36"/>
        <v>2.6925718408432608E-4</v>
      </c>
      <c r="CX33" s="290">
        <f t="shared" si="37"/>
        <v>18.503238159333808</v>
      </c>
      <c r="CY33" s="290">
        <f t="shared" si="38"/>
        <v>100008.25223017104</v>
      </c>
      <c r="CZ33" s="289">
        <f t="shared" ca="1" si="39"/>
        <v>1.5483028842620984E-4</v>
      </c>
      <c r="DA33" s="289">
        <f>IF(psa,CZ33,CU33)</f>
        <v>1.8498288855517409E-4</v>
      </c>
    </row>
    <row r="34" spans="2:105" ht="15" customHeight="1" x14ac:dyDescent="0.2">
      <c r="B34" s="3" t="s">
        <v>157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Q34" s="11"/>
      <c r="U34" s="9" t="s">
        <v>9</v>
      </c>
      <c r="V34" s="250">
        <f>1-SUM(V31,V32,V33)</f>
        <v>0.97</v>
      </c>
      <c r="AA34" s="261">
        <f>R27*T32*V34</f>
        <v>3.0699790038501203E-2</v>
      </c>
      <c r="AD34" s="12">
        <v>28</v>
      </c>
      <c r="AE34" s="12">
        <f t="shared" si="2"/>
        <v>73</v>
      </c>
      <c r="AF34" s="260">
        <f>AF33*(1-VLOOKUP(AE34,boc_trpr_bc,11,TRUE)*boc_rr_bc_mast-VLOOKUP(AE34,boc_trpr_oc,11,TRUE)*boc_rr_oc_mast-VLOOKUP(AE34,mortt,2,FALSE))+SUM(AI33,AK33,AM33)*boc_tr_mast_path+SUM(AJ33,AL33,AN33)*boc_tr_mast_vus</f>
        <v>1.7255866381180703E-2</v>
      </c>
      <c r="AG34" s="260">
        <f>AG33*(1-VLOOKUP(AE34,boc_trpr_bc,11,TRUE)*boc_rr_bc_ooph-VLOOKUP(AE34,boc_trpr_oc,11,TRUE)*boc_rr_oc_ooph-VLOOKUP(AE34,mortt,2,FALSE))+SUM(AI33,AK33,AM33)*boc_tr_ooph_path+SUM(AJ33,AL33,AN33)*boc_tr_ooph_vus</f>
        <v>1.6489138016556149E-2</v>
      </c>
      <c r="AH34" s="260">
        <f>AH33*(1-VLOOKUP(AE34,boc_trpr_bc,11,TRUE)*boc_rr_bc_both-VLOOKUP(AE34,boc_trpr_oc,11,TRUE)*boc_rr_oc_both-VLOOKUP(AE34,mortt,2,FALSE))+SUM(AI33,AK33,AM33)*boc_tr_both_path+SUM(AJ33,AL33,AN33)*boc_tr_both_vus</f>
        <v>1.6968289672092997E-2</v>
      </c>
      <c r="AI34" s="289">
        <f>AI33*(1-VLOOKUP(AE34,boc_trpr_bc,11,TRUE)*boc_rr_bc_hip-VLOOKUP(AE34,boc_trpr_oc,11,TRUE)*boc_rr_oc_hip-boc_tr_mast_path-boc_tr_ooph_path-boc_tr_both_path-VLOOKUP(AE34,mortt,2,FALSE))</f>
        <v>5.8549436136879312E-23</v>
      </c>
      <c r="AJ34" s="289">
        <f>AJ33*(1-VLOOKUP(AE34,boc_trpr_bc,11,TRUE)*boc_rr_bc_hiv-VLOOKUP(AE34,boc_trpr_oc,11,TRUE)*boc_rr_oc_hiv-boc_tr_mast_vus-boc_tr_ooph_vus-boc_tr_both_vus-VLOOKUP(AE34,mortt,2,FALSE))</f>
        <v>7.1920610654374359E-5</v>
      </c>
      <c r="AK34" s="289">
        <f>AK33*(1-VLOOKUP(AE34,boc_trpr_bc,11,TRUE)*boc_rr_bc_modp-VLOOKUP(AE34,boc_trpr_oc,11,TRUE)*boc_rr_oc_modp-boc_tr_mast_path-boc_tr_ooph_path-boc_tr_both_path-VLOOKUP(AE34,mortt,2,FALSE))</f>
        <v>3.9947228369015089E-21</v>
      </c>
      <c r="AL34" s="289">
        <f>AL33*(1-VLOOKUP(AE34,boc_trpr_bc,11,TRUE)*boc_rr_bc_modv-VLOOKUP(AE34,boc_trpr_oc,11,TRUE)*boc_rr_oc_modv-boc_tr_mast_vus-boc_tr_ooph_vus-boc_tr_both_vus-VLOOKUP(AE34,mortt,2,FALSE))</f>
        <v>9.1445450049168833E-5</v>
      </c>
      <c r="AM34" s="289">
        <f>AM33*(1-VLOOKUP(AE34,boc_trpr_bc,11,TRUE)*boc_rr_bc_lop-VLOOKUP(AE34,boc_trpr_oc,11,TRUE)*boc_rr_oc_lop-boc_tr_mast_path-boc_tr_ooph_path-boc_tr_both_path-VLOOKUP(AE34,mortt,2,FALSE))</f>
        <v>3.055434469667256E-21</v>
      </c>
      <c r="AN34" s="289">
        <f>AN33*(1-VLOOKUP(AE34,boc_trpr_bc,11,TRUE)*boc_rr_bc_lov-VLOOKUP(AE34,boc_trpr_oc,11,TRUE)*boc_rr_oc_lov-boc_tr_mast_vus-boc_tr_ooph_vus-boc_tr_both_vus-VLOOKUP(AE34,mortt,2,FALSE))</f>
        <v>2.0019139163449535E-5</v>
      </c>
      <c r="AO34" s="260">
        <f>AO33*(1-VLOOKUP(AE34,boc_trpr_bc,11,TRUE)*boc_rr_bc_np-VLOOKUP(AE34,boc_trpr_oc,11,TRUE)*boc_rr_oc_np-VLOOKUP(AE34,mortt,2,FALSE))</f>
        <v>0.68648729247072005</v>
      </c>
      <c r="AP34" s="260">
        <f>AF33*VLOOKUP(AE34,boc_trpr_bc,11,TRUE)*boc_rr_bc_mast+AG33*VLOOKUP(AE34,boc_trpr_bc,11,TRUE)*boc_rr_bc_ooph+AH33*VLOOKUP(AE34,boc_trpr_bc,11,TRUE)*boc_rr_bc_both+AI33*VLOOKUP(AE34,boc_trpr_bc,11,TRUE)*boc_rr_bc_hip+AJ33*VLOOKUP(AE34,boc_trpr_bc,11,TRUE)*boc_rr_bc_hiv+AK33*VLOOKUP(AE34,boc_trpr_bc,11,TRUE)*boc_rr_bc_modp+AL33*VLOOKUP(AE34,boc_trpr_bc,11,TRUE)*boc_rr_bc_modv+AM33*VLOOKUP(AE34,boc_trpr_bc,11,TRUE)*boc_rr_bc_lop+AN33*VLOOKUP(AE34,boc_trpr_bc,11,TRUE)*boc_rr_bc_lov+AO33*VLOOKUP(AE34,boc_trpr_bc,11,TRUE)*boc_rr_bc_np</f>
        <v>3.0273777585088841E-3</v>
      </c>
      <c r="AQ34" s="260">
        <f>AF33*VLOOKUP(AE34,boc_trpr_oc,11,TRUE)*boc_rr_oc_mast+AG33*VLOOKUP(AE34,boc_trpr_oc,11,TRUE)*boc_rr_oc_ooph+AH33*VLOOKUP(AE34,boc_trpr_oc,11,TRUE)*boc_rr_oc_both+AI33*VLOOKUP(AE34,boc_trpr_oc,11,TRUE)*boc_rr_oc_hip+AJ33*VLOOKUP(AE34,boc_trpr_oc,11,TRUE)*boc_rr_oc_hiv+AK33*VLOOKUP(AE34,boc_trpr_oc,11,TRUE)*boc_rr_oc_modp+AL33*VLOOKUP(AE34,boc_trpr_oc,11,TRUE)*boc_rr_oc_modv+AM33*VLOOKUP(AE34,boc_trpr_oc,11,TRUE)*boc_rr_oc_lop+AN33*VLOOKUP(AE34,boc_trpr_oc,11,TRUE)*boc_rr_oc_lov+AO33*VLOOKUP(AE34,boc_trpr_oc,11,TRUE)*boc_rr_oc_np</f>
        <v>2.6180910752360769E-4</v>
      </c>
      <c r="AR34" s="260">
        <f>AP33*(1-VLOOKUP(AE34,boc_trpr_bc_death,20,TRUE))+AQ33*(1-VLOOKUP(AE34,boc_trpr_oc_death,20,TRUE))+AR33*(1-VLOOKUP(AE34,mortt,2,FALSE)*boc_rr_death_pc)</f>
        <v>5.4395162672863567E-2</v>
      </c>
      <c r="AS34" s="260">
        <f>AS33+SUM(AF33:AO33)*VLOOKUP(AE34,mortt,2,FALSE)+AP33*VLOOKUP(AE34,boc_trpr_bc_death,20,TRUE)+AQ33*VLOOKUP(AE34,boc_trpr_bc_death,20,TRUE)+AR33*VLOOKUP(AE34,mortt,2,FALSE)*boc_rr_death_pc</f>
        <v>0.20493316719322732</v>
      </c>
      <c r="AT34" s="260">
        <f t="shared" si="40"/>
        <v>1.0000014884725403</v>
      </c>
      <c r="AU34" s="118">
        <f>(boc_cost_mast*SUM(AI34,AK34,AM34)*(boc_tr_mast_path+boc_tr_both_path)+SUM(AJ34,AL34,AN34)*(boc_tr_mast_vus+boc_tr_both_vus)+AP34*boc_cost_bc+AQ34*boc_cost_oc+AR34*boc_cost_pc+(AP34*VLOOKUP(AE34,boc_trpr_bc_death,20,TRUE)+AQ34*VLOOKUP(AE34,boc_trpr_oc_death,TRUE)*boc_cost_death))/((1+discount)^AD34)</f>
        <v>815.41487142513722</v>
      </c>
      <c r="AV34" s="35">
        <f t="shared" si="3"/>
        <v>0.32753665468235466</v>
      </c>
      <c r="AW34" s="35">
        <f t="shared" si="4"/>
        <v>0.34750522983667781</v>
      </c>
      <c r="AY34" s="12">
        <v>28</v>
      </c>
      <c r="AZ34" s="12">
        <f t="shared" si="5"/>
        <v>73</v>
      </c>
      <c r="BA34" s="260">
        <f>BA33*(1-VLOOKUP(AZ34,boc_trpr_bc,11,TRUE)*boc_rr_bc_mast-VLOOKUP(AZ34,boc_trpr_oc,11,TRUE)*boc_rr_oc_mast-VLOOKUP(AZ34,mortt,2,FALSE))</f>
        <v>7.8682406862651995E-3</v>
      </c>
      <c r="BB34" s="260">
        <f>BB33*(1-VLOOKUP(AZ34,boc_trpr_bc,11,TRUE)*boc_rr_bc_ooph-VLOOKUP(AZ34,boc_trpr_oc,11,TRUE)*boc_rr_oc_ooph-VLOOKUP(AZ34,mortt,2,FALSE))</f>
        <v>7.6677203126966536E-3</v>
      </c>
      <c r="BC34" s="260">
        <f>BC33*(1-VLOOKUP(AZ34,boc_trpr_bc,11,TRUE)*boc_rr_bc_both-VLOOKUP(AZ34,boc_trpr_oc,11,TRUE)*boc_rr_oc_both-VLOOKUP(AZ34,mortt,2,FALSE))</f>
        <v>7.9416253572022217E-3</v>
      </c>
      <c r="BD34" s="289">
        <f>BD33*(1-VLOOKUP(AZ34,boc_trpr_bc,11,TRUE)*boc_rr_bc_hip-VLOOKUP(AZ34,boc_trpr_oc,11,TRUE)*boc_rr_oc_hip-VLOOKUP(AZ34,mortt,2,FALSE))</f>
        <v>7.9996219782114573E-4</v>
      </c>
      <c r="BE34" s="289">
        <f>BE33*(1-VLOOKUP(AZ34,boc_trpr_bc,11,TRUE)*boc_rr_bc_hiv-VLOOKUP(AZ34,boc_trpr_oc,11,TRUE)*boc_rr_oc_hiv-VLOOKUP(AZ34,mortt,2,FALSE))</f>
        <v>7.5145584727428797E-3</v>
      </c>
      <c r="BF34" s="289">
        <f>BF33*(1-VLOOKUP(AZ34,boc_trpr_bc,11,TRUE)*boc_rr_bc_modp-VLOOKUP(AZ34,boc_trpr_oc,11,TRUE)*boc_rr_oc_modp-VLOOKUP(AZ34,mortt,2,FALSE))</f>
        <v>2.3943645927404964E-3</v>
      </c>
      <c r="BG34" s="289">
        <f>BG33*(1-VLOOKUP(AZ34,boc_trpr_bc,11,TRUE)*boc_rr_bc_modv-VLOOKUP(AZ34,boc_trpr_oc,11,TRUE)*boc_rr_oc_modv-VLOOKUP(AZ34,mortt,2,FALSE))</f>
        <v>9.5545932550973357E-3</v>
      </c>
      <c r="BH34" s="289">
        <f>BH33*(1-VLOOKUP(AZ34,boc_trpr_bc,11,TRUE)*boc_rr_bc_lop-VLOOKUP(AZ34,boc_trpr_oc,11,TRUE)*boc_rr_oc_lop-VLOOKUP(AZ34,mortt,2,FALSE))</f>
        <v>7.0246414353710145E-4</v>
      </c>
      <c r="BI34" s="289">
        <f>BI33*(1-VLOOKUP(AZ34,boc_trpr_bc,11,TRUE)*boc_rr_bc_lov-VLOOKUP(AZ34,boc_trpr_oc,11,TRUE)*boc_rr_oc_lov-VLOOKUP(AZ34,mortt,2,FALSE))</f>
        <v>2.0916812364213245E-3</v>
      </c>
      <c r="BJ34" s="260">
        <f>BJ33*(1-VLOOKUP(AZ34,boc_trpr_bc,11,TRUE)*boc_rr_bc_np-VLOOKUP(AZ34,boc_trpr_oc,11,TRUE)*boc_rr_oc_np-VLOOKUP(AZ34,mortt,2,FALSE))</f>
        <v>0.68648729247072005</v>
      </c>
      <c r="BK34" s="260">
        <f>BA33*VLOOKUP(AZ34,boc_trpr_bc,11,TRUE)*boc_rr_bc_mast+BB33*VLOOKUP(AZ34,boc_trpr_bc,11,TRUE)*boc_rr_bc_ooph+BC33*VLOOKUP(AZ34,boc_trpr_bc,11,TRUE)*boc_rr_bc_both+BD33*VLOOKUP(AZ34,boc_trpr_bc,11,TRUE)*boc_rr_bc_hip+BE33*VLOOKUP(AZ34,boc_trpr_bc,11,TRUE)*boc_rr_bc_hiv+BF33*VLOOKUP(AZ34,boc_trpr_bc,11,TRUE)*boc_rr_bc_modp+BG33*VLOOKUP(AZ34,boc_trpr_bc,11,TRUE)*boc_rr_bc_modv+BH33*VLOOKUP(AZ34,boc_trpr_bc,11,TRUE)*boc_rr_bc_lop+BI33*VLOOKUP(AZ34,boc_trpr_bc,11,TRUE)*boc_rr_bc_lov+BJ33*VLOOKUP(AZ34,boc_trpr_bc,11,TRUE)*boc_rr_bc_np</f>
        <v>3.2056659990948666E-3</v>
      </c>
      <c r="BL34" s="260">
        <f>BA33*VLOOKUP(AZ34,boc_trpr_oc,11,TRUE)*boc_rr_oc_mast+BB33*VLOOKUP(AZ34,boc_trpr_oc,11,TRUE)*boc_rr_oc_ooph+BC33*VLOOKUP(AZ34,boc_trpr_oc,11,TRUE)*boc_rr_oc_both+BD33*VLOOKUP(AZ34,boc_trpr_oc,11,TRUE)*boc_rr_oc_hip+BE33*VLOOKUP(AZ34,boc_trpr_oc,11,TRUE)*boc_rr_oc_hiv+BF33*VLOOKUP(AZ34,boc_trpr_oc,11,TRUE)*boc_rr_oc_modp+BG33*VLOOKUP(AZ34,boc_trpr_oc,11,TRUE)*boc_rr_oc_modv+BH33*VLOOKUP(AZ34,boc_trpr_oc,11,TRUE)*boc_rr_oc_lop+BI33*VLOOKUP(AZ34,boc_trpr_oc,11,TRUE)*boc_rr_oc_lov+BJ33*VLOOKUP(AZ34,boc_trpr_oc,11,TRUE)*boc_rr_oc_np</f>
        <v>2.7464420312347615E-4</v>
      </c>
      <c r="BM34" s="260">
        <f>BK33*(1-VLOOKUP(AZ34,boc_trpr_bc_death,20,TRUE))+BL33*(1-VLOOKUP(AZ34,boc_trpr_oc_death,20,TRUE))+BM33*(1-VLOOKUP(AZ34,mortt,2,FALSE)*boc_rr_death_pc)</f>
        <v>5.8337647791847969E-2</v>
      </c>
      <c r="BN34" s="260">
        <f>BN33+SUM(BA33:BJ33)*VLOOKUP(AZ34,mortt,2,FALSE)+BK33*VLOOKUP(AZ34,boc_trpr_bc_death,20,TRUE)+BL33*VLOOKUP(AZ34,boc_trpr_bc_death,20,TRUE)+BM33*VLOOKUP(AZ34,mortt,2,FALSE)*boc_rr_death_pc</f>
        <v>0.20516112245546009</v>
      </c>
      <c r="BO34" s="260">
        <f t="shared" si="24"/>
        <v>1.0000015831747708</v>
      </c>
      <c r="BP34" s="118">
        <f>(boc_cost_mast*SUM(BD34,BF34,BH34)*(boc_tr_mast_path+boc_tr_both_path)+SUM(BE34,BG34,BI34)*(boc_tr_mast_vus+boc_tr_both_vus)+BK34*boc_cost_bc+BL34*boc_cost_oc+BM34*boc_cost_pc+(BK34*VLOOKUP(AZ34,boc_trpr_bc_death,20,TRUE)+BL34*VLOOKUP(AZ34,boc_trpr_oc_death,TRUE)*boc_cost_death))/((1+discount)^AY34)</f>
        <v>871.42330184036723</v>
      </c>
      <c r="BQ34" s="35">
        <f t="shared" si="6"/>
        <v>0.32708908871270603</v>
      </c>
      <c r="BR34" s="35">
        <f t="shared" si="7"/>
        <v>0.34740559589079301</v>
      </c>
      <c r="BS34" s="35"/>
      <c r="BU34" s="33">
        <v>48</v>
      </c>
      <c r="BV34" t="str">
        <f>$M$60</f>
        <v>boc_test_int_path_both</v>
      </c>
      <c r="BW34" s="35">
        <f>$F$60</f>
        <v>1.6</v>
      </c>
      <c r="BX34" s="35">
        <f>$G$60</f>
        <v>2.4</v>
      </c>
      <c r="BY34" s="311">
        <v>-7.1100051806956799</v>
      </c>
      <c r="BZ34" s="311">
        <v>-7.996135982564283</v>
      </c>
      <c r="CA34" s="311">
        <f t="shared" si="25"/>
        <v>0.88613080186860316</v>
      </c>
      <c r="CD34" s="138">
        <v>29</v>
      </c>
      <c r="CE34" s="291">
        <v>6.4400000000000004E-4</v>
      </c>
      <c r="CH34" s="12">
        <v>69</v>
      </c>
      <c r="CI34" s="12" t="s">
        <v>312</v>
      </c>
      <c r="CJ34" s="376">
        <v>36</v>
      </c>
      <c r="CK34" s="260">
        <f t="shared" si="26"/>
        <v>3.6000000000000002E-4</v>
      </c>
      <c r="CL34" s="289">
        <f t="shared" si="27"/>
        <v>3.5993520777533039E-4</v>
      </c>
      <c r="CM34" s="289">
        <f t="shared" si="28"/>
        <v>2.4239394828284855E-4</v>
      </c>
      <c r="CN34" s="289">
        <f t="shared" si="29"/>
        <v>4.7746264797032811E-4</v>
      </c>
      <c r="CO34" s="290">
        <f t="shared" si="30"/>
        <v>36.012604955080207</v>
      </c>
      <c r="CP34" s="290">
        <f t="shared" si="31"/>
        <v>100017.00854200391</v>
      </c>
      <c r="CQ34" s="289">
        <f t="shared" ca="1" si="32"/>
        <v>3.0129865536954604E-4</v>
      </c>
      <c r="CR34" s="289">
        <f>IF(psa,CQ34,CL34)</f>
        <v>3.5993520777533039E-4</v>
      </c>
      <c r="CS34" s="373">
        <v>26</v>
      </c>
      <c r="CT34" s="260">
        <f t="shared" si="33"/>
        <v>2.5999999999999998E-4</v>
      </c>
      <c r="CU34" s="289">
        <f t="shared" si="34"/>
        <v>2.5996620292911832E-4</v>
      </c>
      <c r="CV34" s="289">
        <f t="shared" si="35"/>
        <v>1.6006123570988517E-4</v>
      </c>
      <c r="CW34" s="289">
        <f t="shared" si="36"/>
        <v>3.5986118754816054E-4</v>
      </c>
      <c r="CX34" s="290">
        <f t="shared" si="37"/>
        <v>26.006501851802639</v>
      </c>
      <c r="CY34" s="290">
        <f t="shared" si="38"/>
        <v>100012.00443487562</v>
      </c>
      <c r="CZ34" s="289">
        <f t="shared" ca="1" si="39"/>
        <v>2.1861359865258122E-4</v>
      </c>
      <c r="DA34" s="289">
        <f>IF(psa,CZ34,CU34)</f>
        <v>2.5996620292911832E-4</v>
      </c>
    </row>
    <row r="35" spans="2:105" ht="15" customHeight="1" x14ac:dyDescent="0.2">
      <c r="B35" s="8" t="s">
        <v>27</v>
      </c>
      <c r="C35" s="13" t="s">
        <v>32</v>
      </c>
      <c r="D35" s="13" t="s">
        <v>33</v>
      </c>
      <c r="E35" s="13" t="s">
        <v>34</v>
      </c>
      <c r="F35" s="17" t="s">
        <v>36</v>
      </c>
      <c r="G35" s="17"/>
      <c r="H35" s="13" t="s">
        <v>41</v>
      </c>
      <c r="I35" s="13" t="s">
        <v>37</v>
      </c>
      <c r="J35" s="13" t="s">
        <v>35</v>
      </c>
      <c r="K35" s="13" t="s">
        <v>39</v>
      </c>
      <c r="L35" s="13" t="s">
        <v>63</v>
      </c>
      <c r="M35" s="13" t="s">
        <v>158</v>
      </c>
      <c r="N35" s="13" t="s">
        <v>40</v>
      </c>
      <c r="Q35" s="11"/>
      <c r="AD35" s="12">
        <v>29</v>
      </c>
      <c r="AE35" s="12">
        <f t="shared" si="2"/>
        <v>74</v>
      </c>
      <c r="AF35" s="260">
        <f>AF34*(1-VLOOKUP(AE35,boc_trpr_bc,11,TRUE)*boc_rr_bc_mast-VLOOKUP(AE35,boc_trpr_oc,11,TRUE)*boc_rr_oc_mast-VLOOKUP(AE35,mortt,2,FALSE))+SUM(AI34,AK34,AM34)*boc_tr_mast_path+SUM(AJ34,AL34,AN34)*boc_tr_mast_vus</f>
        <v>1.6864156012548995E-2</v>
      </c>
      <c r="AG35" s="260">
        <f>AG34*(1-VLOOKUP(AE35,boc_trpr_bc,11,TRUE)*boc_rr_bc_ooph-VLOOKUP(AE35,boc_trpr_oc,11,TRUE)*boc_rr_oc_ooph-VLOOKUP(AE35,mortt,2,FALSE))+SUM(AI34,AK34,AM34)*boc_tr_ooph_path+SUM(AJ34,AL34,AN34)*boc_tr_ooph_vus</f>
        <v>1.6090441952576306E-2</v>
      </c>
      <c r="AH35" s="260">
        <f>AH34*(1-VLOOKUP(AE35,boc_trpr_bc,11,TRUE)*boc_rr_bc_both-VLOOKUP(AE35,boc_trpr_oc,11,TRUE)*boc_rr_oc_both-VLOOKUP(AE35,mortt,2,FALSE))+SUM(AI34,AK34,AM34)*boc_tr_both_path+SUM(AJ34,AL34,AN34)*boc_tr_both_vus</f>
        <v>1.6592911376287572E-2</v>
      </c>
      <c r="AI35" s="289">
        <f>AI34*(1-VLOOKUP(AE35,boc_trpr_bc,11,TRUE)*boc_rr_bc_hip-VLOOKUP(AE35,boc_trpr_oc,11,TRUE)*boc_rr_oc_hip-boc_tr_mast_path-boc_tr_ooph_path-boc_tr_both_path-VLOOKUP(AE35,mortt,2,FALSE))</f>
        <v>9.0111669764524361E-24</v>
      </c>
      <c r="AJ35" s="289">
        <f>AJ34*(1-VLOOKUP(AE35,boc_trpr_bc,11,TRUE)*boc_rr_bc_hiv-VLOOKUP(AE35,boc_trpr_oc,11,TRUE)*boc_rr_oc_hiv-boc_tr_mast_vus-boc_tr_ooph_vus-boc_tr_both_vus-VLOOKUP(AE35,mortt,2,FALSE))</f>
        <v>5.9134693371584032E-5</v>
      </c>
      <c r="AK35" s="289">
        <f>AK34*(1-VLOOKUP(AE35,boc_trpr_bc,11,TRUE)*boc_rr_bc_modp-VLOOKUP(AE35,boc_trpr_oc,11,TRUE)*boc_rr_oc_modp-boc_tr_mast_path-boc_tr_ooph_path-boc_tr_both_path-VLOOKUP(AE35,mortt,2,FALSE))</f>
        <v>8.1114575768464796E-22</v>
      </c>
      <c r="AL35" s="289">
        <f>AL34*(1-VLOOKUP(AE35,boc_trpr_bc,11,TRUE)*boc_rr_bc_modv-VLOOKUP(AE35,boc_trpr_oc,11,TRUE)*boc_rr_oc_modv-boc_tr_mast_vus-boc_tr_ooph_vus-boc_tr_both_vus-VLOOKUP(AE35,mortt,2,FALSE))</f>
        <v>7.5188441806635329E-5</v>
      </c>
      <c r="AM35" s="289">
        <f>AM34*(1-VLOOKUP(AE35,boc_trpr_bc,11,TRUE)*boc_rr_bc_lop-VLOOKUP(AE35,boc_trpr_oc,11,TRUE)*boc_rr_oc_lop-boc_tr_mast_path-boc_tr_ooph_path-boc_tr_both_path-VLOOKUP(AE35,mortt,2,FALSE))</f>
        <v>6.7297746331379521E-22</v>
      </c>
      <c r="AN35" s="289">
        <f>AN34*(1-VLOOKUP(AE35,boc_trpr_bc,11,TRUE)*boc_rr_bc_lov-VLOOKUP(AE35,boc_trpr_oc,11,TRUE)*boc_rr_oc_lov-boc_tr_mast_vus-boc_tr_ooph_vus-boc_tr_both_vus-VLOOKUP(AE35,mortt,2,FALSE))</f>
        <v>1.6460172476603615E-5</v>
      </c>
      <c r="AO35" s="260">
        <f>AO34*(1-VLOOKUP(AE35,boc_trpr_bc,11,TRUE)*boc_rr_bc_np-VLOOKUP(AE35,boc_trpr_oc,11,TRUE)*boc_rr_oc_np-VLOOKUP(AE35,mortt,2,FALSE))</f>
        <v>0.6677552959315054</v>
      </c>
      <c r="AP35" s="260">
        <f>AF34*VLOOKUP(AE35,boc_trpr_bc,11,TRUE)*boc_rr_bc_mast+AG34*VLOOKUP(AE35,boc_trpr_bc,11,TRUE)*boc_rr_bc_ooph+AH34*VLOOKUP(AE35,boc_trpr_bc,11,TRUE)*boc_rr_bc_both+AI34*VLOOKUP(AE35,boc_trpr_bc,11,TRUE)*boc_rr_bc_hip+AJ34*VLOOKUP(AE35,boc_trpr_bc,11,TRUE)*boc_rr_bc_hiv+AK34*VLOOKUP(AE35,boc_trpr_bc,11,TRUE)*boc_rr_bc_modp+AL34*VLOOKUP(AE35,boc_trpr_bc,11,TRUE)*boc_rr_bc_modv+AM34*VLOOKUP(AE35,boc_trpr_bc,11,TRUE)*boc_rr_bc_lop+AN34*VLOOKUP(AE35,boc_trpr_bc,11,TRUE)*boc_rr_bc_lov+AO34*VLOOKUP(AE35,boc_trpr_bc,11,TRUE)*boc_rr_bc_np</f>
        <v>3.1435853509854299E-3</v>
      </c>
      <c r="AQ35" s="260">
        <f>AF34*VLOOKUP(AE35,boc_trpr_oc,11,TRUE)*boc_rr_oc_mast+AG34*VLOOKUP(AE35,boc_trpr_oc,11,TRUE)*boc_rr_oc_ooph+AH34*VLOOKUP(AE35,boc_trpr_oc,11,TRUE)*boc_rr_oc_both+AI34*VLOOKUP(AE35,boc_trpr_oc,11,TRUE)*boc_rr_oc_hip+AJ34*VLOOKUP(AE35,boc_trpr_oc,11,TRUE)*boc_rr_oc_hiv+AK34*VLOOKUP(AE35,boc_trpr_oc,11,TRUE)*boc_rr_oc_modp+AL34*VLOOKUP(AE35,boc_trpr_oc,11,TRUE)*boc_rr_oc_modv+AM34*VLOOKUP(AE35,boc_trpr_oc,11,TRUE)*boc_rr_oc_lop+AN34*VLOOKUP(AE35,boc_trpr_oc,11,TRUE)*boc_rr_oc_lov+AO34*VLOOKUP(AE35,boc_trpr_oc,11,TRUE)*boc_rr_oc_np</f>
        <v>2.9004359308175322E-4</v>
      </c>
      <c r="AR35" s="260">
        <f>AP34*(1-VLOOKUP(AE35,boc_trpr_bc_death,20,TRUE))+AQ34*(1-VLOOKUP(AE35,boc_trpr_oc_death,20,TRUE))+AR34*(1-VLOOKUP(AE35,mortt,2,FALSE)*boc_rr_death_pc)</f>
        <v>5.5856515525898119E-2</v>
      </c>
      <c r="AS35" s="260">
        <f>AS34+SUM(AF34:AO34)*VLOOKUP(AE35,mortt,2,FALSE)+AP34*VLOOKUP(AE35,boc_trpr_bc_death,20,TRUE)+AQ34*VLOOKUP(AE35,boc_trpr_bc_death,20,TRUE)+AR34*VLOOKUP(AE35,mortt,2,FALSE)*boc_rr_death_pc</f>
        <v>0.22325786898354313</v>
      </c>
      <c r="AT35" s="260">
        <f t="shared" si="40"/>
        <v>1.0000016020340814</v>
      </c>
      <c r="AU35" s="118">
        <f>(boc_cost_mast*SUM(AI35,AK35,AM35)*(boc_tr_mast_path+boc_tr_both_path)+SUM(AJ35,AL35,AN35)*(boc_tr_mast_vus+boc_tr_both_vus)+AP35*boc_cost_bc+AQ35*boc_cost_oc+AR35*boc_cost_pc+(AP35*VLOOKUP(AE35,boc_trpr_bc_death,20,TRUE)+AQ35*VLOOKUP(AE35,boc_trpr_oc_death,TRUE)*boc_cost_death))/((1+discount)^AD35)</f>
        <v>896.05592251203825</v>
      </c>
      <c r="AV35" s="35">
        <f t="shared" si="3"/>
        <v>0.31053851072868194</v>
      </c>
      <c r="AW35" s="35">
        <f t="shared" si="4"/>
        <v>0.32960769774305854</v>
      </c>
      <c r="AY35" s="12">
        <v>29</v>
      </c>
      <c r="AZ35" s="12">
        <f t="shared" si="5"/>
        <v>74</v>
      </c>
      <c r="BA35" s="260">
        <f>BA34*(1-VLOOKUP(AZ35,boc_trpr_bc,11,TRUE)*boc_rr_bc_mast-VLOOKUP(AZ35,boc_trpr_oc,11,TRUE)*boc_rr_oc_mast-VLOOKUP(AZ35,mortt,2,FALSE))</f>
        <v>7.6854496669929032E-3</v>
      </c>
      <c r="BB35" s="260">
        <f>BB34*(1-VLOOKUP(AZ35,boc_trpr_bc,11,TRUE)*boc_rr_bc_ooph-VLOOKUP(AZ35,boc_trpr_oc,11,TRUE)*boc_rr_oc_ooph-VLOOKUP(AZ35,mortt,2,FALSE))</f>
        <v>7.4780562304181415E-3</v>
      </c>
      <c r="BC35" s="260">
        <f>BC34*(1-VLOOKUP(AZ35,boc_trpr_bc,11,TRUE)*boc_rr_bc_both-VLOOKUP(AZ35,boc_trpr_oc,11,TRUE)*boc_rr_oc_both-VLOOKUP(AZ35,mortt,2,FALSE))</f>
        <v>7.7616465450061787E-3</v>
      </c>
      <c r="BD35" s="289">
        <f>BD34*(1-VLOOKUP(AZ35,boc_trpr_bc,11,TRUE)*boc_rr_bc_hip-VLOOKUP(AZ35,boc_trpr_oc,11,TRUE)*boc_rr_oc_hip-VLOOKUP(AZ35,mortt,2,FALSE))</f>
        <v>7.2309141543865692E-4</v>
      </c>
      <c r="BE35" s="289">
        <f>BE34*(1-VLOOKUP(AZ35,boc_trpr_bc,11,TRUE)*boc_rr_bc_hiv-VLOOKUP(AZ35,boc_trpr_oc,11,TRUE)*boc_rr_oc_hiv-VLOOKUP(AZ35,mortt,2,FALSE))</f>
        <v>7.3058175042091554E-3</v>
      </c>
      <c r="BF35" s="289">
        <f>BF34*(1-VLOOKUP(AZ35,boc_trpr_bc,11,TRUE)*boc_rr_bc_modp-VLOOKUP(AZ35,boc_trpr_oc,11,TRUE)*boc_rr_oc_modp-VLOOKUP(AZ35,mortt,2,FALSE))</f>
        <v>2.2819595358182713E-3</v>
      </c>
      <c r="BG35" s="289">
        <f>BG34*(1-VLOOKUP(AZ35,boc_trpr_bc,11,TRUE)*boc_rr_bc_modv-VLOOKUP(AZ35,boc_trpr_oc,11,TRUE)*boc_rr_oc_modv-VLOOKUP(AZ35,mortt,2,FALSE))</f>
        <v>9.289183775984344E-3</v>
      </c>
      <c r="BH35" s="289">
        <f>BH34*(1-VLOOKUP(AZ35,boc_trpr_bc,11,TRUE)*boc_rr_bc_lop-VLOOKUP(AZ35,boc_trpr_oc,11,TRUE)*boc_rr_oc_lop-VLOOKUP(AZ35,mortt,2,FALSE))</f>
        <v>6.8156997849628067E-4</v>
      </c>
      <c r="BI35" s="289">
        <f>BI34*(1-VLOOKUP(AZ35,boc_trpr_bc,11,TRUE)*boc_rr_bc_lov-VLOOKUP(AZ35,boc_trpr_oc,11,TRUE)*boc_rr_oc_lov-VLOOKUP(AZ35,mortt,2,FALSE))</f>
        <v>2.0335780798968091E-3</v>
      </c>
      <c r="BJ35" s="260">
        <f>BJ34*(1-VLOOKUP(AZ35,boc_trpr_bc,11,TRUE)*boc_rr_bc_np-VLOOKUP(AZ35,boc_trpr_oc,11,TRUE)*boc_rr_oc_np-VLOOKUP(AZ35,mortt,2,FALSE))</f>
        <v>0.6677552959315054</v>
      </c>
      <c r="BK35" s="260">
        <f>BA34*VLOOKUP(AZ35,boc_trpr_bc,11,TRUE)*boc_rr_bc_mast+BB34*VLOOKUP(AZ35,boc_trpr_bc,11,TRUE)*boc_rr_bc_ooph+BC34*VLOOKUP(AZ35,boc_trpr_bc,11,TRUE)*boc_rr_bc_both+BD34*VLOOKUP(AZ35,boc_trpr_bc,11,TRUE)*boc_rr_bc_hip+BE34*VLOOKUP(AZ35,boc_trpr_bc,11,TRUE)*boc_rr_bc_hiv+BF34*VLOOKUP(AZ35,boc_trpr_bc,11,TRUE)*boc_rr_bc_modp+BG34*VLOOKUP(AZ35,boc_trpr_bc,11,TRUE)*boc_rr_bc_modv+BH34*VLOOKUP(AZ35,boc_trpr_bc,11,TRUE)*boc_rr_bc_lop+BI34*VLOOKUP(AZ35,boc_trpr_bc,11,TRUE)*boc_rr_bc_lov+BJ34*VLOOKUP(AZ35,boc_trpr_bc,11,TRUE)*boc_rr_bc_np</f>
        <v>3.3238682103368155E-3</v>
      </c>
      <c r="BL35" s="260">
        <f>BA34*VLOOKUP(AZ35,boc_trpr_oc,11,TRUE)*boc_rr_oc_mast+BB34*VLOOKUP(AZ35,boc_trpr_oc,11,TRUE)*boc_rr_oc_ooph+BC34*VLOOKUP(AZ35,boc_trpr_oc,11,TRUE)*boc_rr_oc_both+BD34*VLOOKUP(AZ35,boc_trpr_oc,11,TRUE)*boc_rr_oc_hip+BE34*VLOOKUP(AZ35,boc_trpr_oc,11,TRUE)*boc_rr_oc_hiv+BF34*VLOOKUP(AZ35,boc_trpr_oc,11,TRUE)*boc_rr_oc_modp+BG34*VLOOKUP(AZ35,boc_trpr_oc,11,TRUE)*boc_rr_oc_modv+BH34*VLOOKUP(AZ35,boc_trpr_oc,11,TRUE)*boc_rr_oc_lop+BI34*VLOOKUP(AZ35,boc_trpr_oc,11,TRUE)*boc_rr_oc_lov+BJ34*VLOOKUP(AZ35,boc_trpr_oc,11,TRUE)*boc_rr_oc_np</f>
        <v>3.0380642017227788E-4</v>
      </c>
      <c r="BM35" s="260">
        <f>BK34*(1-VLOOKUP(AZ35,boc_trpr_bc_death,20,TRUE))+BL34*(1-VLOOKUP(AZ35,boc_trpr_oc_death,20,TRUE))+BM34*(1-VLOOKUP(AZ35,mortt,2,FALSE)*boc_rr_death_pc)</f>
        <v>5.9857679187604658E-2</v>
      </c>
      <c r="BN35" s="260">
        <f>BN34+SUM(BA34:BJ34)*VLOOKUP(AZ35,mortt,2,FALSE)+BK34*VLOOKUP(AZ35,boc_trpr_bc_death,20,TRUE)+BL34*VLOOKUP(AZ35,boc_trpr_bc_death,20,TRUE)+BM34*VLOOKUP(AZ35,mortt,2,FALSE)*boc_rr_death_pc</f>
        <v>0.22352069982174516</v>
      </c>
      <c r="BO35" s="260">
        <f t="shared" ref="BO35:BO98" si="41">SUM(BA35:BN35)</f>
        <v>1.0000017023036252</v>
      </c>
      <c r="BP35" s="118">
        <f>(boc_cost_mast*SUM(BD35,BF35,BH35)*(boc_tr_mast_path+boc_tr_both_path)+SUM(BE35,BG35,BI35)*(boc_tr_mast_vus+boc_tr_both_vus)+BK35*boc_cost_bc+BL35*boc_cost_oc+BM35*boc_cost_pc+(BK35*VLOOKUP(AZ35,boc_trpr_bc_death,20,TRUE)+BL35*VLOOKUP(AZ35,boc_trpr_oc_death,TRUE)*boc_cost_death))/((1+discount)^AY35)</f>
        <v>953.86505125386236</v>
      </c>
      <c r="BQ35" s="35">
        <f t="shared" si="6"/>
        <v>0.31009382702958582</v>
      </c>
      <c r="BR35" s="35">
        <f t="shared" si="7"/>
        <v>0.32949616643296692</v>
      </c>
      <c r="BS35" s="35"/>
      <c r="BU35" s="33">
        <v>41</v>
      </c>
      <c r="BV35" t="str">
        <f>$M$62</f>
        <v>boc_test_int_vus_mast</v>
      </c>
      <c r="BW35" s="35">
        <f>$F$62</f>
        <v>2.4000000000000004</v>
      </c>
      <c r="BX35" s="35">
        <f>$G$62</f>
        <v>3.5999999999999996</v>
      </c>
      <c r="BY35" s="311">
        <v>-7.9556376342411568</v>
      </c>
      <c r="BZ35" s="311">
        <v>-7.1509661539507761</v>
      </c>
      <c r="CA35" s="311">
        <f t="shared" si="25"/>
        <v>0.80467148029038071</v>
      </c>
      <c r="CD35" s="138">
        <v>30</v>
      </c>
      <c r="CE35" s="291">
        <v>6.78E-4</v>
      </c>
      <c r="CH35" s="12">
        <v>74</v>
      </c>
      <c r="CI35" s="12" t="s">
        <v>313</v>
      </c>
      <c r="CJ35" s="376">
        <v>40.9</v>
      </c>
      <c r="CK35" s="260">
        <f t="shared" si="26"/>
        <v>4.0899999999999997E-4</v>
      </c>
      <c r="CL35" s="289">
        <f t="shared" si="27"/>
        <v>4.0891637090179067E-4</v>
      </c>
      <c r="CM35" s="289">
        <f t="shared" si="28"/>
        <v>2.8363961448263364E-4</v>
      </c>
      <c r="CN35" s="289">
        <f t="shared" si="29"/>
        <v>5.3417742860262241E-4</v>
      </c>
      <c r="CO35" s="290">
        <f t="shared" si="30"/>
        <v>40.916326384391084</v>
      </c>
      <c r="CP35" s="290">
        <f t="shared" si="31"/>
        <v>100019.46104162748</v>
      </c>
      <c r="CQ35" s="289">
        <f t="shared" ca="1" si="32"/>
        <v>3.3833809369634212E-4</v>
      </c>
      <c r="CR35" s="289">
        <f>IF(psa,CQ35,CL35)</f>
        <v>4.0891637090179067E-4</v>
      </c>
      <c r="CS35" s="373">
        <v>34.299999999999997</v>
      </c>
      <c r="CT35" s="260">
        <f t="shared" si="33"/>
        <v>3.4299999999999999E-4</v>
      </c>
      <c r="CU35" s="289">
        <f t="shared" si="34"/>
        <v>3.4294118222499836E-4</v>
      </c>
      <c r="CV35" s="289">
        <f t="shared" si="35"/>
        <v>2.2820599846684608E-4</v>
      </c>
      <c r="CW35" s="289">
        <f t="shared" si="36"/>
        <v>4.5766319881590523E-4</v>
      </c>
      <c r="CX35" s="290">
        <f t="shared" si="37"/>
        <v>34.311426181300469</v>
      </c>
      <c r="CY35" s="290">
        <f t="shared" si="38"/>
        <v>100016.15774957745</v>
      </c>
      <c r="CZ35" s="289">
        <f t="shared" ca="1" si="39"/>
        <v>3.7782431430966046E-4</v>
      </c>
      <c r="DA35" s="289">
        <f>IF(psa,CZ35,CU35)</f>
        <v>3.4294118222499836E-4</v>
      </c>
    </row>
    <row r="36" spans="2:105" ht="15" customHeight="1" x14ac:dyDescent="0.2">
      <c r="Q36" s="11"/>
      <c r="U36" s="9" t="s">
        <v>7</v>
      </c>
      <c r="V36" s="250">
        <f>boc_unk_int_mast*boc_test_int_path_mast</f>
        <v>0.05</v>
      </c>
      <c r="X36" s="261">
        <f>R42*T37*V36</f>
        <v>5.1385683032094836E-5</v>
      </c>
      <c r="AD36" s="12">
        <v>30</v>
      </c>
      <c r="AE36" s="12">
        <f t="shared" si="2"/>
        <v>75</v>
      </c>
      <c r="AF36" s="260">
        <f>AF35*(1-VLOOKUP(AE36,boc_trpr_bc,11,TRUE)*boc_rr_bc_mast-VLOOKUP(AE36,boc_trpr_oc,11,TRUE)*boc_rr_oc_mast-VLOOKUP(AE36,mortt,2,FALSE))+SUM(AI35,AK35,AM35)*boc_tr_mast_path+SUM(AJ35,AL35,AN35)*boc_tr_mast_vus</f>
        <v>1.6442696375707392E-2</v>
      </c>
      <c r="AG36" s="260">
        <f>AG35*(1-VLOOKUP(AE36,boc_trpr_bc,11,TRUE)*boc_rr_bc_ooph-VLOOKUP(AE36,boc_trpr_oc,11,TRUE)*boc_rr_oc_ooph-VLOOKUP(AE36,mortt,2,FALSE))+SUM(AI35,AK35,AM35)*boc_tr_ooph_path+SUM(AJ35,AL35,AN35)*boc_tr_ooph_vus</f>
        <v>1.5664466092786943E-2</v>
      </c>
      <c r="AH36" s="260">
        <f>AH35*(1-VLOOKUP(AE36,boc_trpr_bc,11,TRUE)*boc_rr_bc_both-VLOOKUP(AE36,boc_trpr_oc,11,TRUE)*boc_rr_oc_both-VLOOKUP(AE36,mortt,2,FALSE))+SUM(AI35,AK35,AM35)*boc_tr_both_path+SUM(AJ35,AL35,AN35)*boc_tr_both_vus</f>
        <v>1.6187789522748644E-2</v>
      </c>
      <c r="AI36" s="289">
        <f>AI35*(1-VLOOKUP(AE36,boc_trpr_bc,11,TRUE)*boc_rr_bc_hip-VLOOKUP(AE36,boc_trpr_oc,11,TRUE)*boc_rr_oc_hip-boc_tr_mast_path-boc_tr_ooph_path-boc_tr_both_path-VLOOKUP(AE36,mortt,2,FALSE))</f>
        <v>1.3669938624051219E-24</v>
      </c>
      <c r="AJ36" s="289">
        <f>AJ35*(1-VLOOKUP(AE36,boc_trpr_bc,11,TRUE)*boc_rr_bc_hiv-VLOOKUP(AE36,boc_trpr_oc,11,TRUE)*boc_rr_oc_hiv-boc_tr_mast_vus-boc_tr_ooph_vus-boc_tr_both_vus-VLOOKUP(AE36,mortt,2,FALSE))</f>
        <v>4.8491323283118192E-5</v>
      </c>
      <c r="AK36" s="289">
        <f>AK35*(1-VLOOKUP(AE36,boc_trpr_bc,11,TRUE)*boc_rr_bc_modp-VLOOKUP(AE36,boc_trpr_oc,11,TRUE)*boc_rr_oc_modp-boc_tr_mast_path-boc_tr_ooph_path-boc_tr_both_path-VLOOKUP(AE36,mortt,2,FALSE))</f>
        <v>1.6291645733705218E-22</v>
      </c>
      <c r="AL36" s="289">
        <f>AL35*(1-VLOOKUP(AE36,boc_trpr_bc,11,TRUE)*boc_rr_bc_modv-VLOOKUP(AE36,boc_trpr_oc,11,TRUE)*boc_rr_oc_modv-boc_tr_mast_vus-boc_tr_ooph_vus-boc_tr_both_vus-VLOOKUP(AE36,mortt,2,FALSE))</f>
        <v>6.1655634466373636E-5</v>
      </c>
      <c r="AM36" s="289">
        <f>AM35*(1-VLOOKUP(AE36,boc_trpr_bc,11,TRUE)*boc_rr_bc_lop-VLOOKUP(AE36,boc_trpr_oc,11,TRUE)*boc_rr_oc_lop-boc_tr_mast_path-boc_tr_ooph_path-boc_tr_both_path-VLOOKUP(AE36,mortt,2,FALSE))</f>
        <v>1.467419943462728E-22</v>
      </c>
      <c r="AN36" s="289">
        <f>AN35*(1-VLOOKUP(AE36,boc_trpr_bc,11,TRUE)*boc_rr_bc_lov-VLOOKUP(AE36,boc_trpr_oc,11,TRUE)*boc_rr_oc_lov-boc_tr_mast_vus-boc_tr_ooph_vus-boc_tr_both_vus-VLOOKUP(AE36,mortt,2,FALSE))</f>
        <v>1.349758490913926E-5</v>
      </c>
      <c r="AO36" s="260">
        <f>AO35*(1-VLOOKUP(AE36,boc_trpr_bc,11,TRUE)*boc_rr_bc_np-VLOOKUP(AE36,boc_trpr_oc,11,TRUE)*boc_rr_oc_np-VLOOKUP(AE36,mortt,2,FALSE))</f>
        <v>0.64806069847180769</v>
      </c>
      <c r="AP36" s="260">
        <f>AF35*VLOOKUP(AE36,boc_trpr_bc,11,TRUE)*boc_rr_bc_mast+AG35*VLOOKUP(AE36,boc_trpr_bc,11,TRUE)*boc_rr_bc_ooph+AH35*VLOOKUP(AE36,boc_trpr_bc,11,TRUE)*boc_rr_bc_both+AI35*VLOOKUP(AE36,boc_trpr_bc,11,TRUE)*boc_rr_bc_hip+AJ35*VLOOKUP(AE36,boc_trpr_bc,11,TRUE)*boc_rr_bc_hiv+AK35*VLOOKUP(AE36,boc_trpr_bc,11,TRUE)*boc_rr_bc_modp+AL35*VLOOKUP(AE36,boc_trpr_bc,11,TRUE)*boc_rr_bc_modv+AM35*VLOOKUP(AE36,boc_trpr_bc,11,TRUE)*boc_rr_bc_lop+AN35*VLOOKUP(AE36,boc_trpr_bc,11,TRUE)*boc_rr_bc_lov+AO35*VLOOKUP(AE36,boc_trpr_bc,11,TRUE)*boc_rr_bc_np</f>
        <v>3.0578435345477149E-3</v>
      </c>
      <c r="AQ36" s="260">
        <f>AF35*VLOOKUP(AE36,boc_trpr_oc,11,TRUE)*boc_rr_oc_mast+AG35*VLOOKUP(AE36,boc_trpr_oc,11,TRUE)*boc_rr_oc_ooph+AH35*VLOOKUP(AE36,boc_trpr_oc,11,TRUE)*boc_rr_oc_both+AI35*VLOOKUP(AE36,boc_trpr_oc,11,TRUE)*boc_rr_oc_hip+AJ35*VLOOKUP(AE36,boc_trpr_oc,11,TRUE)*boc_rr_oc_hiv+AK35*VLOOKUP(AE36,boc_trpr_oc,11,TRUE)*boc_rr_oc_modp+AL35*VLOOKUP(AE36,boc_trpr_oc,11,TRUE)*boc_rr_oc_modv+AM35*VLOOKUP(AE36,boc_trpr_oc,11,TRUE)*boc_rr_oc_lop+AN35*VLOOKUP(AE36,boc_trpr_oc,11,TRUE)*boc_rr_oc_lov+AO35*VLOOKUP(AE36,boc_trpr_oc,11,TRUE)*boc_rr_oc_np</f>
        <v>2.8215828659413261E-4</v>
      </c>
      <c r="AR36" s="260">
        <f>AP35*(1-VLOOKUP(AE36,boc_trpr_bc_death,20,TRUE))+AQ35*(1-VLOOKUP(AE36,boc_trpr_oc_death,20,TRUE))+AR35*(1-VLOOKUP(AE36,mortt,2,FALSE)*boc_rr_death_pc)</f>
        <v>5.7228257442279398E-2</v>
      </c>
      <c r="AS36" s="260">
        <f>AS35+SUM(AF35:AO35)*VLOOKUP(AE36,mortt,2,FALSE)+AP35*VLOOKUP(AE36,boc_trpr_bc_death,20,TRUE)+AQ35*VLOOKUP(AE36,boc_trpr_bc_death,20,TRUE)+AR35*VLOOKUP(AE36,mortt,2,FALSE)*boc_rr_death_pc</f>
        <v>0.24295417357339888</v>
      </c>
      <c r="AT36" s="260">
        <f t="shared" si="40"/>
        <v>1.0000017278425295</v>
      </c>
      <c r="AU36" s="118">
        <f>(boc_cost_mast*SUM(AI36,AK36,AM36)*(boc_tr_mast_path+boc_tr_both_path)+SUM(AJ36,AL36,AN36)*(boc_tr_mast_vus+boc_tr_both_vus)+AP36*boc_cost_bc+AQ36*boc_cost_oc+AR36*boc_cost_pc+(AP36*VLOOKUP(AE36,boc_trpr_bc_death,20,TRUE)+AQ36*VLOOKUP(AE36,boc_trpr_oc_death,TRUE)*boc_cost_death))/((1+discount)^AD36)</f>
        <v>855.51142111961622</v>
      </c>
      <c r="AV36" s="35">
        <f t="shared" si="3"/>
        <v>0.29373424693679895</v>
      </c>
      <c r="AW36" s="35">
        <f t="shared" si="4"/>
        <v>0.3118928568345371</v>
      </c>
      <c r="AY36" s="12">
        <v>30</v>
      </c>
      <c r="AZ36" s="12">
        <f t="shared" si="5"/>
        <v>75</v>
      </c>
      <c r="BA36" s="260">
        <f>BA35*(1-VLOOKUP(AZ36,boc_trpr_bc,11,TRUE)*boc_rr_bc_mast-VLOOKUP(AZ36,boc_trpr_oc,11,TRUE)*boc_rr_oc_mast-VLOOKUP(AZ36,mortt,2,FALSE))</f>
        <v>7.4899433695391777E-3</v>
      </c>
      <c r="BB36" s="260">
        <f>BB35*(1-VLOOKUP(AZ36,boc_trpr_bc,11,TRUE)*boc_rr_bc_ooph-VLOOKUP(AZ36,boc_trpr_oc,11,TRUE)*boc_rr_oc_ooph-VLOOKUP(AZ36,mortt,2,FALSE))</f>
        <v>7.2765794938236521E-3</v>
      </c>
      <c r="BC36" s="260">
        <f>BC35*(1-VLOOKUP(AZ36,boc_trpr_bc,11,TRUE)*boc_rr_bc_both-VLOOKUP(AZ36,boc_trpr_oc,11,TRUE)*boc_rr_oc_both-VLOOKUP(AZ36,mortt,2,FALSE))</f>
        <v>7.5686165878674156E-3</v>
      </c>
      <c r="BD36" s="289">
        <f>BD35*(1-VLOOKUP(AZ36,boc_trpr_bc,11,TRUE)*boc_rr_bc_hip-VLOOKUP(AZ36,boc_trpr_oc,11,TRUE)*boc_rr_oc_hip-VLOOKUP(AZ36,mortt,2,FALSE))</f>
        <v>6.5201151582625918E-4</v>
      </c>
      <c r="BE36" s="289">
        <f>BE35*(1-VLOOKUP(AZ36,boc_trpr_bc,11,TRUE)*boc_rr_bc_hiv-VLOOKUP(AZ36,boc_trpr_oc,11,TRUE)*boc_rr_oc_hiv-VLOOKUP(AZ36,mortt,2,FALSE))</f>
        <v>7.0867510464926288E-3</v>
      </c>
      <c r="BF36" s="289">
        <f>BF35*(1-VLOOKUP(AZ36,boc_trpr_bc,11,TRUE)*boc_rr_bc_modp-VLOOKUP(AZ36,boc_trpr_oc,11,TRUE)*boc_rr_oc_modp-VLOOKUP(AZ36,mortt,2,FALSE))</f>
        <v>2.169795125232635E-3</v>
      </c>
      <c r="BG36" s="289">
        <f>BG35*(1-VLOOKUP(AZ36,boc_trpr_bc,11,TRUE)*boc_rr_bc_modv-VLOOKUP(AZ36,boc_trpr_oc,11,TRUE)*boc_rr_oc_modv-VLOOKUP(AZ36,mortt,2,FALSE))</f>
        <v>9.0106456680025468E-3</v>
      </c>
      <c r="BH36" s="289">
        <f>BH35*(1-VLOOKUP(AZ36,boc_trpr_bc,11,TRUE)*boc_rr_bc_lop-VLOOKUP(AZ36,boc_trpr_oc,11,TRUE)*boc_rr_oc_lop-VLOOKUP(AZ36,mortt,2,FALSE))</f>
        <v>6.5979306668624538E-4</v>
      </c>
      <c r="BI36" s="289">
        <f>BI35*(1-VLOOKUP(AZ36,boc_trpr_bc,11,TRUE)*boc_rr_bc_lov-VLOOKUP(AZ36,boc_trpr_oc,11,TRUE)*boc_rr_oc_lov-VLOOKUP(AZ36,mortt,2,FALSE))</f>
        <v>1.9726008181192864E-3</v>
      </c>
      <c r="BJ36" s="260">
        <f>BJ35*(1-VLOOKUP(AZ36,boc_trpr_bc,11,TRUE)*boc_rr_bc_np-VLOOKUP(AZ36,boc_trpr_oc,11,TRUE)*boc_rr_oc_np-VLOOKUP(AZ36,mortt,2,FALSE))</f>
        <v>0.64806069847180769</v>
      </c>
      <c r="BK36" s="260">
        <f>BA35*VLOOKUP(AZ36,boc_trpr_bc,11,TRUE)*boc_rr_bc_mast+BB35*VLOOKUP(AZ36,boc_trpr_bc,11,TRUE)*boc_rr_bc_ooph+BC35*VLOOKUP(AZ36,boc_trpr_bc,11,TRUE)*boc_rr_bc_both+BD35*VLOOKUP(AZ36,boc_trpr_bc,11,TRUE)*boc_rr_bc_hip+BE35*VLOOKUP(AZ36,boc_trpr_bc,11,TRUE)*boc_rr_bc_hiv+BF35*VLOOKUP(AZ36,boc_trpr_bc,11,TRUE)*boc_rr_bc_modp+BG35*VLOOKUP(AZ36,boc_trpr_bc,11,TRUE)*boc_rr_bc_modv+BH35*VLOOKUP(AZ36,boc_trpr_bc,11,TRUE)*boc_rr_bc_lop+BI35*VLOOKUP(AZ36,boc_trpr_bc,11,TRUE)*boc_rr_bc_lov+BJ35*VLOOKUP(AZ36,boc_trpr_bc,11,TRUE)*boc_rr_bc_np</f>
        <v>3.228399337502116E-3</v>
      </c>
      <c r="BL36" s="260">
        <f>BA35*VLOOKUP(AZ36,boc_trpr_oc,11,TRUE)*boc_rr_oc_mast+BB35*VLOOKUP(AZ36,boc_trpr_oc,11,TRUE)*boc_rr_oc_ooph+BC35*VLOOKUP(AZ36,boc_trpr_oc,11,TRUE)*boc_rr_oc_both+BD35*VLOOKUP(AZ36,boc_trpr_oc,11,TRUE)*boc_rr_oc_hip+BE35*VLOOKUP(AZ36,boc_trpr_oc,11,TRUE)*boc_rr_oc_hiv+BF35*VLOOKUP(AZ36,boc_trpr_oc,11,TRUE)*boc_rr_oc_modp+BG35*VLOOKUP(AZ36,boc_trpr_oc,11,TRUE)*boc_rr_oc_modv+BH35*VLOOKUP(AZ36,boc_trpr_oc,11,TRUE)*boc_rr_oc_lop+BI35*VLOOKUP(AZ36,boc_trpr_oc,11,TRUE)*boc_rr_oc_lov+BJ35*VLOOKUP(AZ36,boc_trpr_oc,11,TRUE)*boc_rr_oc_np</f>
        <v>2.9509411435974024E-4</v>
      </c>
      <c r="BM36" s="260">
        <f>BK35*(1-VLOOKUP(AZ36,boc_trpr_bc_death,20,TRUE))+BL35*(1-VLOOKUP(AZ36,boc_trpr_oc_death,20,TRUE))+BM35*(1-VLOOKUP(AZ36,mortt,2,FALSE)*boc_rr_death_pc)</f>
        <v>6.1275805142751216E-2</v>
      </c>
      <c r="BN36" s="260">
        <f>BN35+SUM(BA35:BJ35)*VLOOKUP(AZ36,mortt,2,FALSE)+BK35*VLOOKUP(AZ36,boc_trpr_bc_death,20,TRUE)+BL35*VLOOKUP(AZ36,boc_trpr_bc_death,20,TRUE)+BM35*VLOOKUP(AZ36,mortt,2,FALSE)*boc_rr_death_pc</f>
        <v>0.24325510032378536</v>
      </c>
      <c r="BO36" s="260">
        <f t="shared" si="41"/>
        <v>1.000001834081796</v>
      </c>
      <c r="BP36" s="118">
        <f>(boc_cost_mast*SUM(BD36,BF36,BH36)*(boc_tr_mast_path+boc_tr_both_path)+SUM(BE36,BG36,BI36)*(boc_tr_mast_vus+boc_tr_both_vus)+BK36*boc_cost_bc+BL36*boc_cost_oc+BM36*boc_cost_pc+(BK36*VLOOKUP(AZ36,boc_trpr_bc_death,20,TRUE)+BL36*VLOOKUP(AZ36,boc_trpr_oc_death,TRUE)*boc_cost_death))/((1+discount)^AY36)</f>
        <v>909.2560164826707</v>
      </c>
      <c r="BQ36" s="35">
        <f t="shared" si="6"/>
        <v>0.2932927613009334</v>
      </c>
      <c r="BR36" s="35">
        <f t="shared" si="7"/>
        <v>0.31176887899779371</v>
      </c>
      <c r="BS36" s="35"/>
      <c r="BU36" s="33">
        <v>62</v>
      </c>
      <c r="BV36" t="str">
        <f>$M$63</f>
        <v>boc_test_int_vus_ooph</v>
      </c>
      <c r="BW36" s="35">
        <f>$F$63</f>
        <v>1.6</v>
      </c>
      <c r="BX36" s="35">
        <f>$G$63</f>
        <v>2.4</v>
      </c>
      <c r="BY36" s="311">
        <v>-7.236701860998437</v>
      </c>
      <c r="BZ36" s="311">
        <v>-7.8696938533862522</v>
      </c>
      <c r="CA36" s="311">
        <f t="shared" si="25"/>
        <v>0.63299199238781512</v>
      </c>
      <c r="CD36" s="138">
        <v>31</v>
      </c>
      <c r="CE36" s="291">
        <v>7.1599999999999995E-4</v>
      </c>
      <c r="CH36" s="12">
        <v>79</v>
      </c>
      <c r="CI36" s="12" t="s">
        <v>314</v>
      </c>
      <c r="CJ36" s="376">
        <v>45.2</v>
      </c>
      <c r="CK36" s="260">
        <f t="shared" si="26"/>
        <v>4.5200000000000004E-4</v>
      </c>
      <c r="CL36" s="289">
        <f t="shared" si="27"/>
        <v>4.5189786338917237E-4</v>
      </c>
      <c r="CM36" s="289">
        <f t="shared" si="28"/>
        <v>3.2020827447387656E-4</v>
      </c>
      <c r="CN36" s="289">
        <f t="shared" si="29"/>
        <v>5.8357010460174941E-4</v>
      </c>
      <c r="CO36" s="290">
        <f t="shared" si="30"/>
        <v>45.219988249111054</v>
      </c>
      <c r="CP36" s="290">
        <f t="shared" si="31"/>
        <v>100021.61349922813</v>
      </c>
      <c r="CQ36" s="289">
        <f t="shared" ca="1" si="32"/>
        <v>5.6695894527503121E-4</v>
      </c>
      <c r="CR36" s="289">
        <f>IF(psa,CQ36,CL36)</f>
        <v>4.5189786338917237E-4</v>
      </c>
      <c r="CS36" s="373">
        <v>43.1</v>
      </c>
      <c r="CT36" s="260">
        <f t="shared" si="33"/>
        <v>4.3100000000000001E-4</v>
      </c>
      <c r="CU36" s="289">
        <f t="shared" si="34"/>
        <v>4.3090713284243964E-4</v>
      </c>
      <c r="CV36" s="289">
        <f t="shared" si="35"/>
        <v>3.0230923487573058E-4</v>
      </c>
      <c r="CW36" s="289">
        <f t="shared" si="36"/>
        <v>5.5948848838871523E-4</v>
      </c>
      <c r="CX36" s="290">
        <f t="shared" si="37"/>
        <v>43.118153632255535</v>
      </c>
      <c r="CY36" s="290">
        <f t="shared" si="38"/>
        <v>100020.5622682502</v>
      </c>
      <c r="CZ36" s="289">
        <f t="shared" ca="1" si="39"/>
        <v>4.7940787150690944E-4</v>
      </c>
      <c r="DA36" s="289">
        <f>IF(psa,CZ36,CU36)</f>
        <v>4.3090713284243964E-4</v>
      </c>
    </row>
    <row r="37" spans="2:105" ht="15" customHeight="1" x14ac:dyDescent="0.25">
      <c r="B37" s="93" t="s">
        <v>79</v>
      </c>
      <c r="I37" s="12"/>
      <c r="J37" s="12"/>
      <c r="K37" s="12"/>
      <c r="Q37" s="11"/>
      <c r="S37" s="9" t="s">
        <v>11</v>
      </c>
      <c r="T37" s="251">
        <f>boc_path_low_path</f>
        <v>9.4143645999999997E-2</v>
      </c>
      <c r="U37" s="9" t="s">
        <v>8</v>
      </c>
      <c r="V37" s="250">
        <f>boc_unk_int_ooph*boc_test_int_path_ooph</f>
        <v>0.03</v>
      </c>
      <c r="Y37" s="261">
        <f>R42*T37*V37</f>
        <v>3.0831409819256896E-5</v>
      </c>
      <c r="AD37" s="12">
        <v>31</v>
      </c>
      <c r="AE37" s="12">
        <f t="shared" si="2"/>
        <v>76</v>
      </c>
      <c r="AF37" s="260">
        <f>AF36*(1-VLOOKUP(AE37,boc_trpr_bc,11,TRUE)*boc_rr_bc_mast-VLOOKUP(AE37,boc_trpr_oc,11,TRUE)*boc_rr_oc_mast-VLOOKUP(AE37,mortt,2,FALSE))+SUM(AI36,AK36,AM36)*boc_tr_mast_path+SUM(AJ36,AL36,AN36)*boc_tr_mast_vus</f>
        <v>1.5988376256532696E-2</v>
      </c>
      <c r="AG37" s="260">
        <f>AG36*(1-VLOOKUP(AE37,boc_trpr_bc,11,TRUE)*boc_rr_bc_ooph-VLOOKUP(AE37,boc_trpr_oc,11,TRUE)*boc_rr_oc_ooph-VLOOKUP(AE37,mortt,2,FALSE))+SUM(AI36,AK36,AM36)*boc_tr_ooph_path+SUM(AJ36,AL36,AN36)*boc_tr_ooph_vus</f>
        <v>1.5208383755229435E-2</v>
      </c>
      <c r="AH37" s="260">
        <f>AH36*(1-VLOOKUP(AE37,boc_trpr_bc,11,TRUE)*boc_rr_bc_both-VLOOKUP(AE37,boc_trpr_oc,11,TRUE)*boc_rr_oc_both-VLOOKUP(AE37,mortt,2,FALSE))+SUM(AI36,AK36,AM36)*boc_tr_both_path+SUM(AJ36,AL36,AN36)*boc_tr_both_vus</f>
        <v>1.5749815753528063E-2</v>
      </c>
      <c r="AI37" s="289">
        <f>AI36*(1-VLOOKUP(AE37,boc_trpr_bc,11,TRUE)*boc_rr_bc_hip-VLOOKUP(AE37,boc_trpr_oc,11,TRUE)*boc_rr_oc_hip-boc_tr_mast_path-boc_tr_ooph_path-boc_tr_both_path-VLOOKUP(AE37,mortt,2,FALSE))</f>
        <v>2.0386250321432826E-25</v>
      </c>
      <c r="AJ37" s="289">
        <f>AJ36*(1-VLOOKUP(AE37,boc_trpr_bc,11,TRUE)*boc_rr_bc_hiv-VLOOKUP(AE37,boc_trpr_oc,11,TRUE)*boc_rr_oc_hiv-boc_tr_mast_vus-boc_tr_ooph_vus-boc_tr_both_vus-VLOOKUP(AE37,mortt,2,FALSE))</f>
        <v>3.963907665600849E-5</v>
      </c>
      <c r="AK37" s="289">
        <f>AK36*(1-VLOOKUP(AE37,boc_trpr_bc,11,TRUE)*boc_rr_bc_modp-VLOOKUP(AE37,boc_trpr_oc,11,TRUE)*boc_rr_oc_modp-boc_tr_mast_path-boc_tr_ooph_path-boc_tr_both_path-VLOOKUP(AE37,mortt,2,FALSE))</f>
        <v>3.2302965537838733E-23</v>
      </c>
      <c r="AL37" s="289">
        <f>AL36*(1-VLOOKUP(AE37,boc_trpr_bc,11,TRUE)*boc_rr_bc_modv-VLOOKUP(AE37,boc_trpr_oc,11,TRUE)*boc_rr_oc_modv-boc_tr_mast_vus-boc_tr_ooph_vus-boc_tr_both_vus-VLOOKUP(AE37,mortt,2,FALSE))</f>
        <v>5.0400200601212919E-5</v>
      </c>
      <c r="AM37" s="289">
        <f>AM36*(1-VLOOKUP(AE37,boc_trpr_bc,11,TRUE)*boc_rr_bc_lop-VLOOKUP(AE37,boc_trpr_oc,11,TRUE)*boc_rr_oc_lop-boc_tr_mast_path-boc_tr_ooph_path-boc_tr_both_path-VLOOKUP(AE37,mortt,2,FALSE))</f>
        <v>3.1620096736076699E-23</v>
      </c>
      <c r="AN37" s="289">
        <f>AN36*(1-VLOOKUP(AE37,boc_trpr_bc,11,TRUE)*boc_rr_bc_lov-VLOOKUP(AE37,boc_trpr_oc,11,TRUE)*boc_rr_oc_lov-boc_tr_mast_vus-boc_tr_ooph_vus-boc_tr_both_vus-VLOOKUP(AE37,mortt,2,FALSE))</f>
        <v>1.1033557483274969E-5</v>
      </c>
      <c r="AO37" s="260">
        <f>AO36*(1-VLOOKUP(AE37,boc_trpr_bc,11,TRUE)*boc_rr_bc_np-VLOOKUP(AE37,boc_trpr_oc,11,TRUE)*boc_rr_oc_np-VLOOKUP(AE37,mortt,2,FALSE))</f>
        <v>0.6272827483684853</v>
      </c>
      <c r="AP37" s="260">
        <f>AF36*VLOOKUP(AE37,boc_trpr_bc,11,TRUE)*boc_rr_bc_mast+AG36*VLOOKUP(AE37,boc_trpr_bc,11,TRUE)*boc_rr_bc_ooph+AH36*VLOOKUP(AE37,boc_trpr_bc,11,TRUE)*boc_rr_bc_both+AI36*VLOOKUP(AE37,boc_trpr_bc,11,TRUE)*boc_rr_bc_hip+AJ36*VLOOKUP(AE37,boc_trpr_bc,11,TRUE)*boc_rr_bc_hiv+AK36*VLOOKUP(AE37,boc_trpr_bc,11,TRUE)*boc_rr_bc_modp+AL36*VLOOKUP(AE37,boc_trpr_bc,11,TRUE)*boc_rr_bc_modv+AM36*VLOOKUP(AE37,boc_trpr_bc,11,TRUE)*boc_rr_bc_lop+AN36*VLOOKUP(AE37,boc_trpr_bc,11,TRUE)*boc_rr_bc_lov+AO36*VLOOKUP(AE37,boc_trpr_bc,11,TRUE)*boc_rr_bc_np</f>
        <v>2.9677086972915178E-3</v>
      </c>
      <c r="AQ37" s="260">
        <f>AF36*VLOOKUP(AE37,boc_trpr_oc,11,TRUE)*boc_rr_oc_mast+AG36*VLOOKUP(AE37,boc_trpr_oc,11,TRUE)*boc_rr_oc_ooph+AH36*VLOOKUP(AE37,boc_trpr_oc,11,TRUE)*boc_rr_oc_both+AI36*VLOOKUP(AE37,boc_trpr_oc,11,TRUE)*boc_rr_oc_hip+AJ36*VLOOKUP(AE37,boc_trpr_oc,11,TRUE)*boc_rr_oc_hiv+AK36*VLOOKUP(AE37,boc_trpr_oc,11,TRUE)*boc_rr_oc_modp+AL36*VLOOKUP(AE37,boc_trpr_oc,11,TRUE)*boc_rr_oc_modv+AM36*VLOOKUP(AE37,boc_trpr_oc,11,TRUE)*boc_rr_oc_lop+AN36*VLOOKUP(AE37,boc_trpr_oc,11,TRUE)*boc_rr_oc_lov+AO36*VLOOKUP(AE37,boc_trpr_oc,11,TRUE)*boc_rr_oc_np</f>
        <v>2.7386591838181242E-4</v>
      </c>
      <c r="AR37" s="260">
        <f>AP36*(1-VLOOKUP(AE37,boc_trpr_bc_death,20,TRUE))+AQ36*(1-VLOOKUP(AE37,boc_trpr_oc_death,20,TRUE))+AR36*(1-VLOOKUP(AE37,mortt,2,FALSE)*boc_rr_death_pc)</f>
        <v>5.8235424220935562E-2</v>
      </c>
      <c r="AS37" s="260">
        <f>AS36+SUM(AF36:AO36)*VLOOKUP(AE37,mortt,2,FALSE)+AP36*VLOOKUP(AE37,boc_trpr_bc_death,20,TRUE)+AQ36*VLOOKUP(AE37,boc_trpr_bc_death,20,TRUE)+AR36*VLOOKUP(AE37,mortt,2,FALSE)*boc_rr_death_pc</f>
        <v>0.26419445442554534</v>
      </c>
      <c r="AT37" s="260">
        <f t="shared" si="40"/>
        <v>1.0000018502306705</v>
      </c>
      <c r="AU37" s="118">
        <f>(boc_cost_mast*SUM(AI37,AK37,AM37)*(boc_tr_mast_path+boc_tr_both_path)+SUM(AJ37,AL37,AN37)*(boc_tr_mast_vus+boc_tr_both_vus)+AP37*boc_cost_bc+AQ37*boc_cost_oc+AR37*boc_cost_pc+(AP37*VLOOKUP(AE37,boc_trpr_bc_death,20,TRUE)+AQ37*VLOOKUP(AE37,boc_trpr_oc_death,TRUE)*boc_cost_death))/((1+discount)^AD37)</f>
        <v>814.49800438964701</v>
      </c>
      <c r="AV37" s="35">
        <f t="shared" si="3"/>
        <v>0.27707359004173565</v>
      </c>
      <c r="AW37" s="35">
        <f t="shared" si="4"/>
        <v>0.29431275956801306</v>
      </c>
      <c r="AY37" s="12">
        <v>31</v>
      </c>
      <c r="AZ37" s="12">
        <f t="shared" si="5"/>
        <v>76</v>
      </c>
      <c r="BA37" s="260">
        <f>BA36*(1-VLOOKUP(AZ37,boc_trpr_bc,11,TRUE)*boc_rr_bc_mast-VLOOKUP(AZ37,boc_trpr_oc,11,TRUE)*boc_rr_oc_mast-VLOOKUP(AZ37,mortt,2,FALSE))</f>
        <v>7.2801762841066551E-3</v>
      </c>
      <c r="BB37" s="260">
        <f>BB36*(1-VLOOKUP(AZ37,boc_trpr_bc,11,TRUE)*boc_rr_bc_ooph-VLOOKUP(AZ37,boc_trpr_oc,11,TRUE)*boc_rr_oc_ooph-VLOOKUP(AZ37,mortt,2,FALSE))</f>
        <v>7.0618447666887995E-3</v>
      </c>
      <c r="BC37" s="260">
        <f>BC36*(1-VLOOKUP(AZ37,boc_trpr_bc,11,TRUE)*boc_rr_bc_both-VLOOKUP(AZ37,boc_trpr_oc,11,TRUE)*boc_rr_oc_both-VLOOKUP(AZ37,mortt,2,FALSE))</f>
        <v>7.3609510238397974E-3</v>
      </c>
      <c r="BD37" s="289">
        <f>BD36*(1-VLOOKUP(AZ37,boc_trpr_bc,11,TRUE)*boc_rr_bc_hip-VLOOKUP(AZ37,boc_trpr_oc,11,TRUE)*boc_rr_oc_hip-VLOOKUP(AZ37,mortt,2,FALSE))</f>
        <v>5.862444060976892E-4</v>
      </c>
      <c r="BE37" s="289">
        <f>BE36*(1-VLOOKUP(AZ37,boc_trpr_bc,11,TRUE)*boc_rr_bc_hiv-VLOOKUP(AZ37,boc_trpr_oc,11,TRUE)*boc_rr_oc_hiv-VLOOKUP(AZ37,mortt,2,FALSE))</f>
        <v>6.8560545653964418E-3</v>
      </c>
      <c r="BF37" s="289">
        <f>BF36*(1-VLOOKUP(AZ37,boc_trpr_bc,11,TRUE)*boc_rr_bc_modp-VLOOKUP(AZ37,boc_trpr_oc,11,TRUE)*boc_rr_oc_modp-VLOOKUP(AZ37,mortt,2,FALSE))</f>
        <v>2.0575718613475061E-3</v>
      </c>
      <c r="BG37" s="289">
        <f>BG36*(1-VLOOKUP(AZ37,boc_trpr_bc,11,TRUE)*boc_rr_bc_modv-VLOOKUP(AZ37,boc_trpr_oc,11,TRUE)*boc_rr_oc_modv-VLOOKUP(AZ37,mortt,2,FALSE))</f>
        <v>8.7173202450583354E-3</v>
      </c>
      <c r="BH37" s="289">
        <f>BH36*(1-VLOOKUP(AZ37,boc_trpr_bc,11,TRUE)*boc_rr_bc_lop-VLOOKUP(AZ37,boc_trpr_oc,11,TRUE)*boc_rr_oc_lop-VLOOKUP(AZ37,mortt,2,FALSE))</f>
        <v>6.3701760260847465E-4</v>
      </c>
      <c r="BI37" s="289">
        <f>BI36*(1-VLOOKUP(AZ37,boc_trpr_bc,11,TRUE)*boc_rr_bc_lov-VLOOKUP(AZ37,boc_trpr_oc,11,TRUE)*boc_rr_oc_lov-VLOOKUP(AZ37,mortt,2,FALSE))</f>
        <v>1.9083863333205291E-3</v>
      </c>
      <c r="BJ37" s="260">
        <f>BJ36*(1-VLOOKUP(AZ37,boc_trpr_bc,11,TRUE)*boc_rr_bc_np-VLOOKUP(AZ37,boc_trpr_oc,11,TRUE)*boc_rr_oc_np-VLOOKUP(AZ37,mortt,2,FALSE))</f>
        <v>0.6272827483684853</v>
      </c>
      <c r="BK37" s="260">
        <f>BA36*VLOOKUP(AZ37,boc_trpr_bc,11,TRUE)*boc_rr_bc_mast+BB36*VLOOKUP(AZ37,boc_trpr_bc,11,TRUE)*boc_rr_bc_ooph+BC36*VLOOKUP(AZ37,boc_trpr_bc,11,TRUE)*boc_rr_bc_both+BD36*VLOOKUP(AZ37,boc_trpr_bc,11,TRUE)*boc_rr_bc_hip+BE36*VLOOKUP(AZ37,boc_trpr_bc,11,TRUE)*boc_rr_bc_hiv+BF36*VLOOKUP(AZ37,boc_trpr_bc,11,TRUE)*boc_rr_bc_modp+BG36*VLOOKUP(AZ37,boc_trpr_bc,11,TRUE)*boc_rr_bc_modv+BH36*VLOOKUP(AZ37,boc_trpr_bc,11,TRUE)*boc_rr_bc_lop+BI36*VLOOKUP(AZ37,boc_trpr_bc,11,TRUE)*boc_rr_bc_lov+BJ36*VLOOKUP(AZ37,boc_trpr_bc,11,TRUE)*boc_rr_bc_np</f>
        <v>3.1288176973122907E-3</v>
      </c>
      <c r="BL37" s="260">
        <f>BA36*VLOOKUP(AZ37,boc_trpr_oc,11,TRUE)*boc_rr_oc_mast+BB36*VLOOKUP(AZ37,boc_trpr_oc,11,TRUE)*boc_rr_oc_ooph+BC36*VLOOKUP(AZ37,boc_trpr_oc,11,TRUE)*boc_rr_oc_both+BD36*VLOOKUP(AZ37,boc_trpr_oc,11,TRUE)*boc_rr_oc_hip+BE36*VLOOKUP(AZ37,boc_trpr_oc,11,TRUE)*boc_rr_oc_hiv+BF36*VLOOKUP(AZ37,boc_trpr_oc,11,TRUE)*boc_rr_oc_modp+BG36*VLOOKUP(AZ37,boc_trpr_oc,11,TRUE)*boc_rr_oc_modv+BH36*VLOOKUP(AZ37,boc_trpr_oc,11,TRUE)*boc_rr_oc_lop+BI36*VLOOKUP(AZ37,boc_trpr_oc,11,TRUE)*boc_rr_oc_lov+BJ36*VLOOKUP(AZ37,boc_trpr_oc,11,TRUE)*boc_rr_oc_np</f>
        <v>2.8600498675497994E-4</v>
      </c>
      <c r="BM37" s="260">
        <f>BK36*(1-VLOOKUP(AZ37,boc_trpr_bc_death,20,TRUE))+BL36*(1-VLOOKUP(AZ37,boc_trpr_oc_death,20,TRUE))+BM36*(1-VLOOKUP(AZ37,mortt,2,FALSE)*boc_rr_death_pc)</f>
        <v>6.2301508479374781E-2</v>
      </c>
      <c r="BN37" s="260">
        <f>BN36+SUM(BA36:BJ36)*VLOOKUP(AZ37,mortt,2,FALSE)+BK36*VLOOKUP(AZ37,boc_trpr_bc_death,20,TRUE)+BL36*VLOOKUP(AZ37,boc_trpr_bc_death,20,TRUE)+BM36*VLOOKUP(AZ37,mortt,2,FALSE)*boc_rr_death_pc</f>
        <v>0.26453731546055143</v>
      </c>
      <c r="BO37" s="260">
        <f t="shared" si="41"/>
        <v>1.0000019620809431</v>
      </c>
      <c r="BP37" s="118">
        <f>(boc_cost_mast*SUM(BD37,BF37,BH37)*(boc_tr_mast_path+boc_tr_both_path)+SUM(BE37,BG37,BI37)*(boc_tr_mast_vus+boc_tr_both_vus)+BK37*boc_cost_bc+BL37*boc_cost_oc+BM37*boc_cost_pc+(BK37*VLOOKUP(AZ37,boc_trpr_bc_death,20,TRUE)+BL37*VLOOKUP(AZ37,boc_trpr_oc_death,TRUE)*boc_cost_death))/((1+discount)^AY37)</f>
        <v>864.35891526773423</v>
      </c>
      <c r="BQ37" s="35">
        <f t="shared" si="6"/>
        <v>0.27663518175608104</v>
      </c>
      <c r="BR37" s="35">
        <f t="shared" si="7"/>
        <v>0.29417561956143401</v>
      </c>
      <c r="BS37" s="35"/>
      <c r="BU37" s="33">
        <v>60</v>
      </c>
      <c r="BV37" t="str">
        <f>$M$64</f>
        <v>boc_test_int_vus_both</v>
      </c>
      <c r="BW37" s="35">
        <f>$F$64</f>
        <v>1.2000000000000002</v>
      </c>
      <c r="BX37" s="35">
        <f>$G$64</f>
        <v>1.7999999999999998</v>
      </c>
      <c r="BY37" s="311">
        <v>-7.24932614056479</v>
      </c>
      <c r="BZ37" s="311">
        <v>-7.8570695738189897</v>
      </c>
      <c r="CA37" s="311">
        <f t="shared" si="25"/>
        <v>0.60774343325419977</v>
      </c>
      <c r="CD37" s="138">
        <v>32</v>
      </c>
      <c r="CE37" s="291">
        <v>7.5699999999999997E-4</v>
      </c>
      <c r="CH37" s="12">
        <v>84</v>
      </c>
      <c r="CI37" s="12" t="s">
        <v>315</v>
      </c>
      <c r="CJ37" s="376">
        <v>47</v>
      </c>
      <c r="CK37" s="260">
        <f t="shared" si="26"/>
        <v>4.6999999999999999E-4</v>
      </c>
      <c r="CL37" s="289">
        <f t="shared" si="27"/>
        <v>4.6988956730176223E-4</v>
      </c>
      <c r="CM37" s="289">
        <f t="shared" si="28"/>
        <v>3.3560689060796456E-4</v>
      </c>
      <c r="CN37" s="289">
        <f t="shared" si="29"/>
        <v>6.0415420610471227E-4</v>
      </c>
      <c r="CO37" s="290">
        <f t="shared" si="30"/>
        <v>47.021631080372046</v>
      </c>
      <c r="CP37" s="290">
        <f t="shared" si="31"/>
        <v>100022.51460140815</v>
      </c>
      <c r="CQ37" s="289">
        <f t="shared" ca="1" si="32"/>
        <v>5.1835318835258271E-4</v>
      </c>
      <c r="CR37" s="289">
        <f>IF(psa,CQ37,CL37)</f>
        <v>4.6988956730176223E-4</v>
      </c>
      <c r="CS37" s="373">
        <v>51.1</v>
      </c>
      <c r="CT37" s="260">
        <f t="shared" si="33"/>
        <v>5.1100000000000006E-4</v>
      </c>
      <c r="CU37" s="289">
        <f t="shared" si="34"/>
        <v>5.1086946173595216E-4</v>
      </c>
      <c r="CV37" s="289">
        <f t="shared" si="35"/>
        <v>3.7086043316203465E-4</v>
      </c>
      <c r="CW37" s="289">
        <f t="shared" si="36"/>
        <v>6.5085888050930851E-4</v>
      </c>
      <c r="CX37" s="290">
        <f t="shared" si="37"/>
        <v>51.125615358752832</v>
      </c>
      <c r="CY37" s="290">
        <f t="shared" si="38"/>
        <v>100024.56727304804</v>
      </c>
      <c r="CZ37" s="289">
        <f t="shared" ca="1" si="39"/>
        <v>5.0677614590369257E-4</v>
      </c>
      <c r="DA37" s="289">
        <f>IF(psa,CZ37,CU37)</f>
        <v>5.1086946173595216E-4</v>
      </c>
    </row>
    <row r="38" spans="2:105" ht="15" customHeight="1" x14ac:dyDescent="0.2">
      <c r="B38" s="19" t="s">
        <v>171</v>
      </c>
      <c r="C38" s="117">
        <f>IF(psa,J38,IF(owsa_low=L38,F38,IF(owsa_high=L38,G38,IF(ISNUMBER(D38),D38,E38))))</f>
        <v>0.39218328800000002</v>
      </c>
      <c r="D38" s="243"/>
      <c r="E38" s="117">
        <v>0.39218328800000002</v>
      </c>
      <c r="F38" s="117">
        <f>IF(ISNUMBER(D38),D38,E38)*(1-owsa_boc)</f>
        <v>0.31374663040000006</v>
      </c>
      <c r="G38" s="117">
        <f>MIN(1,IF(ISNUMBER(D38),D38,E38)*(1+owsa_boc))</f>
        <v>0.47061994559999998</v>
      </c>
      <c r="H38" s="48">
        <f t="shared" ref="H38:H39" si="42">IF(ISNUMBER(D38),D38,E38)^2*(1-IF(ISNUMBER(D38),D38,E38))/((G38-F38)/(2*z))^2-IF(ISNUMBER(D38),D38,E38)</f>
        <v>57.980388453942552</v>
      </c>
      <c r="I38" s="48">
        <f t="shared" ref="I38:I39" si="43">(IF(ISNUMBER(D38),D38,E38)^2*(1-IF(ISNUMBER(D38),D38,E38))/((G38-F38)/(2*z))^2-IF(ISNUMBER(D38),D38,E38))*(1-IF(ISNUMBER(D38),D38,E38))/IF(ISNUMBER(D38),D38,E38)</f>
        <v>89.859639991998137</v>
      </c>
      <c r="J38" s="35">
        <f ca="1">_xlfn.BETA.INV(RAND(),H38,I38)</f>
        <v>0.45115836249038199</v>
      </c>
      <c r="K38" s="12" t="s">
        <v>71</v>
      </c>
      <c r="L38" s="40">
        <v>1</v>
      </c>
      <c r="M38" s="247" t="s">
        <v>159</v>
      </c>
      <c r="N38" s="247" t="s">
        <v>298</v>
      </c>
      <c r="Q38" s="11"/>
      <c r="S38" s="11"/>
      <c r="U38" s="9" t="s">
        <v>6</v>
      </c>
      <c r="V38" s="250">
        <f>boc_unk_int_both*boc_test_int_path_both</f>
        <v>0.02</v>
      </c>
      <c r="Z38" s="261">
        <f>R42*T37*V38</f>
        <v>2.0554273212837933E-5</v>
      </c>
      <c r="AD38" s="12">
        <v>32</v>
      </c>
      <c r="AE38" s="12">
        <f t="shared" ref="AE38:AE69" si="44">age+AD38</f>
        <v>77</v>
      </c>
      <c r="AF38" s="260">
        <f>AF37*(1-VLOOKUP(AE38,boc_trpr_bc,11,TRUE)*boc_rr_bc_mast-VLOOKUP(AE38,boc_trpr_oc,11,TRUE)*boc_rr_oc_mast-VLOOKUP(AE38,mortt,2,FALSE))+SUM(AI37,AK37,AM37)*boc_tr_mast_path+SUM(AJ37,AL37,AN37)*boc_tr_mast_vus</f>
        <v>1.5498613664611348E-2</v>
      </c>
      <c r="AG38" s="260">
        <f>AG37*(1-VLOOKUP(AE38,boc_trpr_bc,11,TRUE)*boc_rr_bc_ooph-VLOOKUP(AE38,boc_trpr_oc,11,TRUE)*boc_rr_oc_ooph-VLOOKUP(AE38,mortt,2,FALSE))+SUM(AI37,AK37,AM37)*boc_tr_ooph_path+SUM(AJ37,AL37,AN37)*boc_tr_ooph_vus</f>
        <v>1.4719888936702012E-2</v>
      </c>
      <c r="AH38" s="260">
        <f>AH37*(1-VLOOKUP(AE38,boc_trpr_bc,11,TRUE)*boc_rr_bc_both-VLOOKUP(AE38,boc_trpr_oc,11,TRUE)*boc_rr_oc_both-VLOOKUP(AE38,mortt,2,FALSE))+SUM(AI37,AK37,AM37)*boc_tr_both_path+SUM(AJ37,AL37,AN37)*boc_tr_both_vus</f>
        <v>1.5276394441529936E-2</v>
      </c>
      <c r="AI38" s="289">
        <f>AI37*(1-VLOOKUP(AE38,boc_trpr_bc,11,TRUE)*boc_rr_bc_hip-VLOOKUP(AE38,boc_trpr_oc,11,TRUE)*boc_rr_oc_hip-boc_tr_mast_path-boc_tr_ooph_path-boc_tr_both_path-VLOOKUP(AE38,mortt,2,FALSE))</f>
        <v>2.9802655545933588E-26</v>
      </c>
      <c r="AJ38" s="289">
        <f>AJ37*(1-VLOOKUP(AE38,boc_trpr_bc,11,TRUE)*boc_rr_bc_hiv-VLOOKUP(AE38,boc_trpr_oc,11,TRUE)*boc_rr_oc_hiv-boc_tr_mast_vus-boc_tr_ooph_vus-boc_tr_both_vus-VLOOKUP(AE38,mortt,2,FALSE))</f>
        <v>3.2286217885457027E-5</v>
      </c>
      <c r="AK38" s="289">
        <f>AK37*(1-VLOOKUP(AE38,boc_trpr_bc,11,TRUE)*boc_rr_bc_modp-VLOOKUP(AE38,boc_trpr_oc,11,TRUE)*boc_rr_oc_modp-boc_tr_mast_path-boc_tr_ooph_path-boc_tr_both_path-VLOOKUP(AE38,mortt,2,FALSE))</f>
        <v>6.3099749462651882E-24</v>
      </c>
      <c r="AL38" s="289">
        <f>AL37*(1-VLOOKUP(AE38,boc_trpr_bc,11,TRUE)*boc_rr_bc_modv-VLOOKUP(AE38,boc_trpr_oc,11,TRUE)*boc_rr_oc_modv-boc_tr_mast_vus-boc_tr_ooph_vus-boc_tr_both_vus-VLOOKUP(AE38,mortt,2,FALSE))</f>
        <v>4.1051204905774386E-5</v>
      </c>
      <c r="AM38" s="289">
        <f>AM37*(1-VLOOKUP(AE38,boc_trpr_bc,11,TRUE)*boc_rr_bc_lop-VLOOKUP(AE38,boc_trpr_oc,11,TRUE)*boc_rr_oc_lop-boc_tr_mast_path-boc_tr_ooph_path-boc_tr_both_path-VLOOKUP(AE38,mortt,2,FALSE))</f>
        <v>6.7205005192554177E-24</v>
      </c>
      <c r="AN38" s="289">
        <f>AN37*(1-VLOOKUP(AE38,boc_trpr_bc,11,TRUE)*boc_rr_bc_lov-VLOOKUP(AE38,boc_trpr_oc,11,TRUE)*boc_rr_oc_lov-boc_tr_mast_vus-boc_tr_ooph_vus-boc_tr_both_vus-VLOOKUP(AE38,mortt,2,FALSE))</f>
        <v>8.9868854425682734E-6</v>
      </c>
      <c r="AO38" s="260">
        <f>AO37*(1-VLOOKUP(AE38,boc_trpr_bc,11,TRUE)*boc_rr_bc_np-VLOOKUP(AE38,boc_trpr_oc,11,TRUE)*boc_rr_oc_np-VLOOKUP(AE38,mortt,2,FALSE))</f>
        <v>0.60532550954070186</v>
      </c>
      <c r="AP38" s="260">
        <f>AF37*VLOOKUP(AE38,boc_trpr_bc,11,TRUE)*boc_rr_bc_mast+AG37*VLOOKUP(AE38,boc_trpr_bc,11,TRUE)*boc_rr_bc_ooph+AH37*VLOOKUP(AE38,boc_trpr_bc,11,TRUE)*boc_rr_bc_both+AI37*VLOOKUP(AE38,boc_trpr_bc,11,TRUE)*boc_rr_bc_hip+AJ37*VLOOKUP(AE38,boc_trpr_bc,11,TRUE)*boc_rr_bc_hiv+AK37*VLOOKUP(AE38,boc_trpr_bc,11,TRUE)*boc_rr_bc_modp+AL37*VLOOKUP(AE38,boc_trpr_bc,11,TRUE)*boc_rr_bc_modv+AM37*VLOOKUP(AE38,boc_trpr_bc,11,TRUE)*boc_rr_bc_lop+AN37*VLOOKUP(AE38,boc_trpr_bc,11,TRUE)*boc_rr_bc_lov+AO37*VLOOKUP(AE38,boc_trpr_bc,11,TRUE)*boc_rr_bc_np</f>
        <v>2.8726237148584176E-3</v>
      </c>
      <c r="AQ38" s="260">
        <f>AF37*VLOOKUP(AE38,boc_trpr_oc,11,TRUE)*boc_rr_oc_mast+AG37*VLOOKUP(AE38,boc_trpr_oc,11,TRUE)*boc_rr_oc_ooph+AH37*VLOOKUP(AE38,boc_trpr_oc,11,TRUE)*boc_rr_oc_both+AI37*VLOOKUP(AE38,boc_trpr_oc,11,TRUE)*boc_rr_oc_hip+AJ37*VLOOKUP(AE38,boc_trpr_oc,11,TRUE)*boc_rr_oc_hiv+AK37*VLOOKUP(AE38,boc_trpr_oc,11,TRUE)*boc_rr_oc_modp+AL37*VLOOKUP(AE38,boc_trpr_oc,11,TRUE)*boc_rr_oc_modv+AM37*VLOOKUP(AE38,boc_trpr_oc,11,TRUE)*boc_rr_oc_lop+AN37*VLOOKUP(AE38,boc_trpr_oc,11,TRUE)*boc_rr_oc_lov+AO37*VLOOKUP(AE38,boc_trpr_oc,11,TRUE)*boc_rr_oc_np</f>
        <v>2.6511504749287651E-4</v>
      </c>
      <c r="AR38" s="260">
        <f>AP37*(1-VLOOKUP(AE38,boc_trpr_bc_death,20,TRUE))+AQ37*(1-VLOOKUP(AE38,boc_trpr_oc_death,20,TRUE))+AR37*(1-VLOOKUP(AE38,mortt,2,FALSE)*boc_rr_death_pc)</f>
        <v>5.8846231383587598E-2</v>
      </c>
      <c r="AS38" s="260">
        <f>AS37+SUM(AF37:AO37)*VLOOKUP(AE38,mortt,2,FALSE)+AP37*VLOOKUP(AE38,boc_trpr_bc_death,20,TRUE)+AQ37*VLOOKUP(AE38,boc_trpr_bc_death,20,TRUE)+AR37*VLOOKUP(AE38,mortt,2,FALSE)*boc_rr_death_pc</f>
        <v>0.28711526798422005</v>
      </c>
      <c r="AT38" s="260">
        <f t="shared" si="40"/>
        <v>1.0000019690219379</v>
      </c>
      <c r="AU38" s="118">
        <f>(boc_cost_mast*SUM(AI38,AK38,AM38)*(boc_tr_mast_path+boc_tr_both_path)+SUM(AJ38,AL38,AN38)*(boc_tr_mast_vus+boc_tr_both_vus)+AP38*boc_cost_bc+AQ38*boc_cost_oc+AR38*boc_cost_pc+(AP38*VLOOKUP(AE38,boc_trpr_bc_death,20,TRUE)+AQ38*VLOOKUP(AE38,boc_trpr_oc_death,TRUE)*boc_cost_death))/((1+discount)^AD38)</f>
        <v>772.92652576853834</v>
      </c>
      <c r="AV38" s="35">
        <f t="shared" ref="AV38:AV69" si="45">(SUM(AF38:AH38)*boc_util_int+SUM(AI38:AN38)*boc_util_no_v+AO38*boc_util_no_nv+SUM(AP38:AQ38)*boc_util_c+AR38*boc_util_pc-SUM(AI38,AK38,AM38)*(boc_tr_mast_path*boc_disutil_mast+boc_tr_ooph_path*boc_disutil_ooph+boc_tr_both_path*boc_disutil_both)-SUM(AJ38,AL38,AN38)*(boc_tr_mast_vus*boc_disutil_mast+boc_tr_ooph_vus*boc_disutil_ooph+boc_tr_both_vus*boc_disutil_both))/((1+discount)^AD38)</f>
        <v>0.26052997998176819</v>
      </c>
      <c r="AW38" s="35">
        <f t="shared" ref="AW38:AW69" si="46">(1-AS38)/((1+discount)^AD38)</f>
        <v>0.27683954251253357</v>
      </c>
      <c r="AY38" s="12">
        <v>32</v>
      </c>
      <c r="AZ38" s="12">
        <f t="shared" ref="AZ38:AZ69" si="47">age+AY38</f>
        <v>77</v>
      </c>
      <c r="BA38" s="260">
        <f>BA37*(1-VLOOKUP(AZ38,boc_trpr_bc,11,TRUE)*boc_rr_bc_mast-VLOOKUP(AZ38,boc_trpr_oc,11,TRUE)*boc_rr_oc_mast-VLOOKUP(AZ38,mortt,2,FALSE))</f>
        <v>7.054865761545067E-3</v>
      </c>
      <c r="BB38" s="260">
        <f>BB37*(1-VLOOKUP(AZ38,boc_trpr_bc,11,TRUE)*boc_rr_bc_ooph-VLOOKUP(AZ38,boc_trpr_oc,11,TRUE)*boc_rr_oc_ooph-VLOOKUP(AZ38,mortt,2,FALSE))</f>
        <v>6.8326709986329167E-3</v>
      </c>
      <c r="BC38" s="260">
        <f>BC37*(1-VLOOKUP(AZ38,boc_trpr_bc,11,TRUE)*boc_rr_bc_both-VLOOKUP(AZ38,boc_trpr_oc,11,TRUE)*boc_rr_oc_both-VLOOKUP(AZ38,mortt,2,FALSE))</f>
        <v>7.1373274109864538E-3</v>
      </c>
      <c r="BD38" s="289">
        <f>BD37*(1-VLOOKUP(AZ38,boc_trpr_bc,11,TRUE)*boc_rr_bc_hip-VLOOKUP(AZ38,boc_trpr_oc,11,TRUE)*boc_rr_oc_hip-VLOOKUP(AZ38,mortt,2,FALSE))</f>
        <v>5.2538636337604852E-4</v>
      </c>
      <c r="BE38" s="289">
        <f>BE37*(1-VLOOKUP(AZ38,boc_trpr_bc,11,TRUE)*boc_rr_bc_hiv-VLOOKUP(AZ38,boc_trpr_oc,11,TRUE)*boc_rr_oc_hiv-VLOOKUP(AZ38,mortt,2,FALSE))</f>
        <v>6.6126974823105169E-3</v>
      </c>
      <c r="BF38" s="289">
        <f>BF37*(1-VLOOKUP(AZ38,boc_trpr_bc,11,TRUE)*boc_rr_bc_modp-VLOOKUP(AZ38,boc_trpr_oc,11,TRUE)*boc_rr_oc_modp-VLOOKUP(AZ38,mortt,2,FALSE))</f>
        <v>1.9450994837670332E-3</v>
      </c>
      <c r="BG38" s="289">
        <f>BG37*(1-VLOOKUP(AZ38,boc_trpr_bc,11,TRUE)*boc_rr_bc_modv-VLOOKUP(AZ38,boc_trpr_oc,11,TRUE)*boc_rr_oc_modv-VLOOKUP(AZ38,mortt,2,FALSE))</f>
        <v>8.4078971494676996E-3</v>
      </c>
      <c r="BH38" s="289">
        <f>BH37*(1-VLOOKUP(AZ38,boc_trpr_bc,11,TRUE)*boc_rr_bc_lop-VLOOKUP(AZ38,boc_trpr_oc,11,TRUE)*boc_rr_oc_lop-VLOOKUP(AZ38,mortt,2,FALSE))</f>
        <v>6.1315422130831876E-4</v>
      </c>
      <c r="BI38" s="289">
        <f>BI37*(1-VLOOKUP(AZ38,boc_trpr_bc,11,TRUE)*boc_rr_bc_lov-VLOOKUP(AZ38,boc_trpr_oc,11,TRUE)*boc_rr_oc_lov-VLOOKUP(AZ38,mortt,2,FALSE))</f>
        <v>1.8406477634115436E-3</v>
      </c>
      <c r="BJ38" s="260">
        <f>BJ37*(1-VLOOKUP(AZ38,boc_trpr_bc,11,TRUE)*boc_rr_bc_np-VLOOKUP(AZ38,boc_trpr_oc,11,TRUE)*boc_rr_oc_np-VLOOKUP(AZ38,mortt,2,FALSE))</f>
        <v>0.60532550954070186</v>
      </c>
      <c r="BK38" s="260">
        <f>BA37*VLOOKUP(AZ38,boc_trpr_bc,11,TRUE)*boc_rr_bc_mast+BB37*VLOOKUP(AZ38,boc_trpr_bc,11,TRUE)*boc_rr_bc_ooph+BC37*VLOOKUP(AZ38,boc_trpr_bc,11,TRUE)*boc_rr_bc_both+BD37*VLOOKUP(AZ38,boc_trpr_bc,11,TRUE)*boc_rr_bc_hip+BE37*VLOOKUP(AZ38,boc_trpr_bc,11,TRUE)*boc_rr_bc_hiv+BF37*VLOOKUP(AZ38,boc_trpr_bc,11,TRUE)*boc_rr_bc_modp+BG37*VLOOKUP(AZ38,boc_trpr_bc,11,TRUE)*boc_rr_bc_modv+BH37*VLOOKUP(AZ38,boc_trpr_bc,11,TRUE)*boc_rr_bc_lop+BI37*VLOOKUP(AZ38,boc_trpr_bc,11,TRUE)*boc_rr_bc_lov+BJ37*VLOOKUP(AZ38,boc_trpr_bc,11,TRUE)*boc_rr_bc_np</f>
        <v>3.0245184999672567E-3</v>
      </c>
      <c r="BL38" s="260">
        <f>BA37*VLOOKUP(AZ38,boc_trpr_oc,11,TRUE)*boc_rr_oc_mast+BB37*VLOOKUP(AZ38,boc_trpr_oc,11,TRUE)*boc_rr_oc_ooph+BC37*VLOOKUP(AZ38,boc_trpr_oc,11,TRUE)*boc_rr_oc_both+BD37*VLOOKUP(AZ38,boc_trpr_oc,11,TRUE)*boc_rr_oc_hip+BE37*VLOOKUP(AZ38,boc_trpr_oc,11,TRUE)*boc_rr_oc_hiv+BF37*VLOOKUP(AZ38,boc_trpr_oc,11,TRUE)*boc_rr_oc_modp+BG37*VLOOKUP(AZ38,boc_trpr_oc,11,TRUE)*boc_rr_oc_modv+BH37*VLOOKUP(AZ38,boc_trpr_oc,11,TRUE)*boc_rr_oc_lop+BI37*VLOOKUP(AZ38,boc_trpr_oc,11,TRUE)*boc_rr_oc_lov+BJ37*VLOOKUP(AZ38,boc_trpr_oc,11,TRUE)*boc_rr_oc_np</f>
        <v>2.764837176905969E-4</v>
      </c>
      <c r="BM38" s="260">
        <f>BK37*(1-VLOOKUP(AZ38,boc_trpr_bc_death,20,TRUE))+BL37*(1-VLOOKUP(AZ38,boc_trpr_oc_death,20,TRUE))+BM37*(1-VLOOKUP(AZ38,mortt,2,FALSE)*boc_rr_death_pc)</f>
        <v>6.2901917800483514E-2</v>
      </c>
      <c r="BN38" s="260">
        <f>BN37+SUM(BA37:BJ37)*VLOOKUP(AZ38,mortt,2,FALSE)+BK37*VLOOKUP(AZ38,boc_trpr_bc_death,20,TRUE)+BL37*VLOOKUP(AZ38,boc_trpr_bc_death,20,TRUE)+BM37*VLOOKUP(AZ38,mortt,2,FALSE)*boc_rr_death_pc</f>
        <v>0.28750390994396813</v>
      </c>
      <c r="BO38" s="260">
        <f t="shared" si="41"/>
        <v>1.0000020861376169</v>
      </c>
      <c r="BP38" s="118">
        <f>(boc_cost_mast*SUM(BD38,BF38,BH38)*(boc_tr_mast_path+boc_tr_both_path)+SUM(BE38,BG38,BI38)*(boc_tr_mast_vus+boc_tr_both_vus)+BK38*boc_cost_bc+BL38*boc_cost_oc+BM38*boc_cost_pc+(BK38*VLOOKUP(AZ38,boc_trpr_bc_death,20,TRUE)+BL38*VLOOKUP(AZ38,boc_trpr_oc_death,TRUE)*boc_cost_death))/((1+discount)^AY38)</f>
        <v>819.06388989741095</v>
      </c>
      <c r="BQ38" s="35">
        <f t="shared" ref="BQ38:BQ69" si="48">(SUM(BA38:BC38)*boc_util_int+SUM(BD38:BJ38)*boc_util_no_nv+SUM(BK38:BL38)*boc_util_c+BM38*boc_util_pc-SUM(BD38,BF38,BH38)*(boc_tr_mast_path*boc_disutil_mast+boc_tr_ooph_path*boc_disutil_ooph+boc_tr_both_path*boc_disutil_both)-SUM(BE38,BG38,BI38)*(boc_tr_mast_vus*boc_disutil_mast+boc_tr_ooph_vus*boc_disutil_ooph+boc_tr_both_vus*boc_disutil_both))/((1+discount)^AY38)</f>
        <v>0.26009460448027488</v>
      </c>
      <c r="BR38" s="35">
        <f t="shared" ref="BR38:BR69" si="49">(1-BN38)/((1+discount)^AY38)</f>
        <v>0.27668861844654385</v>
      </c>
      <c r="BS38" s="35"/>
      <c r="BU38" s="33">
        <v>32</v>
      </c>
      <c r="BV38" t="str">
        <f>$M$66</f>
        <v>boc_test_int_np_mast</v>
      </c>
      <c r="BW38" s="35">
        <f>$F$66</f>
        <v>0.8</v>
      </c>
      <c r="BX38" s="35">
        <f>$G$66</f>
        <v>1.2</v>
      </c>
      <c r="BY38" s="311">
        <v>-7.2394719139820154</v>
      </c>
      <c r="BZ38" s="311">
        <v>-7.8419282676682087</v>
      </c>
      <c r="CA38" s="311">
        <f t="shared" si="25"/>
        <v>0.60245635368619332</v>
      </c>
      <c r="CD38" s="138">
        <v>33</v>
      </c>
      <c r="CE38" s="291">
        <v>8.0500000000000005E-4</v>
      </c>
      <c r="CH38" s="12">
        <v>100</v>
      </c>
      <c r="CI38" s="12" t="s">
        <v>316</v>
      </c>
      <c r="CJ38" s="376">
        <v>45.6</v>
      </c>
      <c r="CK38" s="260">
        <f t="shared" si="26"/>
        <v>4.5600000000000003E-4</v>
      </c>
      <c r="CL38" s="289">
        <f t="shared" si="27"/>
        <v>4.5589604780138515E-4</v>
      </c>
      <c r="CM38" s="289">
        <f t="shared" si="28"/>
        <v>3.2362580036415789E-4</v>
      </c>
      <c r="CN38" s="289">
        <f t="shared" si="29"/>
        <v>5.8814879415636234E-4</v>
      </c>
      <c r="CO38" s="290">
        <f t="shared" si="30"/>
        <v>45.620347714405312</v>
      </c>
      <c r="CP38" s="290">
        <f t="shared" si="31"/>
        <v>100021.81374041831</v>
      </c>
      <c r="CQ38" s="289">
        <f t="shared" ca="1" si="32"/>
        <v>3.4258011819101643E-4</v>
      </c>
      <c r="CR38" s="289">
        <f>IF(psa,CQ38,CL38)</f>
        <v>4.5589604780138515E-4</v>
      </c>
      <c r="CS38" s="373">
        <v>52.8</v>
      </c>
      <c r="CT38" s="260">
        <f t="shared" si="33"/>
        <v>5.2799999999999993E-4</v>
      </c>
      <c r="CU38" s="289">
        <f t="shared" si="34"/>
        <v>5.2786063252974191E-4</v>
      </c>
      <c r="CV38" s="289">
        <f t="shared" si="35"/>
        <v>3.8554520602596121E-4</v>
      </c>
      <c r="CW38" s="289">
        <f t="shared" si="36"/>
        <v>6.7015579754126087E-4</v>
      </c>
      <c r="CX38" s="290">
        <f t="shared" si="37"/>
        <v>52.827366137269053</v>
      </c>
      <c r="CY38" s="290">
        <f t="shared" si="38"/>
        <v>100025.41844677157</v>
      </c>
      <c r="CZ38" s="289">
        <f t="shared" ca="1" si="39"/>
        <v>5.4860177700732926E-4</v>
      </c>
      <c r="DA38" s="289">
        <f>IF(psa,CZ38,CU38)</f>
        <v>5.2786063252974191E-4</v>
      </c>
    </row>
    <row r="39" spans="2:105" ht="15" customHeight="1" x14ac:dyDescent="0.2">
      <c r="B39" s="19" t="s">
        <v>172</v>
      </c>
      <c r="C39" s="117">
        <f>IF(psa,J39,IF(owsa_low=L39,F39,IF(owsa_high=L39,G39,IF(ISNUMBER(D39),D39,E39))))</f>
        <v>0.49865229100000003</v>
      </c>
      <c r="D39" s="243"/>
      <c r="E39" s="117">
        <v>0.49865229100000003</v>
      </c>
      <c r="F39" s="117">
        <f>IF(ISNUMBER(D39),D39,E39)*(1-owsa_boc)</f>
        <v>0.39892183280000004</v>
      </c>
      <c r="G39" s="117">
        <f>MIN(1,IF(ISNUMBER(D39),D39,E39)*(1+owsa_boc))</f>
        <v>0.59838274920000001</v>
      </c>
      <c r="H39" s="48">
        <f t="shared" si="42"/>
        <v>47.649012183321034</v>
      </c>
      <c r="I39" s="48">
        <f t="shared" si="43"/>
        <v>47.906574431483136</v>
      </c>
      <c r="J39" s="35">
        <f ca="1">_xlfn.BETA.INV(RAND(),H39,I39)</f>
        <v>0.46012683789111286</v>
      </c>
      <c r="K39" s="12" t="s">
        <v>71</v>
      </c>
      <c r="L39" s="40">
        <v>2</v>
      </c>
      <c r="M39" s="247" t="s">
        <v>160</v>
      </c>
      <c r="N39" s="247" t="s">
        <v>298</v>
      </c>
      <c r="Q39" s="11"/>
      <c r="S39" s="11"/>
      <c r="U39" s="9" t="s">
        <v>9</v>
      </c>
      <c r="V39" s="250">
        <f>1-SUM(V36,V37,V38)</f>
        <v>0.9</v>
      </c>
      <c r="AA39" s="261">
        <f>R42*T37*V39</f>
        <v>9.2494229457770695E-4</v>
      </c>
      <c r="AD39" s="12">
        <v>33</v>
      </c>
      <c r="AE39" s="12">
        <f t="shared" si="44"/>
        <v>78</v>
      </c>
      <c r="AF39" s="260">
        <f>AF38*(1-VLOOKUP(AE39,boc_trpr_bc,11,TRUE)*boc_rr_bc_mast-VLOOKUP(AE39,boc_trpr_oc,11,TRUE)*boc_rr_oc_mast-VLOOKUP(AE39,mortt,2,FALSE))+SUM(AI38,AK38,AM38)*boc_tr_mast_path+SUM(AJ38,AL38,AN38)*boc_tr_mast_vus</f>
        <v>1.4968810416615144E-2</v>
      </c>
      <c r="AG39" s="260">
        <f>AG38*(1-VLOOKUP(AE39,boc_trpr_bc,11,TRUE)*boc_rr_bc_ooph-VLOOKUP(AE39,boc_trpr_oc,11,TRUE)*boc_rr_oc_ooph-VLOOKUP(AE39,mortt,2,FALSE))+SUM(AI38,AK38,AM38)*boc_tr_ooph_path+SUM(AJ38,AL38,AN38)*boc_tr_ooph_vus</f>
        <v>1.4194775186952665E-2</v>
      </c>
      <c r="AH39" s="260">
        <f>AH38*(1-VLOOKUP(AE39,boc_trpr_bc,11,TRUE)*boc_rr_bc_both-VLOOKUP(AE39,boc_trpr_oc,11,TRUE)*boc_rr_oc_both-VLOOKUP(AE39,mortt,2,FALSE))+SUM(AI38,AK38,AM38)*boc_tr_both_path+SUM(AJ38,AL38,AN38)*boc_tr_both_vus</f>
        <v>1.4762935451997668E-2</v>
      </c>
      <c r="AI39" s="289">
        <f>AI38*(1-VLOOKUP(AE39,boc_trpr_bc,11,TRUE)*boc_rr_bc_hip-VLOOKUP(AE39,boc_trpr_oc,11,TRUE)*boc_rr_oc_hip-boc_tr_mast_path-boc_tr_ooph_path-boc_tr_both_path-VLOOKUP(AE39,mortt,2,FALSE))</f>
        <v>4.2525105618225011E-27</v>
      </c>
      <c r="AJ39" s="289">
        <f>AJ38*(1-VLOOKUP(AE39,boc_trpr_bc,11,TRUE)*boc_rr_bc_hiv-VLOOKUP(AE39,boc_trpr_oc,11,TRUE)*boc_rr_oc_hiv-boc_tr_mast_vus-boc_tr_ooph_vus-boc_tr_both_vus-VLOOKUP(AE39,mortt,2,FALSE))</f>
        <v>2.6184245133370988E-5</v>
      </c>
      <c r="AK39" s="289">
        <f>AK38*(1-VLOOKUP(AE39,boc_trpr_bc,11,TRUE)*boc_rr_bc_modp-VLOOKUP(AE39,boc_trpr_oc,11,TRUE)*boc_rr_oc_modp-boc_tr_mast_path-boc_tr_ooph_path-boc_tr_both_path-VLOOKUP(AE39,mortt,2,FALSE))</f>
        <v>1.2104824179213392E-24</v>
      </c>
      <c r="AL39" s="289">
        <f>AL38*(1-VLOOKUP(AE39,boc_trpr_bc,11,TRUE)*boc_rr_bc_modv-VLOOKUP(AE39,boc_trpr_oc,11,TRUE)*boc_rr_oc_modv-boc_tr_mast_vus-boc_tr_ooph_vus-boc_tr_both_vus-VLOOKUP(AE39,mortt,2,FALSE))</f>
        <v>3.3292682843387885E-5</v>
      </c>
      <c r="AM39" s="289">
        <f>AM38*(1-VLOOKUP(AE39,boc_trpr_bc,11,TRUE)*boc_rr_bc_lop-VLOOKUP(AE39,boc_trpr_oc,11,TRUE)*boc_rr_oc_lop-boc_tr_mast_path-boc_tr_ooph_path-boc_tr_both_path-VLOOKUP(AE39,mortt,2,FALSE))</f>
        <v>1.4048393029704383E-24</v>
      </c>
      <c r="AN39" s="289">
        <f>AN38*(1-VLOOKUP(AE39,boc_trpr_bc,11,TRUE)*boc_rr_bc_lov-VLOOKUP(AE39,boc_trpr_oc,11,TRUE)*boc_rr_oc_lov-boc_tr_mast_vus-boc_tr_ooph_vus-boc_tr_both_vus-VLOOKUP(AE39,mortt,2,FALSE))</f>
        <v>7.2883981718938305E-6</v>
      </c>
      <c r="AO39" s="260">
        <f>AO38*(1-VLOOKUP(AE39,boc_trpr_bc,11,TRUE)*boc_rr_bc_np-VLOOKUP(AE39,boc_trpr_oc,11,TRUE)*boc_rr_oc_np-VLOOKUP(AE39,mortt,2,FALSE))</f>
        <v>0.5820176114639587</v>
      </c>
      <c r="AP39" s="260">
        <f>AF38*VLOOKUP(AE39,boc_trpr_bc,11,TRUE)*boc_rr_bc_mast+AG38*VLOOKUP(AE39,boc_trpr_bc,11,TRUE)*boc_rr_bc_ooph+AH38*VLOOKUP(AE39,boc_trpr_bc,11,TRUE)*boc_rr_bc_both+AI38*VLOOKUP(AE39,boc_trpr_bc,11,TRUE)*boc_rr_bc_hip+AJ38*VLOOKUP(AE39,boc_trpr_bc,11,TRUE)*boc_rr_bc_hiv+AK38*VLOOKUP(AE39,boc_trpr_bc,11,TRUE)*boc_rr_bc_modp+AL38*VLOOKUP(AE39,boc_trpr_bc,11,TRUE)*boc_rr_bc_modv+AM38*VLOOKUP(AE39,boc_trpr_bc,11,TRUE)*boc_rr_bc_lop+AN38*VLOOKUP(AE39,boc_trpr_bc,11,TRUE)*boc_rr_bc_lov+AO38*VLOOKUP(AE39,boc_trpr_bc,11,TRUE)*boc_rr_bc_np</f>
        <v>2.7721455824744681E-3</v>
      </c>
      <c r="AQ39" s="260">
        <f>AF38*VLOOKUP(AE39,boc_trpr_oc,11,TRUE)*boc_rr_oc_mast+AG38*VLOOKUP(AE39,boc_trpr_oc,11,TRUE)*boc_rr_oc_ooph+AH38*VLOOKUP(AE39,boc_trpr_oc,11,TRUE)*boc_rr_oc_both+AI38*VLOOKUP(AE39,boc_trpr_oc,11,TRUE)*boc_rr_oc_hip+AJ38*VLOOKUP(AE39,boc_trpr_oc,11,TRUE)*boc_rr_oc_hiv+AK38*VLOOKUP(AE39,boc_trpr_oc,11,TRUE)*boc_rr_oc_modp+AL38*VLOOKUP(AE39,boc_trpr_oc,11,TRUE)*boc_rr_oc_modv+AM38*VLOOKUP(AE39,boc_trpr_oc,11,TRUE)*boc_rr_oc_lop+AN38*VLOOKUP(AE39,boc_trpr_oc,11,TRUE)*boc_rr_oc_lov+AO38*VLOOKUP(AE39,boc_trpr_oc,11,TRUE)*boc_rr_oc_np</f>
        <v>2.5586473297682975E-4</v>
      </c>
      <c r="AR39" s="260">
        <f>AP38*(1-VLOOKUP(AE39,boc_trpr_bc_death,20,TRUE))+AQ38*(1-VLOOKUP(AE39,boc_trpr_oc_death,20,TRUE))+AR38*(1-VLOOKUP(AE39,mortt,2,FALSE)*boc_rr_death_pc)</f>
        <v>5.901668069710115E-2</v>
      </c>
      <c r="AS39" s="260">
        <f>AS38+SUM(AF38:AO38)*VLOOKUP(AE39,mortt,2,FALSE)+AP38*VLOOKUP(AE39,boc_trpr_bc_death,20,TRUE)+AQ38*VLOOKUP(AE39,boc_trpr_bc_death,20,TRUE)+AR38*VLOOKUP(AE39,mortt,2,FALSE)*boc_rr_death_pc</f>
        <v>0.31194649515922868</v>
      </c>
      <c r="AT39" s="260">
        <f t="shared" si="40"/>
        <v>1.0000020840174542</v>
      </c>
      <c r="AU39" s="118">
        <f>(boc_cost_mast*SUM(AI39,AK39,AM39)*(boc_tr_mast_path+boc_tr_both_path)+SUM(AJ39,AL39,AN39)*(boc_tr_mast_vus+boc_tr_both_vus)+AP39*boc_cost_bc+AQ39*boc_cost_oc+AR39*boc_cost_pc+(AP39*VLOOKUP(AE39,boc_trpr_bc_death,20,TRUE)+AQ39*VLOOKUP(AE39,boc_trpr_oc_death,TRUE)*boc_cost_death))/((1+discount)^AD39)</f>
        <v>730.71127208911878</v>
      </c>
      <c r="AV39" s="35">
        <f t="shared" si="45"/>
        <v>0.24404768401234281</v>
      </c>
      <c r="AW39" s="35">
        <f t="shared" si="46"/>
        <v>0.25941423048292184</v>
      </c>
      <c r="AY39" s="12">
        <v>33</v>
      </c>
      <c r="AZ39" s="12">
        <f t="shared" si="47"/>
        <v>78</v>
      </c>
      <c r="BA39" s="260">
        <f>BA38*(1-VLOOKUP(AZ39,boc_trpr_bc,11,TRUE)*boc_rr_bc_mast-VLOOKUP(AZ39,boc_trpr_oc,11,TRUE)*boc_rr_oc_mast-VLOOKUP(AZ39,mortt,2,FALSE))</f>
        <v>6.8118291762523054E-3</v>
      </c>
      <c r="BB39" s="260">
        <f>BB38*(1-VLOOKUP(AZ39,boc_trpr_bc,11,TRUE)*boc_rr_bc_ooph-VLOOKUP(AZ39,boc_trpr_oc,11,TRUE)*boc_rr_oc_ooph-VLOOKUP(AZ39,mortt,2,FALSE))</f>
        <v>6.587013286804182E-3</v>
      </c>
      <c r="BC39" s="260">
        <f>BC38*(1-VLOOKUP(AZ39,boc_trpr_bc,11,TRUE)*boc_rr_bc_both-VLOOKUP(AZ39,boc_trpr_oc,11,TRUE)*boc_rr_oc_both-VLOOKUP(AZ39,mortt,2,FALSE))</f>
        <v>6.895509637058676E-3</v>
      </c>
      <c r="BD39" s="289">
        <f>BD38*(1-VLOOKUP(AZ39,boc_trpr_bc,11,TRUE)*boc_rr_bc_hip-VLOOKUP(AZ39,boc_trpr_oc,11,TRUE)*boc_rr_oc_hip-VLOOKUP(AZ39,mortt,2,FALSE))</f>
        <v>4.6900661754524888E-4</v>
      </c>
      <c r="BE39" s="289">
        <f>BE38*(1-VLOOKUP(AZ39,boc_trpr_bc,11,TRUE)*boc_rr_bc_hiv-VLOOKUP(AZ39,boc_trpr_oc,11,TRUE)*boc_rr_oc_hiv-VLOOKUP(AZ39,mortt,2,FALSE))</f>
        <v>6.3548273556295184E-3</v>
      </c>
      <c r="BF39" s="289">
        <f>BF38*(1-VLOOKUP(AZ39,boc_trpr_bc,11,TRUE)*boc_rr_bc_modp-VLOOKUP(AZ39,boc_trpr_oc,11,TRUE)*boc_rr_oc_modp-VLOOKUP(AZ39,mortt,2,FALSE))</f>
        <v>1.8319653536774201E-3</v>
      </c>
      <c r="BG39" s="289">
        <f>BG38*(1-VLOOKUP(AZ39,boc_trpr_bc,11,TRUE)*boc_rr_bc_modv-VLOOKUP(AZ39,boc_trpr_oc,11,TRUE)*boc_rr_oc_modv-VLOOKUP(AZ39,mortt,2,FALSE))</f>
        <v>8.080021043105054E-3</v>
      </c>
      <c r="BH39" s="289">
        <f>BH38*(1-VLOOKUP(AZ39,boc_trpr_bc,11,TRUE)*boc_rr_bc_lop-VLOOKUP(AZ39,boc_trpr_oc,11,TRUE)*boc_rr_oc_lop-VLOOKUP(AZ39,mortt,2,FALSE))</f>
        <v>5.8803813563705501E-4</v>
      </c>
      <c r="BI39" s="289">
        <f>BI38*(1-VLOOKUP(AZ39,boc_trpr_bc,11,TRUE)*boc_rr_bc_lov-VLOOKUP(AZ39,boc_trpr_oc,11,TRUE)*boc_rr_oc_lov-VLOOKUP(AZ39,mortt,2,FALSE))</f>
        <v>1.7688694803136471E-3</v>
      </c>
      <c r="BJ39" s="260">
        <f>BJ38*(1-VLOOKUP(AZ39,boc_trpr_bc,11,TRUE)*boc_rr_bc_np-VLOOKUP(AZ39,boc_trpr_oc,11,TRUE)*boc_rr_oc_np-VLOOKUP(AZ39,mortt,2,FALSE))</f>
        <v>0.5820176114639587</v>
      </c>
      <c r="BK39" s="260">
        <f>BA38*VLOOKUP(AZ39,boc_trpr_bc,11,TRUE)*boc_rr_bc_mast+BB38*VLOOKUP(AZ39,boc_trpr_bc,11,TRUE)*boc_rr_bc_ooph+BC38*VLOOKUP(AZ39,boc_trpr_bc,11,TRUE)*boc_rr_bc_both+BD38*VLOOKUP(AZ39,boc_trpr_bc,11,TRUE)*boc_rr_bc_hip+BE38*VLOOKUP(AZ39,boc_trpr_bc,11,TRUE)*boc_rr_bc_hiv+BF38*VLOOKUP(AZ39,boc_trpr_bc,11,TRUE)*boc_rr_bc_modp+BG38*VLOOKUP(AZ39,boc_trpr_bc,11,TRUE)*boc_rr_bc_modv+BH38*VLOOKUP(AZ39,boc_trpr_bc,11,TRUE)*boc_rr_bc_lop+BI38*VLOOKUP(AZ39,boc_trpr_bc,11,TRUE)*boc_rr_bc_lov+BJ38*VLOOKUP(AZ39,boc_trpr_bc,11,TRUE)*boc_rr_bc_np</f>
        <v>2.915020683704383E-3</v>
      </c>
      <c r="BL39" s="260">
        <f>BA38*VLOOKUP(AZ39,boc_trpr_oc,11,TRUE)*boc_rr_oc_mast+BB38*VLOOKUP(AZ39,boc_trpr_oc,11,TRUE)*boc_rr_oc_ooph+BC38*VLOOKUP(AZ39,boc_trpr_oc,11,TRUE)*boc_rr_oc_both+BD38*VLOOKUP(AZ39,boc_trpr_oc,11,TRUE)*boc_rr_oc_hip+BE38*VLOOKUP(AZ39,boc_trpr_oc,11,TRUE)*boc_rr_oc_hiv+BF38*VLOOKUP(AZ39,boc_trpr_oc,11,TRUE)*boc_rr_oc_modp+BG38*VLOOKUP(AZ39,boc_trpr_oc,11,TRUE)*boc_rr_oc_modv+BH38*VLOOKUP(AZ39,boc_trpr_oc,11,TRUE)*boc_rr_oc_lop+BI38*VLOOKUP(AZ39,boc_trpr_oc,11,TRUE)*boc_rr_oc_lov+BJ38*VLOOKUP(AZ39,boc_trpr_oc,11,TRUE)*boc_rr_oc_np</f>
        <v>2.6648628688599881E-4</v>
      </c>
      <c r="BM39" s="260">
        <f>BK38*(1-VLOOKUP(AZ39,boc_trpr_bc_death,20,TRUE))+BL38*(1-VLOOKUP(AZ39,boc_trpr_oc_death,20,TRUE))+BM38*(1-VLOOKUP(AZ39,mortt,2,FALSE)*boc_rr_death_pc)</f>
        <v>6.3031162933994869E-2</v>
      </c>
      <c r="BN39" s="260">
        <f>BN38+SUM(BA38:BJ38)*VLOOKUP(AZ39,mortt,2,FALSE)+BK38*VLOOKUP(AZ39,boc_trpr_bc_death,20,TRUE)+BL38*VLOOKUP(AZ39,boc_trpr_bc_death,20,TRUE)+BM38*VLOOKUP(AZ39,mortt,2,FALSE)*boc_rr_death_pc</f>
        <v>0.31238484460980659</v>
      </c>
      <c r="BO39" s="260">
        <f t="shared" si="41"/>
        <v>1.0000022060643736</v>
      </c>
      <c r="BP39" s="118">
        <f>(boc_cost_mast*SUM(BD39,BF39,BH39)*(boc_tr_mast_path+boc_tr_both_path)+SUM(BE39,BG39,BI39)*(boc_tr_mast_vus+boc_tr_both_vus)+BK39*boc_cost_bc+BL39*boc_cost_oc+BM39*boc_cost_pc+(BK39*VLOOKUP(AZ39,boc_trpr_bc_death,20,TRUE)+BL39*VLOOKUP(AZ39,boc_trpr_oc_death,TRUE)*boc_cost_death))/((1+discount)^AY39)</f>
        <v>773.26507901674131</v>
      </c>
      <c r="BQ39" s="35">
        <f t="shared" si="48"/>
        <v>0.24361538240516803</v>
      </c>
      <c r="BR39" s="35">
        <f t="shared" si="49"/>
        <v>0.25924896123481217</v>
      </c>
      <c r="BS39" s="35"/>
      <c r="BU39" s="33">
        <v>51</v>
      </c>
      <c r="BV39" t="str">
        <f>$M$67</f>
        <v>boc_test_int_np_ooph</v>
      </c>
      <c r="BW39" s="35">
        <f>$F$67</f>
        <v>0.8</v>
      </c>
      <c r="BX39" s="35">
        <f>$G$67</f>
        <v>1.2</v>
      </c>
      <c r="BY39" s="311">
        <v>-7.822661960586629</v>
      </c>
      <c r="BZ39" s="311">
        <v>-7.3304268104575385</v>
      </c>
      <c r="CA39" s="311">
        <f t="shared" si="25"/>
        <v>0.49223515012909047</v>
      </c>
      <c r="CD39" s="138">
        <v>34</v>
      </c>
      <c r="CE39" s="291">
        <v>8.5999999999999998E-4</v>
      </c>
    </row>
    <row r="40" spans="2:105" ht="15" customHeight="1" x14ac:dyDescent="0.2">
      <c r="B40" s="19" t="s">
        <v>173</v>
      </c>
      <c r="C40" s="117">
        <f>1-SUM(C38:C39)</f>
        <v>0.10916442100000001</v>
      </c>
      <c r="D40" s="257"/>
      <c r="E40" s="257"/>
      <c r="F40" s="257"/>
      <c r="G40" s="257"/>
      <c r="I40" s="12"/>
      <c r="K40" s="12"/>
      <c r="L40" s="40"/>
      <c r="M40" s="247" t="s">
        <v>161</v>
      </c>
      <c r="N40" s="40" t="s">
        <v>49</v>
      </c>
      <c r="Q40" s="11"/>
      <c r="S40" s="11"/>
      <c r="AD40" s="12">
        <v>34</v>
      </c>
      <c r="AE40" s="12">
        <f t="shared" si="44"/>
        <v>79</v>
      </c>
      <c r="AF40" s="260">
        <f>AF39*(1-VLOOKUP(AE40,boc_trpr_bc,11,TRUE)*boc_rr_bc_mast-VLOOKUP(AE40,boc_trpr_oc,11,TRUE)*boc_rr_oc_mast-VLOOKUP(AE40,mortt,2,FALSE))+SUM(AI39,AK39,AM39)*boc_tr_mast_path+SUM(AJ39,AL39,AN39)*boc_tr_mast_vus</f>
        <v>1.4393547603189914E-2</v>
      </c>
      <c r="AG40" s="260">
        <f>AG39*(1-VLOOKUP(AE40,boc_trpr_bc,11,TRUE)*boc_rr_bc_ooph-VLOOKUP(AE40,boc_trpr_oc,11,TRUE)*boc_rr_oc_ooph-VLOOKUP(AE40,mortt,2,FALSE))+SUM(AI39,AK39,AM39)*boc_tr_ooph_path+SUM(AJ39,AL39,AN39)*boc_tr_ooph_vus</f>
        <v>1.3628579411899268E-2</v>
      </c>
      <c r="AH40" s="260">
        <f>AH39*(1-VLOOKUP(AE40,boc_trpr_bc,11,TRUE)*boc_rr_bc_both-VLOOKUP(AE40,boc_trpr_oc,11,TRUE)*boc_rr_oc_both-VLOOKUP(AE40,mortt,2,FALSE))+SUM(AI39,AK39,AM39)*boc_tr_both_path+SUM(AJ39,AL39,AN39)*boc_tr_both_vus</f>
        <v>1.4204562568193727E-2</v>
      </c>
      <c r="AI40" s="289">
        <f>AI39*(1-VLOOKUP(AE40,boc_trpr_bc,11,TRUE)*boc_rr_bc_hip-VLOOKUP(AE40,boc_trpr_oc,11,TRUE)*boc_rr_oc_hip-boc_tr_mast_path-boc_tr_ooph_path-boc_tr_both_path-VLOOKUP(AE40,mortt,2,FALSE))</f>
        <v>5.8615951465855407E-28</v>
      </c>
      <c r="AJ40" s="289">
        <f>AJ39*(1-VLOOKUP(AE40,boc_trpr_bc,11,TRUE)*boc_rr_bc_hiv-VLOOKUP(AE40,boc_trpr_oc,11,TRUE)*boc_rr_oc_hiv-boc_tr_mast_vus-boc_tr_ooph_vus-boc_tr_both_vus-VLOOKUP(AE40,mortt,2,FALSE))</f>
        <v>2.1125245448681177E-5</v>
      </c>
      <c r="AK40" s="289">
        <f>AK39*(1-VLOOKUP(AE40,boc_trpr_bc,11,TRUE)*boc_rr_bc_modp-VLOOKUP(AE40,boc_trpr_oc,11,TRUE)*boc_rr_oc_modp-boc_tr_mast_path-boc_tr_ooph_path-boc_tr_both_path-VLOOKUP(AE40,mortt,2,FALSE))</f>
        <v>2.2689946665772017E-25</v>
      </c>
      <c r="AL40" s="289">
        <f>AL39*(1-VLOOKUP(AE40,boc_trpr_bc,11,TRUE)*boc_rr_bc_modv-VLOOKUP(AE40,boc_trpr_oc,11,TRUE)*boc_rr_oc_modv-boc_tr_mast_vus-boc_tr_ooph_vus-boc_tr_both_vus-VLOOKUP(AE40,mortt,2,FALSE))</f>
        <v>2.6860277740652214E-5</v>
      </c>
      <c r="AM40" s="289">
        <f>AM39*(1-VLOOKUP(AE40,boc_trpr_bc,11,TRUE)*boc_rr_bc_lop-VLOOKUP(AE40,boc_trpr_oc,11,TRUE)*boc_rr_oc_lop-boc_tr_mast_path-boc_tr_ooph_path-boc_tr_both_path-VLOOKUP(AE40,mortt,2,FALSE))</f>
        <v>2.8772225235526598E-25</v>
      </c>
      <c r="AN40" s="289">
        <f>AN39*(1-VLOOKUP(AE40,boc_trpr_bc,11,TRUE)*boc_rr_bc_lov-VLOOKUP(AE40,boc_trpr_oc,11,TRUE)*boc_rr_oc_lov-boc_tr_mast_vus-boc_tr_ooph_vus-boc_tr_both_vus-VLOOKUP(AE40,mortt,2,FALSE))</f>
        <v>5.8802229938165185E-6</v>
      </c>
      <c r="AO40" s="260">
        <f>AO39*(1-VLOOKUP(AE40,boc_trpr_bc,11,TRUE)*boc_rr_bc_np-VLOOKUP(AE40,boc_trpr_oc,11,TRUE)*boc_rr_oc_np-VLOOKUP(AE40,mortt,2,FALSE))</f>
        <v>0.55715864836645046</v>
      </c>
      <c r="AP40" s="260">
        <f>AF39*VLOOKUP(AE40,boc_trpr_bc,11,TRUE)*boc_rr_bc_mast+AG39*VLOOKUP(AE40,boc_trpr_bc,11,TRUE)*boc_rr_bc_ooph+AH39*VLOOKUP(AE40,boc_trpr_bc,11,TRUE)*boc_rr_bc_both+AI39*VLOOKUP(AE40,boc_trpr_bc,11,TRUE)*boc_rr_bc_hip+AJ39*VLOOKUP(AE40,boc_trpr_bc,11,TRUE)*boc_rr_bc_hiv+AK39*VLOOKUP(AE40,boc_trpr_bc,11,TRUE)*boc_rr_bc_modp+AL39*VLOOKUP(AE40,boc_trpr_bc,11,TRUE)*boc_rr_bc_modv+AM39*VLOOKUP(AE40,boc_trpr_bc,11,TRUE)*boc_rr_bc_lop+AN39*VLOOKUP(AE40,boc_trpr_bc,11,TRUE)*boc_rr_bc_lov+AO39*VLOOKUP(AE40,boc_trpr_bc,11,TRUE)*boc_rr_bc_np</f>
        <v>2.667252920034488E-3</v>
      </c>
      <c r="AQ40" s="260">
        <f>AF39*VLOOKUP(AE40,boc_trpr_oc,11,TRUE)*boc_rr_oc_mast+AG39*VLOOKUP(AE40,boc_trpr_oc,11,TRUE)*boc_rr_oc_ooph+AH39*VLOOKUP(AE40,boc_trpr_oc,11,TRUE)*boc_rr_oc_both+AI39*VLOOKUP(AE40,boc_trpr_oc,11,TRUE)*boc_rr_oc_hip+AJ39*VLOOKUP(AE40,boc_trpr_oc,11,TRUE)*boc_rr_oc_hiv+AK39*VLOOKUP(AE40,boc_trpr_oc,11,TRUE)*boc_rr_oc_modp+AL39*VLOOKUP(AE40,boc_trpr_oc,11,TRUE)*boc_rr_oc_modv+AM39*VLOOKUP(AE40,boc_trpr_oc,11,TRUE)*boc_rr_oc_lop+AN39*VLOOKUP(AE40,boc_trpr_oc,11,TRUE)*boc_rr_oc_lov+AO39*VLOOKUP(AE40,boc_trpr_oc,11,TRUE)*boc_rr_oc_np</f>
        <v>2.7190382514985831E-4</v>
      </c>
      <c r="AR40" s="260">
        <f>AP39*(1-VLOOKUP(AE40,boc_trpr_bc_death,20,TRUE))+AQ39*(1-VLOOKUP(AE40,boc_trpr_oc_death,20,TRUE))+AR39*(1-VLOOKUP(AE40,mortt,2,FALSE)*boc_rr_death_pc)</f>
        <v>5.8700026553819021E-2</v>
      </c>
      <c r="AS40" s="260">
        <f>AS39+SUM(AF39:AO39)*VLOOKUP(AE40,mortt,2,FALSE)+AP39*VLOOKUP(AE40,boc_trpr_bc_death,20,TRUE)+AQ39*VLOOKUP(AE40,boc_trpr_bc_death,20,TRUE)+AR39*VLOOKUP(AE40,mortt,2,FALSE)*boc_rr_death_pc</f>
        <v>0.33892383100277523</v>
      </c>
      <c r="AT40" s="260">
        <f t="shared" si="40"/>
        <v>1.0000022179976951</v>
      </c>
      <c r="AU40" s="118">
        <f>(boc_cost_mast*SUM(AI40,AK40,AM40)*(boc_tr_mast_path+boc_tr_both_path)+SUM(AJ40,AL40,AN40)*(boc_tr_mast_vus+boc_tr_both_vus)+AP40*boc_cost_bc+AQ40*boc_cost_oc+AR40*boc_cost_pc+(AP40*VLOOKUP(AE40,boc_trpr_bc_death,20,TRUE)+AQ40*VLOOKUP(AE40,boc_trpr_oc_death,TRUE)*boc_cost_death))/((1+discount)^AD40)</f>
        <v>767.33200524257677</v>
      </c>
      <c r="AV40" s="35">
        <f t="shared" si="45"/>
        <v>0.22757489208838916</v>
      </c>
      <c r="AW40" s="35">
        <f t="shared" si="46"/>
        <v>0.24198356000283705</v>
      </c>
      <c r="AY40" s="12">
        <v>34</v>
      </c>
      <c r="AZ40" s="12">
        <f t="shared" si="47"/>
        <v>79</v>
      </c>
      <c r="BA40" s="260">
        <f>BA39*(1-VLOOKUP(AZ40,boc_trpr_bc,11,TRUE)*boc_rr_bc_mast-VLOOKUP(AZ40,boc_trpr_oc,11,TRUE)*boc_rr_oc_mast-VLOOKUP(AZ40,mortt,2,FALSE))</f>
        <v>6.5485262412402333E-3</v>
      </c>
      <c r="BB40" s="260">
        <f>BB39*(1-VLOOKUP(AZ40,boc_trpr_bc,11,TRUE)*boc_rr_bc_ooph-VLOOKUP(AZ40,boc_trpr_oc,11,TRUE)*boc_rr_oc_ooph-VLOOKUP(AZ40,mortt,2,FALSE))</f>
        <v>6.32272390931694E-3</v>
      </c>
      <c r="BC40" s="260">
        <f>BC39*(1-VLOOKUP(AZ40,boc_trpr_bc,11,TRUE)*boc_rr_bc_both-VLOOKUP(AZ40,boc_trpr_oc,11,TRUE)*boc_rr_oc_both-VLOOKUP(AZ40,mortt,2,FALSE))</f>
        <v>6.6331441568714565E-3</v>
      </c>
      <c r="BD40" s="289">
        <f>BD39*(1-VLOOKUP(AZ40,boc_trpr_bc,11,TRUE)*boc_rr_bc_hip-VLOOKUP(AZ40,boc_trpr_oc,11,TRUE)*boc_rr_oc_hip-VLOOKUP(AZ40,mortt,2,FALSE))</f>
        <v>4.1640211389855851E-4</v>
      </c>
      <c r="BE40" s="289">
        <f>BE39*(1-VLOOKUP(AZ40,boc_trpr_bc,11,TRUE)*boc_rr_bc_hiv-VLOOKUP(AZ40,boc_trpr_oc,11,TRUE)*boc_rr_oc_hiv-VLOOKUP(AZ40,mortt,2,FALSE))</f>
        <v>6.0802494190589241E-3</v>
      </c>
      <c r="BF40" s="289">
        <f>BF39*(1-VLOOKUP(AZ40,boc_trpr_bc,11,TRUE)*boc_rr_bc_modp-VLOOKUP(AZ40,boc_trpr_oc,11,TRUE)*boc_rr_oc_modp-VLOOKUP(AZ40,mortt,2,FALSE))</f>
        <v>1.7173676536378999E-3</v>
      </c>
      <c r="BG40" s="289">
        <f>BG39*(1-VLOOKUP(AZ40,boc_trpr_bc,11,TRUE)*boc_rr_bc_modv-VLOOKUP(AZ40,boc_trpr_oc,11,TRUE)*boc_rr_oc_modv-VLOOKUP(AZ40,mortt,2,FALSE))</f>
        <v>7.7309013296485759E-3</v>
      </c>
      <c r="BH40" s="289">
        <f>BH39*(1-VLOOKUP(AZ40,boc_trpr_bc,11,TRUE)*boc_rr_bc_lop-VLOOKUP(AZ40,boc_trpr_oc,11,TRUE)*boc_rr_oc_lop-VLOOKUP(AZ40,mortt,2,FALSE))</f>
        <v>5.6146348456352949E-4</v>
      </c>
      <c r="BI40" s="289">
        <f>BI39*(1-VLOOKUP(AZ40,boc_trpr_bc,11,TRUE)*boc_rr_bc_lov-VLOOKUP(AZ40,boc_trpr_oc,11,TRUE)*boc_rr_oc_lov-VLOOKUP(AZ40,mortt,2,FALSE))</f>
        <v>1.6924405696939174E-3</v>
      </c>
      <c r="BJ40" s="260">
        <f>BJ39*(1-VLOOKUP(AZ40,boc_trpr_bc,11,TRUE)*boc_rr_bc_np-VLOOKUP(AZ40,boc_trpr_oc,11,TRUE)*boc_rr_oc_np-VLOOKUP(AZ40,mortt,2,FALSE))</f>
        <v>0.55715864836645046</v>
      </c>
      <c r="BK40" s="260">
        <f>BA39*VLOOKUP(AZ40,boc_trpr_bc,11,TRUE)*boc_rr_bc_mast+BB39*VLOOKUP(AZ40,boc_trpr_bc,11,TRUE)*boc_rr_bc_ooph+BC39*VLOOKUP(AZ40,boc_trpr_bc,11,TRUE)*boc_rr_bc_both+BD39*VLOOKUP(AZ40,boc_trpr_bc,11,TRUE)*boc_rr_bc_hip+BE39*VLOOKUP(AZ40,boc_trpr_bc,11,TRUE)*boc_rr_bc_hiv+BF39*VLOOKUP(AZ40,boc_trpr_bc,11,TRUE)*boc_rr_bc_modp+BG39*VLOOKUP(AZ40,boc_trpr_bc,11,TRUE)*boc_rr_bc_modv+BH39*VLOOKUP(AZ40,boc_trpr_bc,11,TRUE)*boc_rr_bc_lop+BI39*VLOOKUP(AZ40,boc_trpr_bc,11,TRUE)*boc_rr_bc_lov+BJ39*VLOOKUP(AZ40,boc_trpr_bc,11,TRUE)*boc_rr_bc_np</f>
        <v>2.8013384727692504E-3</v>
      </c>
      <c r="BL40" s="260">
        <f>BA39*VLOOKUP(AZ40,boc_trpr_oc,11,TRUE)*boc_rr_oc_mast+BB39*VLOOKUP(AZ40,boc_trpr_oc,11,TRUE)*boc_rr_oc_ooph+BC39*VLOOKUP(AZ40,boc_trpr_oc,11,TRUE)*boc_rr_oc_both+BD39*VLOOKUP(AZ40,boc_trpr_oc,11,TRUE)*boc_rr_oc_hip+BE39*VLOOKUP(AZ40,boc_trpr_oc,11,TRUE)*boc_rr_oc_hiv+BF39*VLOOKUP(AZ40,boc_trpr_oc,11,TRUE)*boc_rr_oc_modp+BG39*VLOOKUP(AZ40,boc_trpr_oc,11,TRUE)*boc_rr_oc_modv+BH39*VLOOKUP(AZ40,boc_trpr_oc,11,TRUE)*boc_rr_oc_lop+BI39*VLOOKUP(AZ40,boc_trpr_oc,11,TRUE)*boc_rr_oc_lov+BJ39*VLOOKUP(AZ40,boc_trpr_oc,11,TRUE)*boc_rr_oc_np</f>
        <v>2.828373221287271E-4</v>
      </c>
      <c r="BM40" s="260">
        <f>BK39*(1-VLOOKUP(AZ40,boc_trpr_bc_death,20,TRUE))+BL39*(1-VLOOKUP(AZ40,boc_trpr_oc_death,20,TRUE))+BM39*(1-VLOOKUP(AZ40,mortt,2,FALSE)*boc_rr_death_pc)</f>
        <v>6.2640538409971441E-2</v>
      </c>
      <c r="BN40" s="260">
        <f>BN39+SUM(BA39:BJ39)*VLOOKUP(AZ40,mortt,2,FALSE)+BK39*VLOOKUP(AZ40,boc_trpr_bc_death,20,TRUE)+BL39*VLOOKUP(AZ40,boc_trpr_bc_death,20,TRUE)+BM39*VLOOKUP(AZ40,mortt,2,FALSE)*boc_rr_death_pc</f>
        <v>0.33941576415720348</v>
      </c>
      <c r="BO40" s="260">
        <f t="shared" si="41"/>
        <v>1.0000023456064533</v>
      </c>
      <c r="BP40" s="118">
        <f>(boc_cost_mast*SUM(BD40,BF40,BH40)*(boc_tr_mast_path+boc_tr_both_path)+SUM(BE40,BG40,BI40)*(boc_tr_mast_vus+boc_tr_both_vus)+BK40*boc_cost_bc+BL40*boc_cost_oc+BM40*boc_cost_pc+(BK40*VLOOKUP(AZ40,boc_trpr_bc_death,20,TRUE)+BL40*VLOOKUP(AZ40,boc_trpr_oc_death,TRUE)*boc_cost_death))/((1+discount)^AY40)</f>
        <v>809.62201722559848</v>
      </c>
      <c r="BQ40" s="35">
        <f t="shared" si="48"/>
        <v>0.2271457856212967</v>
      </c>
      <c r="BR40" s="35">
        <f t="shared" si="49"/>
        <v>0.24180349038064425</v>
      </c>
      <c r="BS40" s="35"/>
      <c r="BU40" s="33">
        <v>2</v>
      </c>
      <c r="BV40" t="str">
        <f>$M$68</f>
        <v>boc_test_int_np_both</v>
      </c>
      <c r="BW40" s="308">
        <f>$F$68</f>
        <v>0.8</v>
      </c>
      <c r="BX40" s="308">
        <f>$G$68</f>
        <v>1.2</v>
      </c>
      <c r="BY40" s="311">
        <v>-7.3950697566478993</v>
      </c>
      <c r="BZ40" s="311">
        <v>-7.7113259577349709</v>
      </c>
      <c r="CA40" s="311">
        <f t="shared" si="25"/>
        <v>0.31625620108707153</v>
      </c>
      <c r="CD40" s="138">
        <v>35</v>
      </c>
      <c r="CE40" s="291">
        <v>9.2500000000000004E-4</v>
      </c>
    </row>
    <row r="41" spans="2:105" ht="15" customHeight="1" x14ac:dyDescent="0.2">
      <c r="I41" s="12"/>
      <c r="J41" s="12"/>
      <c r="K41" s="12"/>
      <c r="L41" s="116"/>
      <c r="M41" s="248"/>
      <c r="Q41" s="11"/>
      <c r="S41" s="11"/>
      <c r="U41" s="9" t="s">
        <v>7</v>
      </c>
      <c r="V41" s="250">
        <f>boc_unk_int_mast*boc_test_int_vus_mast</f>
        <v>0.03</v>
      </c>
      <c r="X41" s="261">
        <f>R42*T42*V41</f>
        <v>8.8803145571091121E-5</v>
      </c>
      <c r="AD41" s="12">
        <v>35</v>
      </c>
      <c r="AE41" s="12">
        <f t="shared" si="44"/>
        <v>80</v>
      </c>
      <c r="AF41" s="260">
        <f>AF40*(1-VLOOKUP(AE41,boc_trpr_bc,11,TRUE)*boc_rr_bc_mast-VLOOKUP(AE41,boc_trpr_oc,11,TRUE)*boc_rr_oc_mast-VLOOKUP(AE41,mortt,2,FALSE))+SUM(AI40,AK40,AM40)*boc_tr_mast_path+SUM(AJ40,AL40,AN40)*boc_tr_mast_vus</f>
        <v>1.3776889727727441E-2</v>
      </c>
      <c r="AG41" s="260">
        <f>AG40*(1-VLOOKUP(AE41,boc_trpr_bc,11,TRUE)*boc_rr_bc_ooph-VLOOKUP(AE41,boc_trpr_oc,11,TRUE)*boc_rr_oc_ooph-VLOOKUP(AE41,mortt,2,FALSE))+SUM(AI40,AK40,AM40)*boc_tr_ooph_path+SUM(AJ40,AL40,AN40)*boc_tr_ooph_vus</f>
        <v>1.3024817350813525E-2</v>
      </c>
      <c r="AH41" s="260">
        <f>AH40*(1-VLOOKUP(AE41,boc_trpr_bc,11,TRUE)*boc_rr_bc_both-VLOOKUP(AE41,boc_trpr_oc,11,TRUE)*boc_rr_oc_both-VLOOKUP(AE41,mortt,2,FALSE))+SUM(AI40,AK40,AM40)*boc_tr_both_path+SUM(AJ40,AL40,AN40)*boc_tr_both_vus</f>
        <v>1.3604630926445345E-2</v>
      </c>
      <c r="AI41" s="289">
        <f>AI40*(1-VLOOKUP(AE41,boc_trpr_bc,11,TRUE)*boc_rr_bc_hip-VLOOKUP(AE41,boc_trpr_oc,11,TRUE)*boc_rr_oc_hip-boc_tr_mast_path-boc_tr_ooph_path-boc_tr_both_path-VLOOKUP(AE41,mortt,2,FALSE))</f>
        <v>7.8230291837777949E-29</v>
      </c>
      <c r="AJ41" s="289">
        <f>AJ40*(1-VLOOKUP(AE41,boc_trpr_bc,11,TRUE)*boc_rr_bc_hiv-VLOOKUP(AE41,boc_trpr_oc,11,TRUE)*boc_rr_oc_hiv-boc_tr_mast_vus-boc_tr_ooph_vus-boc_tr_both_vus-VLOOKUP(AE41,mortt,2,FALSE))</f>
        <v>1.6951239751587003E-5</v>
      </c>
      <c r="AK41" s="289">
        <f>AK40*(1-VLOOKUP(AE41,boc_trpr_bc,11,TRUE)*boc_rr_bc_modp-VLOOKUP(AE41,boc_trpr_oc,11,TRUE)*boc_rr_oc_modp-boc_tr_mast_path-boc_tr_ooph_path-boc_tr_both_path-VLOOKUP(AE41,mortt,2,FALSE))</f>
        <v>4.1538369022619169E-26</v>
      </c>
      <c r="AL41" s="289">
        <f>AL40*(1-VLOOKUP(AE41,boc_trpr_bc,11,TRUE)*boc_rr_bc_modv-VLOOKUP(AE41,boc_trpr_oc,11,TRUE)*boc_rr_oc_modv-boc_tr_mast_vus-boc_tr_ooph_vus-boc_tr_both_vus-VLOOKUP(AE41,mortt,2,FALSE))</f>
        <v>2.1553122726175758E-5</v>
      </c>
      <c r="AM41" s="289">
        <f>AM40*(1-VLOOKUP(AE41,boc_trpr_bc,11,TRUE)*boc_rr_bc_lop-VLOOKUP(AE41,boc_trpr_oc,11,TRUE)*boc_rr_oc_lop-boc_tr_mast_path-boc_tr_ooph_path-boc_tr_both_path-VLOOKUP(AE41,mortt,2,FALSE))</f>
        <v>5.7668730999053153E-26</v>
      </c>
      <c r="AN41" s="289">
        <f>AN40*(1-VLOOKUP(AE41,boc_trpr_bc,11,TRUE)*boc_rr_bc_lov-VLOOKUP(AE41,boc_trpr_oc,11,TRUE)*boc_rr_oc_lov-boc_tr_mast_vus-boc_tr_ooph_vus-boc_tr_both_vus-VLOOKUP(AE41,mortt,2,FALSE))</f>
        <v>4.7183863497880074E-6</v>
      </c>
      <c r="AO41" s="260">
        <f>AO40*(1-VLOOKUP(AE41,boc_trpr_bc,11,TRUE)*boc_rr_bc_np-VLOOKUP(AE41,boc_trpr_oc,11,TRUE)*boc_rr_oc_np-VLOOKUP(AE41,mortt,2,FALSE))</f>
        <v>0.53092332766111872</v>
      </c>
      <c r="AP41" s="260">
        <f>AF40*VLOOKUP(AE41,boc_trpr_bc,11,TRUE)*boc_rr_bc_mast+AG40*VLOOKUP(AE41,boc_trpr_bc,11,TRUE)*boc_rr_bc_ooph+AH40*VLOOKUP(AE41,boc_trpr_bc,11,TRUE)*boc_rr_bc_both+AI40*VLOOKUP(AE41,boc_trpr_bc,11,TRUE)*boc_rr_bc_hip+AJ40*VLOOKUP(AE41,boc_trpr_bc,11,TRUE)*boc_rr_bc_hiv+AK40*VLOOKUP(AE41,boc_trpr_bc,11,TRUE)*boc_rr_bc_modp+AL40*VLOOKUP(AE41,boc_trpr_bc,11,TRUE)*boc_rr_bc_modv+AM40*VLOOKUP(AE41,boc_trpr_bc,11,TRUE)*boc_rr_bc_lop+AN40*VLOOKUP(AE41,boc_trpr_bc,11,TRUE)*boc_rr_bc_lov+AO40*VLOOKUP(AE41,boc_trpr_bc,11,TRUE)*boc_rr_bc_np</f>
        <v>2.5534175167320253E-3</v>
      </c>
      <c r="AQ41" s="260">
        <f>AF40*VLOOKUP(AE41,boc_trpr_oc,11,TRUE)*boc_rr_oc_mast+AG40*VLOOKUP(AE41,boc_trpr_oc,11,TRUE)*boc_rr_oc_ooph+AH40*VLOOKUP(AE41,boc_trpr_oc,11,TRUE)*boc_rr_oc_both+AI40*VLOOKUP(AE41,boc_trpr_oc,11,TRUE)*boc_rr_oc_hip+AJ40*VLOOKUP(AE41,boc_trpr_oc,11,TRUE)*boc_rr_oc_hiv+AK40*VLOOKUP(AE41,boc_trpr_oc,11,TRUE)*boc_rr_oc_modp+AL40*VLOOKUP(AE41,boc_trpr_oc,11,TRUE)*boc_rr_oc_modv+AM40*VLOOKUP(AE41,boc_trpr_oc,11,TRUE)*boc_rr_oc_lop+AN40*VLOOKUP(AE41,boc_trpr_oc,11,TRUE)*boc_rr_oc_lov+AO40*VLOOKUP(AE41,boc_trpr_oc,11,TRUE)*boc_rr_oc_np</f>
        <v>2.6032243015399489E-4</v>
      </c>
      <c r="AR41" s="260">
        <f>AP40*(1-VLOOKUP(AE41,boc_trpr_bc_death,20,TRUE))+AQ40*(1-VLOOKUP(AE41,boc_trpr_oc_death,20,TRUE))+AR40*(1-VLOOKUP(AE41,mortt,2,FALSE)*boc_rr_death_pc)</f>
        <v>5.7927236095131507E-2</v>
      </c>
      <c r="AS41" s="260">
        <f>AS40+SUM(AF40:AO40)*VLOOKUP(AE41,mortt,2,FALSE)+AP40*VLOOKUP(AE41,boc_trpr_bc_death,20,TRUE)+AQ40*VLOOKUP(AE41,boc_trpr_bc_death,20,TRUE)+AR40*VLOOKUP(AE41,mortt,2,FALSE)*boc_rr_death_pc</f>
        <v>0.36788849591964817</v>
      </c>
      <c r="AT41" s="260">
        <f t="shared" si="40"/>
        <v>1.0000023603765982</v>
      </c>
      <c r="AU41" s="118">
        <f>(boc_cost_mast*SUM(AI41,AK41,AM41)*(boc_tr_mast_path+boc_tr_both_path)+SUM(AJ41,AL41,AN41)*(boc_tr_mast_vus+boc_tr_both_vus)+AP41*boc_cost_bc+AQ41*boc_cost_oc+AR41*boc_cost_pc+(AP41*VLOOKUP(AE41,boc_trpr_bc_death,20,TRUE)+AQ41*VLOOKUP(AE41,boc_trpr_oc_death,TRUE)*boc_cost_death))/((1+discount)^AD41)</f>
        <v>717.99527275015373</v>
      </c>
      <c r="AV41" s="35">
        <f t="shared" si="45"/>
        <v>0.21120184943005818</v>
      </c>
      <c r="AW41" s="35">
        <f t="shared" si="46"/>
        <v>0.22464193411384573</v>
      </c>
      <c r="AY41" s="12">
        <v>35</v>
      </c>
      <c r="AZ41" s="12">
        <f t="shared" si="47"/>
        <v>80</v>
      </c>
      <c r="BA41" s="260">
        <f>BA40*(1-VLOOKUP(AZ41,boc_trpr_bc,11,TRUE)*boc_rr_bc_mast-VLOOKUP(AZ41,boc_trpr_oc,11,TRUE)*boc_rr_oc_mast-VLOOKUP(AZ41,mortt,2,FALSE))</f>
        <v>6.266744608680529E-3</v>
      </c>
      <c r="BB41" s="260">
        <f>BB40*(1-VLOOKUP(AZ41,boc_trpr_bc,11,TRUE)*boc_rr_bc_ooph-VLOOKUP(AZ41,boc_trpr_oc,11,TRUE)*boc_rr_oc_ooph-VLOOKUP(AZ41,mortt,2,FALSE))</f>
        <v>6.0413703202640947E-3</v>
      </c>
      <c r="BC41" s="260">
        <f>BC40*(1-VLOOKUP(AZ41,boc_trpr_bc,11,TRUE)*boc_rr_bc_both-VLOOKUP(AZ41,boc_trpr_oc,11,TRUE)*boc_rr_oc_both-VLOOKUP(AZ41,mortt,2,FALSE))</f>
        <v>6.3517347148155873E-3</v>
      </c>
      <c r="BD41" s="289">
        <f>BD40*(1-VLOOKUP(AZ41,boc_trpr_bc,11,TRUE)*boc_rr_bc_hip-VLOOKUP(AZ41,boc_trpr_oc,11,TRUE)*boc_rr_oc_hip-VLOOKUP(AZ41,mortt,2,FALSE))</f>
        <v>3.6787563664635346E-4</v>
      </c>
      <c r="BE41" s="289">
        <f>BE40*(1-VLOOKUP(AZ41,boc_trpr_bc,11,TRUE)*boc_rr_bc_hiv-VLOOKUP(AZ41,boc_trpr_oc,11,TRUE)*boc_rr_oc_hiv-VLOOKUP(AZ41,mortt,2,FALSE))</f>
        <v>5.7909282121299931E-3</v>
      </c>
      <c r="BF41" s="289">
        <f>BF40*(1-VLOOKUP(AZ41,boc_trpr_bc,11,TRUE)*boc_rr_bc_modp-VLOOKUP(AZ41,boc_trpr_oc,11,TRUE)*boc_rr_oc_modp-VLOOKUP(AZ41,mortt,2,FALSE))</f>
        <v>1.6024233560321354E-3</v>
      </c>
      <c r="BG41" s="289">
        <f>BG40*(1-VLOOKUP(AZ41,boc_trpr_bc,11,TRUE)*boc_rr_bc_modv-VLOOKUP(AZ41,boc_trpr_oc,11,TRUE)*boc_rr_oc_modv-VLOOKUP(AZ41,mortt,2,FALSE))</f>
        <v>7.3630358772328762E-3</v>
      </c>
      <c r="BH41" s="289">
        <f>BH40*(1-VLOOKUP(AZ41,boc_trpr_bc,11,TRUE)*boc_rr_bc_lop-VLOOKUP(AZ41,boc_trpr_oc,11,TRUE)*boc_rr_oc_lop-VLOOKUP(AZ41,mortt,2,FALSE))</f>
        <v>5.3363283234309845E-4</v>
      </c>
      <c r="BI41" s="289">
        <f>BI40*(1-VLOOKUP(AZ41,boc_trpr_bc,11,TRUE)*boc_rr_bc_lov-VLOOKUP(AZ41,boc_trpr_oc,11,TRUE)*boc_rr_oc_lov-VLOOKUP(AZ41,mortt,2,FALSE))</f>
        <v>1.6119078621466801E-3</v>
      </c>
      <c r="BJ41" s="260">
        <f>BJ40*(1-VLOOKUP(AZ41,boc_trpr_bc,11,TRUE)*boc_rr_bc_np-VLOOKUP(AZ41,boc_trpr_oc,11,TRUE)*boc_rr_oc_np-VLOOKUP(AZ41,mortt,2,FALSE))</f>
        <v>0.53092332766111872</v>
      </c>
      <c r="BK41" s="260">
        <f>BA40*VLOOKUP(AZ41,boc_trpr_bc,11,TRUE)*boc_rr_bc_mast+BB40*VLOOKUP(AZ41,boc_trpr_bc,11,TRUE)*boc_rr_bc_ooph+BC40*VLOOKUP(AZ41,boc_trpr_bc,11,TRUE)*boc_rr_bc_both+BD40*VLOOKUP(AZ41,boc_trpr_bc,11,TRUE)*boc_rr_bc_hip+BE40*VLOOKUP(AZ41,boc_trpr_bc,11,TRUE)*boc_rr_bc_hiv+BF40*VLOOKUP(AZ41,boc_trpr_bc,11,TRUE)*boc_rr_bc_modp+BG40*VLOOKUP(AZ41,boc_trpr_bc,11,TRUE)*boc_rr_bc_modv+BH40*VLOOKUP(AZ41,boc_trpr_bc,11,TRUE)*boc_rr_bc_lop+BI40*VLOOKUP(AZ41,boc_trpr_bc,11,TRUE)*boc_rr_bc_lov+BJ40*VLOOKUP(AZ41,boc_trpr_bc,11,TRUE)*boc_rr_bc_np</f>
        <v>2.6786752848836507E-3</v>
      </c>
      <c r="BL41" s="260">
        <f>BA40*VLOOKUP(AZ41,boc_trpr_oc,11,TRUE)*boc_rr_oc_mast+BB40*VLOOKUP(AZ41,boc_trpr_oc,11,TRUE)*boc_rr_oc_ooph+BC40*VLOOKUP(AZ41,boc_trpr_oc,11,TRUE)*boc_rr_oc_both+BD40*VLOOKUP(AZ41,boc_trpr_oc,11,TRUE)*boc_rr_oc_hip+BE40*VLOOKUP(AZ41,boc_trpr_oc,11,TRUE)*boc_rr_oc_hiv+BF40*VLOOKUP(AZ41,boc_trpr_oc,11,TRUE)*boc_rr_oc_modp+BG40*VLOOKUP(AZ41,boc_trpr_oc,11,TRUE)*boc_rr_oc_modv+BH40*VLOOKUP(AZ41,boc_trpr_oc,11,TRUE)*boc_rr_oc_lop+BI40*VLOOKUP(AZ41,boc_trpr_oc,11,TRUE)*boc_rr_oc_lov+BJ40*VLOOKUP(AZ41,boc_trpr_oc,11,TRUE)*boc_rr_oc_np</f>
        <v>2.7046499668271909E-4</v>
      </c>
      <c r="BM41" s="260">
        <f>BK40*(1-VLOOKUP(AZ41,boc_trpr_bc_death,20,TRUE))+BL40*(1-VLOOKUP(AZ41,boc_trpr_oc_death,20,TRUE))+BM40*(1-VLOOKUP(AZ41,mortt,2,FALSE)*boc_rr_death_pc)</f>
        <v>6.1763631384651886E-2</v>
      </c>
      <c r="BN41" s="260">
        <f>BN40+SUM(BA40:BJ40)*VLOOKUP(AZ41,mortt,2,FALSE)+BK40*VLOOKUP(AZ41,boc_trpr_bc_death,20,TRUE)+BL40*VLOOKUP(AZ41,boc_trpr_bc_death,20,TRUE)+BM40*VLOOKUP(AZ41,mortt,2,FALSE)*boc_rr_death_pc</f>
        <v>0.36843674096291185</v>
      </c>
      <c r="BO41" s="260">
        <f t="shared" si="41"/>
        <v>1.0000024937105401</v>
      </c>
      <c r="BP41" s="118">
        <f>(boc_cost_mast*SUM(BD41,BF41,BH41)*(boc_tr_mast_path+boc_tr_both_path)+SUM(BE41,BG41,BI41)*(boc_tr_mast_vus+boc_tr_both_vus)+BK41*boc_cost_bc+BL41*boc_cost_oc+BM41*boc_cost_pc+(BK41*VLOOKUP(AZ41,boc_trpr_bc_death,20,TRUE)+BL41*VLOOKUP(AZ41,boc_trpr_oc_death,TRUE)*boc_cost_death))/((1+discount)^AY41)</f>
        <v>756.61270057124284</v>
      </c>
      <c r="BQ41" s="35">
        <f t="shared" si="48"/>
        <v>0.21077642750354292</v>
      </c>
      <c r="BR41" s="35">
        <f t="shared" si="49"/>
        <v>0.22444709692753909</v>
      </c>
      <c r="BS41" s="35"/>
      <c r="BU41" s="33">
        <v>34</v>
      </c>
      <c r="BV41" t="str">
        <f>$M$72</f>
        <v>boc_unk_int_mast</v>
      </c>
      <c r="BW41" s="35">
        <f>$F$72</f>
        <v>8.0000000000000002E-3</v>
      </c>
      <c r="BX41" s="35">
        <f>$G$72</f>
        <v>1.2E-2</v>
      </c>
      <c r="BY41" s="311">
        <v>-7.4247255383925221</v>
      </c>
      <c r="BZ41" s="311">
        <v>-7.6764529317492816</v>
      </c>
      <c r="CA41" s="311">
        <f t="shared" si="25"/>
        <v>0.25172739335675942</v>
      </c>
      <c r="CD41" s="138">
        <v>36</v>
      </c>
      <c r="CE41" s="291">
        <v>1E-3</v>
      </c>
    </row>
    <row r="42" spans="2:105" ht="15" customHeight="1" x14ac:dyDescent="0.25">
      <c r="B42" s="94" t="s">
        <v>50</v>
      </c>
      <c r="I42" s="12"/>
      <c r="J42" s="12"/>
      <c r="K42" s="12"/>
      <c r="L42" s="116"/>
      <c r="M42" s="248"/>
      <c r="Q42" s="9" t="s">
        <v>14</v>
      </c>
      <c r="R42" s="263">
        <f>$L$7*boc_find_low</f>
        <v>1.0916442100000001E-2</v>
      </c>
      <c r="S42" s="9" t="s">
        <v>12</v>
      </c>
      <c r="T42" s="251">
        <f>boc_path_low_vus</f>
        <v>0.27116022099999998</v>
      </c>
      <c r="U42" s="9" t="s">
        <v>8</v>
      </c>
      <c r="V42" s="250">
        <f>boc_unk_int_ooph*boc_test_int_vus_ooph</f>
        <v>0.02</v>
      </c>
      <c r="Y42" s="261">
        <f>R42*T42*V42</f>
        <v>5.9202097047394087E-5</v>
      </c>
      <c r="AD42" s="12">
        <v>36</v>
      </c>
      <c r="AE42" s="12">
        <f t="shared" si="44"/>
        <v>81</v>
      </c>
      <c r="AF42" s="260">
        <f>AF41*(1-VLOOKUP(AE42,boc_trpr_bc,11,TRUE)*boc_rr_bc_mast-VLOOKUP(AE42,boc_trpr_oc,11,TRUE)*boc_rr_oc_mast-VLOOKUP(AE42,mortt,2,FALSE))+SUM(AI41,AK41,AM41)*boc_tr_mast_path+SUM(AJ41,AL41,AN41)*boc_tr_mast_vus</f>
        <v>1.3120422151855465E-2</v>
      </c>
      <c r="AG42" s="260">
        <f>AG41*(1-VLOOKUP(AE42,boc_trpr_bc,11,TRUE)*boc_rr_bc_ooph-VLOOKUP(AE42,boc_trpr_oc,11,TRUE)*boc_rr_oc_ooph-VLOOKUP(AE42,mortt,2,FALSE))+SUM(AI41,AK41,AM41)*boc_tr_ooph_path+SUM(AJ41,AL41,AN41)*boc_tr_ooph_vus</f>
        <v>1.2385170270984442E-2</v>
      </c>
      <c r="AH42" s="260">
        <f>AH41*(1-VLOOKUP(AE42,boc_trpr_bc,11,TRUE)*boc_rr_bc_both-VLOOKUP(AE42,boc_trpr_oc,11,TRUE)*boc_rr_oc_both-VLOOKUP(AE42,mortt,2,FALSE))+SUM(AI41,AK41,AM41)*boc_tr_both_path+SUM(AJ41,AL41,AN41)*boc_tr_both_vus</f>
        <v>1.2964629759147609E-2</v>
      </c>
      <c r="AI42" s="289">
        <f>AI41*(1-VLOOKUP(AE42,boc_trpr_bc,11,TRUE)*boc_rr_bc_hip-VLOOKUP(AE42,boc_trpr_oc,11,TRUE)*boc_rr_oc_hip-boc_tr_mast_path-boc_tr_ooph_path-boc_tr_both_path-VLOOKUP(AE42,mortt,2,FALSE))</f>
        <v>1.0067101232420956E-29</v>
      </c>
      <c r="AJ42" s="289">
        <f>AJ41*(1-VLOOKUP(AE42,boc_trpr_bc,11,TRUE)*boc_rr_bc_hiv-VLOOKUP(AE42,boc_trpr_oc,11,TRUE)*boc_rr_oc_hiv-boc_tr_mast_vus-boc_tr_ooph_vus-boc_tr_both_vus-VLOOKUP(AE42,mortt,2,FALSE))</f>
        <v>1.3520973775523559E-5</v>
      </c>
      <c r="AK42" s="289">
        <f>AK41*(1-VLOOKUP(AE42,boc_trpr_bc,11,TRUE)*boc_rr_bc_modp-VLOOKUP(AE42,boc_trpr_oc,11,TRUE)*boc_rr_oc_modp-boc_tr_mast_path-boc_tr_ooph_path-boc_tr_both_path-VLOOKUP(AE42,mortt,2,FALSE))</f>
        <v>7.4059791301368336E-27</v>
      </c>
      <c r="AL42" s="289">
        <f>AL41*(1-VLOOKUP(AE42,boc_trpr_bc,11,TRUE)*boc_rr_bc_modv-VLOOKUP(AE42,boc_trpr_oc,11,TRUE)*boc_rr_oc_modv-boc_tr_mast_vus-boc_tr_ooph_vus-boc_tr_both_vus-VLOOKUP(AE42,mortt,2,FALSE))</f>
        <v>1.719161615503551E-5</v>
      </c>
      <c r="AM42" s="289">
        <f>AM41*(1-VLOOKUP(AE42,boc_trpr_bc,11,TRUE)*boc_rr_bc_lop-VLOOKUP(AE42,boc_trpr_oc,11,TRUE)*boc_rr_oc_lop-boc_tr_mast_path-boc_tr_ooph_path-boc_tr_both_path-VLOOKUP(AE42,mortt,2,FALSE))</f>
        <v>1.1283172459927547E-26</v>
      </c>
      <c r="AN42" s="289">
        <f>AN41*(1-VLOOKUP(AE42,boc_trpr_bc,11,TRUE)*boc_rr_bc_lov-VLOOKUP(AE42,boc_trpr_oc,11,TRUE)*boc_rr_oc_lov-boc_tr_mast_vus-boc_tr_ooph_vus-boc_tr_both_vus-VLOOKUP(AE42,mortt,2,FALSE))</f>
        <v>3.7635700416719774E-6</v>
      </c>
      <c r="AO42" s="260">
        <f>AO41*(1-VLOOKUP(AE42,boc_trpr_bc,11,TRUE)*boc_rr_bc_np-VLOOKUP(AE42,boc_trpr_oc,11,TRUE)*boc_rr_oc_np-VLOOKUP(AE42,mortt,2,FALSE))</f>
        <v>0.50338714719712718</v>
      </c>
      <c r="AP42" s="260">
        <f>AF41*VLOOKUP(AE42,boc_trpr_bc,11,TRUE)*boc_rr_bc_mast+AG41*VLOOKUP(AE42,boc_trpr_bc,11,TRUE)*boc_rr_bc_ooph+AH41*VLOOKUP(AE42,boc_trpr_bc,11,TRUE)*boc_rr_bc_both+AI41*VLOOKUP(AE42,boc_trpr_bc,11,TRUE)*boc_rr_bc_hip+AJ41*VLOOKUP(AE42,boc_trpr_bc,11,TRUE)*boc_rr_bc_hiv+AK41*VLOOKUP(AE42,boc_trpr_bc,11,TRUE)*boc_rr_bc_modp+AL41*VLOOKUP(AE42,boc_trpr_bc,11,TRUE)*boc_rr_bc_modv+AM41*VLOOKUP(AE42,boc_trpr_bc,11,TRUE)*boc_rr_bc_lop+AN41*VLOOKUP(AE42,boc_trpr_bc,11,TRUE)*boc_rr_bc_lov+AO41*VLOOKUP(AE42,boc_trpr_bc,11,TRUE)*boc_rr_bc_np</f>
        <v>2.4332731611866939E-3</v>
      </c>
      <c r="AQ42" s="260">
        <f>AF41*VLOOKUP(AE42,boc_trpr_oc,11,TRUE)*boc_rr_oc_mast+AG41*VLOOKUP(AE42,boc_trpr_oc,11,TRUE)*boc_rr_oc_ooph+AH41*VLOOKUP(AE42,boc_trpr_oc,11,TRUE)*boc_rr_oc_both+AI41*VLOOKUP(AE42,boc_trpr_oc,11,TRUE)*boc_rr_oc_hip+AJ41*VLOOKUP(AE42,boc_trpr_oc,11,TRUE)*boc_rr_oc_hiv+AK41*VLOOKUP(AE42,boc_trpr_oc,11,TRUE)*boc_rr_oc_modp+AL41*VLOOKUP(AE42,boc_trpr_oc,11,TRUE)*boc_rr_oc_modv+AM41*VLOOKUP(AE42,boc_trpr_oc,11,TRUE)*boc_rr_oc_lop+AN41*VLOOKUP(AE42,boc_trpr_oc,11,TRUE)*boc_rr_oc_lov+AO41*VLOOKUP(AE42,boc_trpr_oc,11,TRUE)*boc_rr_oc_np</f>
        <v>2.4809575644502287E-4</v>
      </c>
      <c r="AR42" s="260">
        <f>AP41*(1-VLOOKUP(AE42,boc_trpr_bc_death,20,TRUE))+AQ41*(1-VLOOKUP(AE42,boc_trpr_oc_death,20,TRUE))+AR41*(1-VLOOKUP(AE42,mortt,2,FALSE)*boc_rr_death_pc)</f>
        <v>5.6662897894807711E-2</v>
      </c>
      <c r="AS42" s="260">
        <f>AS41+SUM(AF41:AO41)*VLOOKUP(AE42,mortt,2,FALSE)+AP41*VLOOKUP(AE42,boc_trpr_bc_death,20,TRUE)+AQ41*VLOOKUP(AE42,boc_trpr_bc_death,20,TRUE)+AR41*VLOOKUP(AE42,mortt,2,FALSE)*boc_rr_death_pc</f>
        <v>0.39876638433952821</v>
      </c>
      <c r="AT42" s="260">
        <f t="shared" si="40"/>
        <v>1.0000024966910546</v>
      </c>
      <c r="AU42" s="118">
        <f>(boc_cost_mast*SUM(AI42,AK42,AM42)*(boc_tr_mast_path+boc_tr_both_path)+SUM(AJ42,AL42,AN42)*(boc_tr_mast_vus+boc_tr_both_vus)+AP42*boc_cost_bc+AQ42*boc_cost_oc+AR42*boc_cost_pc+(AP42*VLOOKUP(AE42,boc_trpr_bc_death,20,TRUE)+AQ42*VLOOKUP(AE42,boc_trpr_oc_death,TRUE)*boc_cost_death))/((1+discount)^AD42)</f>
        <v>668.22519280368897</v>
      </c>
      <c r="AV42" s="35">
        <f t="shared" si="45"/>
        <v>0.19497970963839897</v>
      </c>
      <c r="AW42" s="35">
        <f t="shared" si="46"/>
        <v>0.20744509243693257</v>
      </c>
      <c r="AY42" s="12">
        <v>36</v>
      </c>
      <c r="AZ42" s="12">
        <f t="shared" si="47"/>
        <v>81</v>
      </c>
      <c r="BA42" s="260">
        <f>BA41*(1-VLOOKUP(AZ42,boc_trpr_bc,11,TRUE)*boc_rr_bc_mast-VLOOKUP(AZ42,boc_trpr_oc,11,TRUE)*boc_rr_oc_mast-VLOOKUP(AZ42,mortt,2,FALSE))</f>
        <v>5.9671517383121384E-3</v>
      </c>
      <c r="BB42" s="260">
        <f>BB41*(1-VLOOKUP(AZ42,boc_trpr_bc,11,TRUE)*boc_rr_bc_ooph-VLOOKUP(AZ42,boc_trpr_oc,11,TRUE)*boc_rr_oc_ooph-VLOOKUP(AZ42,mortt,2,FALSE))</f>
        <v>5.7436770006048217E-3</v>
      </c>
      <c r="BC42" s="260">
        <f>BC41*(1-VLOOKUP(AZ42,boc_trpr_bc,11,TRUE)*boc_rr_bc_both-VLOOKUP(AZ42,boc_trpr_oc,11,TRUE)*boc_rr_oc_both-VLOOKUP(AZ42,mortt,2,FALSE))</f>
        <v>6.0519217595351353E-3</v>
      </c>
      <c r="BD42" s="289">
        <f>BD41*(1-VLOOKUP(AZ42,boc_trpr_bc,11,TRUE)*boc_rr_bc_hip-VLOOKUP(AZ42,boc_trpr_oc,11,TRUE)*boc_rr_oc_hip-VLOOKUP(AZ42,mortt,2,FALSE))</f>
        <v>3.2324697367405172E-4</v>
      </c>
      <c r="BE42" s="289">
        <f>BE41*(1-VLOOKUP(AZ42,boc_trpr_bc,11,TRUE)*boc_rr_bc_hiv-VLOOKUP(AZ42,boc_trpr_oc,11,TRUE)*boc_rr_oc_hiv-VLOOKUP(AZ42,mortt,2,FALSE))</f>
        <v>5.4877107357086882E-3</v>
      </c>
      <c r="BF42" s="289">
        <f>BF41*(1-VLOOKUP(AZ42,boc_trpr_bc,11,TRUE)*boc_rr_bc_modp-VLOOKUP(AZ42,boc_trpr_oc,11,TRUE)*boc_rr_oc_modp-VLOOKUP(AZ42,mortt,2,FALSE))</f>
        <v>1.4875175628288736E-3</v>
      </c>
      <c r="BG42" s="289">
        <f>BG41*(1-VLOOKUP(AZ42,boc_trpr_bc,11,TRUE)*boc_rr_bc_modv-VLOOKUP(AZ42,boc_trpr_oc,11,TRUE)*boc_rr_oc_modv-VLOOKUP(AZ42,mortt,2,FALSE))</f>
        <v>6.9775016285406619E-3</v>
      </c>
      <c r="BH42" s="289">
        <f>BH41*(1-VLOOKUP(AZ42,boc_trpr_bc,11,TRUE)*boc_rr_bc_lop-VLOOKUP(AZ42,boc_trpr_oc,11,TRUE)*boc_rr_oc_lop-VLOOKUP(AZ42,mortt,2,FALSE))</f>
        <v>5.0463252734965372E-4</v>
      </c>
      <c r="BI42" s="289">
        <f>BI41*(1-VLOOKUP(AZ42,boc_trpr_bc,11,TRUE)*boc_rr_bc_lov-VLOOKUP(AZ42,boc_trpr_oc,11,TRUE)*boc_rr_oc_lov-VLOOKUP(AZ42,mortt,2,FALSE))</f>
        <v>1.5275071208009322E-3</v>
      </c>
      <c r="BJ42" s="260">
        <f>BJ41*(1-VLOOKUP(AZ42,boc_trpr_bc,11,TRUE)*boc_rr_bc_np-VLOOKUP(AZ42,boc_trpr_oc,11,TRUE)*boc_rr_oc_np-VLOOKUP(AZ42,mortt,2,FALSE))</f>
        <v>0.50338714719712718</v>
      </c>
      <c r="BK42" s="260">
        <f>BA41*VLOOKUP(AZ42,boc_trpr_bc,11,TRUE)*boc_rr_bc_mast+BB41*VLOOKUP(AZ42,boc_trpr_bc,11,TRUE)*boc_rr_bc_ooph+BC41*VLOOKUP(AZ42,boc_trpr_bc,11,TRUE)*boc_rr_bc_both+BD41*VLOOKUP(AZ42,boc_trpr_bc,11,TRUE)*boc_rr_bc_hip+BE41*VLOOKUP(AZ42,boc_trpr_bc,11,TRUE)*boc_rr_bc_hiv+BF41*VLOOKUP(AZ42,boc_trpr_bc,11,TRUE)*boc_rr_bc_modp+BG41*VLOOKUP(AZ42,boc_trpr_bc,11,TRUE)*boc_rr_bc_modv+BH41*VLOOKUP(AZ42,boc_trpr_bc,11,TRUE)*boc_rr_bc_lop+BI41*VLOOKUP(AZ42,boc_trpr_bc,11,TRUE)*boc_rr_bc_lov+BJ41*VLOOKUP(AZ42,boc_trpr_bc,11,TRUE)*boc_rr_bc_np</f>
        <v>2.5498275540063583E-3</v>
      </c>
      <c r="BL42" s="260">
        <f>BA41*VLOOKUP(AZ42,boc_trpr_oc,11,TRUE)*boc_rr_oc_mast+BB41*VLOOKUP(AZ42,boc_trpr_oc,11,TRUE)*boc_rr_oc_ooph+BC41*VLOOKUP(AZ42,boc_trpr_oc,11,TRUE)*boc_rr_oc_both+BD41*VLOOKUP(AZ42,boc_trpr_oc,11,TRUE)*boc_rr_oc_hip+BE41*VLOOKUP(AZ42,boc_trpr_oc,11,TRUE)*boc_rr_oc_hiv+BF41*VLOOKUP(AZ42,boc_trpr_oc,11,TRUE)*boc_rr_oc_modp+BG41*VLOOKUP(AZ42,boc_trpr_oc,11,TRUE)*boc_rr_oc_modv+BH41*VLOOKUP(AZ42,boc_trpr_oc,11,TRUE)*boc_rr_oc_lop+BI41*VLOOKUP(AZ42,boc_trpr_oc,11,TRUE)*boc_rr_oc_lov+BJ41*VLOOKUP(AZ42,boc_trpr_oc,11,TRUE)*boc_rr_oc_np</f>
        <v>2.5746705827917244E-4</v>
      </c>
      <c r="BM42" s="260">
        <f>BK41*(1-VLOOKUP(AZ42,boc_trpr_bc_death,20,TRUE))+BL41*(1-VLOOKUP(AZ42,boc_trpr_oc_death,20,TRUE))+BM41*(1-VLOOKUP(AZ42,mortt,2,FALSE)*boc_rr_death_pc)</f>
        <v>6.036465615744703E-2</v>
      </c>
      <c r="BN42" s="260">
        <f>BN41+SUM(BA41:BJ41)*VLOOKUP(AZ42,mortt,2,FALSE)+BK41*VLOOKUP(AZ42,boc_trpr_bc_death,20,TRUE)+BL41*VLOOKUP(AZ42,boc_trpr_bc_death,20,TRUE)+BM41*VLOOKUP(AZ42,mortt,2,FALSE)*boc_rr_death_pc</f>
        <v>0.39937267032180496</v>
      </c>
      <c r="BO42" s="260">
        <f t="shared" si="41"/>
        <v>1.0000026353360196</v>
      </c>
      <c r="BP42" s="118">
        <f>(boc_cost_mast*SUM(BD42,BF42,BH42)*(boc_tr_mast_path+boc_tr_both_path)+SUM(BE42,BG42,BI42)*(boc_tr_mast_vus+boc_tr_both_vus)+BK42*boc_cost_bc+BL42*boc_cost_oc+BM42*boc_cost_pc+(BK42*VLOOKUP(AZ42,boc_trpr_bc_death,20,TRUE)+BL42*VLOOKUP(AZ42,boc_trpr_oc_death,TRUE)*boc_cost_death))/((1+discount)^AY42)</f>
        <v>703.31180659679387</v>
      </c>
      <c r="BQ42" s="35">
        <f t="shared" si="48"/>
        <v>0.19455868142811236</v>
      </c>
      <c r="BR42" s="35">
        <f t="shared" si="49"/>
        <v>0.20723590411418971</v>
      </c>
      <c r="BS42" s="35"/>
      <c r="BU42" s="33">
        <v>24</v>
      </c>
      <c r="BV42" t="str">
        <f>$M$73</f>
        <v>boc_unk_int_ooph</v>
      </c>
      <c r="BW42" s="35">
        <f>$F$73</f>
        <v>8.0000000000000002E-3</v>
      </c>
      <c r="BX42" s="35">
        <f>$G$73</f>
        <v>1.2E-2</v>
      </c>
      <c r="BY42" s="311">
        <v>-7.4373650454167546</v>
      </c>
      <c r="BZ42" s="311">
        <v>-7.6618535192542367</v>
      </c>
      <c r="CA42" s="311">
        <f t="shared" si="25"/>
        <v>0.22448847383748216</v>
      </c>
      <c r="CD42" s="138">
        <v>37</v>
      </c>
      <c r="CE42" s="291">
        <v>1.0809999999999999E-3</v>
      </c>
    </row>
    <row r="43" spans="2:105" ht="15" customHeight="1" x14ac:dyDescent="0.2">
      <c r="B43" s="38" t="s">
        <v>51</v>
      </c>
      <c r="I43" s="12"/>
      <c r="J43" s="12"/>
      <c r="K43" s="12"/>
      <c r="L43" s="116"/>
      <c r="M43" s="248"/>
      <c r="Q43" s="11"/>
      <c r="S43" s="11"/>
      <c r="U43" s="9" t="s">
        <v>6</v>
      </c>
      <c r="V43" s="250">
        <f>boc_unk_int_both*boc_test_int_path_both</f>
        <v>0.02</v>
      </c>
      <c r="Z43" s="261">
        <f>R42*T42*V43</f>
        <v>5.9202097047394087E-5</v>
      </c>
      <c r="AD43" s="12">
        <v>37</v>
      </c>
      <c r="AE43" s="12">
        <f t="shared" si="44"/>
        <v>82</v>
      </c>
      <c r="AF43" s="260">
        <f>AF42*(1-VLOOKUP(AE43,boc_trpr_bc,11,TRUE)*boc_rr_bc_mast-VLOOKUP(AE43,boc_trpr_oc,11,TRUE)*boc_rr_oc_mast-VLOOKUP(AE43,mortt,2,FALSE))+SUM(AI42,AK42,AM42)*boc_tr_mast_path+SUM(AJ42,AL42,AN42)*boc_tr_mast_vus</f>
        <v>1.2427291311073852E-2</v>
      </c>
      <c r="AG43" s="260">
        <f>AG42*(1-VLOOKUP(AE43,boc_trpr_bc,11,TRUE)*boc_rr_bc_ooph-VLOOKUP(AE43,boc_trpr_oc,11,TRUE)*boc_rr_oc_ooph-VLOOKUP(AE43,mortt,2,FALSE))+SUM(AI42,AK42,AM42)*boc_tr_ooph_path+SUM(AJ42,AL42,AN42)*boc_tr_ooph_vus</f>
        <v>1.1712784197074238E-2</v>
      </c>
      <c r="AH43" s="260">
        <f>AH42*(1-VLOOKUP(AE43,boc_trpr_bc,11,TRUE)*boc_rr_bc_both-VLOOKUP(AE43,boc_trpr_oc,11,TRUE)*boc_rr_oc_both-VLOOKUP(AE43,mortt,2,FALSE))+SUM(AI42,AK42,AM42)*boc_tr_both_path+SUM(AJ42,AL42,AN42)*boc_tr_both_vus</f>
        <v>1.2287593696447769E-2</v>
      </c>
      <c r="AI43" s="289">
        <f>AI42*(1-VLOOKUP(AE43,boc_trpr_bc,11,TRUE)*boc_rr_bc_hip-VLOOKUP(AE43,boc_trpr_oc,11,TRUE)*boc_rr_oc_hip-boc_tr_mast_path-boc_tr_ooph_path-boc_tr_both_path-VLOOKUP(AE43,mortt,2,FALSE))</f>
        <v>1.2436137984986857E-30</v>
      </c>
      <c r="AJ43" s="289">
        <f>AJ42*(1-VLOOKUP(AE43,boc_trpr_bc,11,TRUE)*boc_rr_bc_hiv-VLOOKUP(AE43,boc_trpr_oc,11,TRUE)*boc_rr_oc_hiv-boc_tr_mast_vus-boc_tr_ooph_vus-boc_tr_both_vus-VLOOKUP(AE43,mortt,2,FALSE))</f>
        <v>1.0715185495423463E-5</v>
      </c>
      <c r="AK43" s="289">
        <f>AK42*(1-VLOOKUP(AE43,boc_trpr_bc,11,TRUE)*boc_rr_bc_modp-VLOOKUP(AE43,boc_trpr_oc,11,TRUE)*boc_rr_oc_modp-boc_tr_mast_path-boc_tr_ooph_path-boc_tr_both_path-VLOOKUP(AE43,mortt,2,FALSE))</f>
        <v>1.2822674293161786E-27</v>
      </c>
      <c r="AL43" s="289">
        <f>AL42*(1-VLOOKUP(AE43,boc_trpr_bc,11,TRUE)*boc_rr_bc_modv-VLOOKUP(AE43,boc_trpr_oc,11,TRUE)*boc_rr_oc_modv-boc_tr_mast_vus-boc_tr_ooph_vus-boc_tr_both_vus-VLOOKUP(AE43,mortt,2,FALSE))</f>
        <v>1.3624119026160241E-5</v>
      </c>
      <c r="AM43" s="289">
        <f>AM42*(1-VLOOKUP(AE43,boc_trpr_bc,11,TRUE)*boc_rr_bc_lop-VLOOKUP(AE43,boc_trpr_oc,11,TRUE)*boc_rr_oc_lop-boc_tr_mast_path-boc_tr_ooph_path-boc_tr_both_path-VLOOKUP(AE43,mortt,2,FALSE))</f>
        <v>2.1494663127083879E-27</v>
      </c>
      <c r="AN43" s="289">
        <f>AN42*(1-VLOOKUP(AE43,boc_trpr_bc,11,TRUE)*boc_rr_bc_lov-VLOOKUP(AE43,boc_trpr_oc,11,TRUE)*boc_rr_oc_lov-boc_tr_mast_vus-boc_tr_ooph_vus-boc_tr_both_vus-VLOOKUP(AE43,mortt,2,FALSE))</f>
        <v>2.9825774231244151E-6</v>
      </c>
      <c r="AO43" s="260">
        <f>AO42*(1-VLOOKUP(AE43,boc_trpr_bc,11,TRUE)*boc_rr_bc_np-VLOOKUP(AE43,boc_trpr_oc,11,TRUE)*boc_rr_oc_np-VLOOKUP(AE43,mortt,2,FALSE))</f>
        <v>0.47468516857265264</v>
      </c>
      <c r="AP43" s="260">
        <f>AF42*VLOOKUP(AE43,boc_trpr_bc,11,TRUE)*boc_rr_bc_mast+AG42*VLOOKUP(AE43,boc_trpr_bc,11,TRUE)*boc_rr_bc_ooph+AH42*VLOOKUP(AE43,boc_trpr_bc,11,TRUE)*boc_rr_bc_both+AI42*VLOOKUP(AE43,boc_trpr_bc,11,TRUE)*boc_rr_bc_hip+AJ42*VLOOKUP(AE43,boc_trpr_bc,11,TRUE)*boc_rr_bc_hiv+AK42*VLOOKUP(AE43,boc_trpr_bc,11,TRUE)*boc_rr_bc_modp+AL42*VLOOKUP(AE43,boc_trpr_bc,11,TRUE)*boc_rr_bc_modv+AM42*VLOOKUP(AE43,boc_trpr_bc,11,TRUE)*boc_rr_bc_lop+AN42*VLOOKUP(AE43,boc_trpr_bc,11,TRUE)*boc_rr_bc_lov+AO42*VLOOKUP(AE43,boc_trpr_bc,11,TRUE)*boc_rr_bc_np</f>
        <v>2.3071633887036275E-3</v>
      </c>
      <c r="AQ43" s="260">
        <f>AF42*VLOOKUP(AE43,boc_trpr_oc,11,TRUE)*boc_rr_oc_mast+AG42*VLOOKUP(AE43,boc_trpr_oc,11,TRUE)*boc_rr_oc_ooph+AH42*VLOOKUP(AE43,boc_trpr_oc,11,TRUE)*boc_rr_oc_both+AI42*VLOOKUP(AE43,boc_trpr_oc,11,TRUE)*boc_rr_oc_hip+AJ42*VLOOKUP(AE43,boc_trpr_oc,11,TRUE)*boc_rr_oc_hiv+AK42*VLOOKUP(AE43,boc_trpr_oc,11,TRUE)*boc_rr_oc_modp+AL42*VLOOKUP(AE43,boc_trpr_oc,11,TRUE)*boc_rr_oc_modv+AM42*VLOOKUP(AE43,boc_trpr_oc,11,TRUE)*boc_rr_oc_lop+AN42*VLOOKUP(AE43,boc_trpr_oc,11,TRUE)*boc_rr_oc_lov+AO42*VLOOKUP(AE43,boc_trpr_oc,11,TRUE)*boc_rr_oc_np</f>
        <v>2.3525868796182579E-4</v>
      </c>
      <c r="AR43" s="260">
        <f>AP42*(1-VLOOKUP(AE43,boc_trpr_bc_death,20,TRUE))+AQ42*(1-VLOOKUP(AE43,boc_trpr_oc_death,20,TRUE))+AR42*(1-VLOOKUP(AE43,mortt,2,FALSE)*boc_rr_death_pc)</f>
        <v>5.4917286526024241E-2</v>
      </c>
      <c r="AS43" s="260">
        <f>AS42+SUM(AF42:AO42)*VLOOKUP(AE43,mortt,2,FALSE)+AP42*VLOOKUP(AE43,boc_trpr_bc_death,20,TRUE)+AQ42*VLOOKUP(AE43,boc_trpr_bc_death,20,TRUE)+AR42*VLOOKUP(AE43,mortt,2,FALSE)*boc_rr_death_pc</f>
        <v>0.43140275834128922</v>
      </c>
      <c r="AT43" s="260">
        <f t="shared" si="40"/>
        <v>1.0000026266031721</v>
      </c>
      <c r="AU43" s="118">
        <f>(boc_cost_mast*SUM(AI43,AK43,AM43)*(boc_tr_mast_path+boc_tr_both_path)+SUM(AJ43,AL43,AN43)*(boc_tr_mast_vus+boc_tr_both_vus)+AP43*boc_cost_bc+AQ43*boc_cost_oc+AR43*boc_cost_pc+(AP43*VLOOKUP(AE43,boc_trpr_bc_death,20,TRUE)+AQ43*VLOOKUP(AE43,boc_trpr_oc_death,TRUE)*boc_cost_death))/((1+discount)^AD43)</f>
        <v>618.26347019516913</v>
      </c>
      <c r="AV43" s="35">
        <f t="shared" si="45"/>
        <v>0.17898021400906566</v>
      </c>
      <c r="AW43" s="35">
        <f t="shared" si="46"/>
        <v>0.1904703739515029</v>
      </c>
      <c r="AY43" s="12">
        <v>37</v>
      </c>
      <c r="AZ43" s="12">
        <f t="shared" si="47"/>
        <v>82</v>
      </c>
      <c r="BA43" s="260">
        <f>BA42*(1-VLOOKUP(AZ43,boc_trpr_bc,11,TRUE)*boc_rr_bc_mast-VLOOKUP(AZ43,boc_trpr_oc,11,TRUE)*boc_rr_oc_mast-VLOOKUP(AZ43,mortt,2,FALSE))</f>
        <v>5.6511327049796767E-3</v>
      </c>
      <c r="BB43" s="260">
        <f>BB42*(1-VLOOKUP(AZ43,boc_trpr_bc,11,TRUE)*boc_rr_bc_ooph-VLOOKUP(AZ43,boc_trpr_oc,11,TRUE)*boc_rr_oc_ooph-VLOOKUP(AZ43,mortt,2,FALSE))</f>
        <v>5.4310555880699466E-3</v>
      </c>
      <c r="BC43" s="260">
        <f>BC42*(1-VLOOKUP(AZ43,boc_trpr_bc,11,TRUE)*boc_rr_bc_both-VLOOKUP(AZ43,boc_trpr_oc,11,TRUE)*boc_rr_oc_both-VLOOKUP(AZ43,mortt,2,FALSE))</f>
        <v>5.7350749457585346E-3</v>
      </c>
      <c r="BD43" s="289">
        <f>BD42*(1-VLOOKUP(AZ43,boc_trpr_bc,11,TRUE)*boc_rr_bc_hip-VLOOKUP(AZ43,boc_trpr_oc,11,TRUE)*boc_rr_oc_hip-VLOOKUP(AZ43,mortt,2,FALSE))</f>
        <v>2.8236672468507474E-4</v>
      </c>
      <c r="BE43" s="289">
        <f>BE42*(1-VLOOKUP(AZ43,boc_trpr_bc,11,TRUE)*boc_rr_bc_hiv-VLOOKUP(AZ43,boc_trpr_oc,11,TRUE)*boc_rr_oc_hiv-VLOOKUP(AZ43,mortt,2,FALSE))</f>
        <v>5.1720917872584158E-3</v>
      </c>
      <c r="BF43" s="289">
        <f>BF42*(1-VLOOKUP(AZ43,boc_trpr_bc,11,TRUE)*boc_rr_bc_modp-VLOOKUP(AZ43,boc_trpr_oc,11,TRUE)*boc_rr_oc_modp-VLOOKUP(AZ43,mortt,2,FALSE))</f>
        <v>1.3731862002533527E-3</v>
      </c>
      <c r="BG43" s="289">
        <f>BG42*(1-VLOOKUP(AZ43,boc_trpr_bc,11,TRUE)*boc_rr_bc_modv-VLOOKUP(AZ43,boc_trpr_oc,11,TRUE)*boc_rr_oc_modv-VLOOKUP(AZ43,mortt,2,FALSE))</f>
        <v>6.576199185159292E-3</v>
      </c>
      <c r="BH43" s="289">
        <f>BH42*(1-VLOOKUP(AZ43,boc_trpr_bc,11,TRUE)*boc_rr_bc_lop-VLOOKUP(AZ43,boc_trpr_oc,11,TRUE)*boc_rr_oc_lop-VLOOKUP(AZ43,mortt,2,FALSE))</f>
        <v>4.7460787407842183E-4</v>
      </c>
      <c r="BI43" s="289">
        <f>BI42*(1-VLOOKUP(AZ43,boc_trpr_bc,11,TRUE)*boc_rr_bc_lov-VLOOKUP(AZ43,boc_trpr_oc,11,TRUE)*boc_rr_oc_lov-VLOOKUP(AZ43,mortt,2,FALSE))</f>
        <v>1.439654423303524E-3</v>
      </c>
      <c r="BJ43" s="260">
        <f>BJ42*(1-VLOOKUP(AZ43,boc_trpr_bc,11,TRUE)*boc_rr_bc_np-VLOOKUP(AZ43,boc_trpr_oc,11,TRUE)*boc_rr_oc_np-VLOOKUP(AZ43,mortt,2,FALSE))</f>
        <v>0.47468516857265264</v>
      </c>
      <c r="BK43" s="260">
        <f>BA42*VLOOKUP(AZ43,boc_trpr_bc,11,TRUE)*boc_rr_bc_mast+BB42*VLOOKUP(AZ43,boc_trpr_bc,11,TRUE)*boc_rr_bc_ooph+BC42*VLOOKUP(AZ43,boc_trpr_bc,11,TRUE)*boc_rr_bc_both+BD42*VLOOKUP(AZ43,boc_trpr_bc,11,TRUE)*boc_rr_bc_hip+BE42*VLOOKUP(AZ43,boc_trpr_bc,11,TRUE)*boc_rr_bc_hiv+BF42*VLOOKUP(AZ43,boc_trpr_bc,11,TRUE)*boc_rr_bc_modp+BG42*VLOOKUP(AZ43,boc_trpr_bc,11,TRUE)*boc_rr_bc_modv+BH42*VLOOKUP(AZ43,boc_trpr_bc,11,TRUE)*boc_rr_bc_lop+BI42*VLOOKUP(AZ43,boc_trpr_bc,11,TRUE)*boc_rr_bc_lov+BJ42*VLOOKUP(AZ43,boc_trpr_bc,11,TRUE)*boc_rr_bc_np</f>
        <v>2.4151455855441579E-3</v>
      </c>
      <c r="BL43" s="260">
        <f>BA42*VLOOKUP(AZ43,boc_trpr_oc,11,TRUE)*boc_rr_oc_mast+BB42*VLOOKUP(AZ43,boc_trpr_oc,11,TRUE)*boc_rr_oc_ooph+BC42*VLOOKUP(AZ43,boc_trpr_oc,11,TRUE)*boc_rr_oc_both+BD42*VLOOKUP(AZ43,boc_trpr_oc,11,TRUE)*boc_rr_oc_hip+BE42*VLOOKUP(AZ43,boc_trpr_oc,11,TRUE)*boc_rr_oc_hiv+BF42*VLOOKUP(AZ43,boc_trpr_oc,11,TRUE)*boc_rr_oc_modp+BG42*VLOOKUP(AZ43,boc_trpr_oc,11,TRUE)*boc_rr_oc_modv+BH42*VLOOKUP(AZ43,boc_trpr_oc,11,TRUE)*boc_rr_oc_lop+BI42*VLOOKUP(AZ43,boc_trpr_oc,11,TRUE)*boc_rr_oc_lov+BJ42*VLOOKUP(AZ43,boc_trpr_oc,11,TRUE)*boc_rr_oc_np</f>
        <v>2.4387880521407437E-4</v>
      </c>
      <c r="BM43" s="260">
        <f>BK42*(1-VLOOKUP(AZ43,boc_trpr_bc_death,20,TRUE))+BL42*(1-VLOOKUP(AZ43,boc_trpr_oc_death,20,TRUE))+BM42*(1-VLOOKUP(AZ43,mortt,2,FALSE)*boc_rr_death_pc)</f>
        <v>5.845580154402745E-2</v>
      </c>
      <c r="BN43" s="260">
        <f>BN42+SUM(BA42:BJ42)*VLOOKUP(AZ43,mortt,2,FALSE)+BK42*VLOOKUP(AZ43,boc_trpr_bc_death,20,TRUE)+BL42*VLOOKUP(AZ43,boc_trpr_bc_death,20,TRUE)+BM42*VLOOKUP(AZ43,mortt,2,FALSE)*boc_rr_death_pc</f>
        <v>0.43206740621431294</v>
      </c>
      <c r="BO43" s="260">
        <f t="shared" si="41"/>
        <v>1.0000027701552974</v>
      </c>
      <c r="BP43" s="118">
        <f>(boc_cost_mast*SUM(BD43,BF43,BH43)*(boc_tr_mast_path+boc_tr_both_path)+SUM(BE43,BG43,BI43)*(boc_tr_mast_vus+boc_tr_both_vus)+BK43*boc_cost_bc+BL43*boc_cost_oc+BM43*boc_cost_pc+(BK43*VLOOKUP(AZ43,boc_trpr_bc_death,20,TRUE)+BL43*VLOOKUP(AZ43,boc_trpr_oc_death,TRUE)*boc_cost_death))/((1+discount)^AY43)</f>
        <v>649.96394529850943</v>
      </c>
      <c r="BQ43" s="35">
        <f t="shared" si="48"/>
        <v>0.17856458887812823</v>
      </c>
      <c r="BR43" s="35">
        <f t="shared" si="49"/>
        <v>0.190247728254961</v>
      </c>
      <c r="BS43" s="35"/>
      <c r="BU43" s="33">
        <v>29</v>
      </c>
      <c r="BV43" t="str">
        <f>$M$74</f>
        <v>boc_unk_int_both</v>
      </c>
      <c r="BW43" s="35">
        <f>$F$74</f>
        <v>8.0000000000000002E-3</v>
      </c>
      <c r="BX43" s="35">
        <f>$G$74</f>
        <v>1.2E-2</v>
      </c>
      <c r="BY43" s="311">
        <v>-7.6638304971520483</v>
      </c>
      <c r="BZ43" s="311">
        <v>-7.4431082311725731</v>
      </c>
      <c r="CA43" s="311">
        <f t="shared" si="25"/>
        <v>0.2207222659794752</v>
      </c>
      <c r="CD43" s="138">
        <v>38</v>
      </c>
      <c r="CE43" s="291">
        <v>1.165E-3</v>
      </c>
    </row>
    <row r="44" spans="2:105" ht="15" customHeight="1" x14ac:dyDescent="0.2">
      <c r="B44" s="37" t="s">
        <v>11</v>
      </c>
      <c r="C44" s="35">
        <f>IF(psa,J44,IF(owsa_low=L44,F44,IF(owsa_high=L44,G44,IF(ISNUMBER(D44),D44,E44))))</f>
        <v>9.4143645999999997E-2</v>
      </c>
      <c r="D44" s="158"/>
      <c r="E44" s="35">
        <v>9.4143645999999997E-2</v>
      </c>
      <c r="F44" s="35">
        <f>IF(ISNUMBER(D44),D44,E44)*(1-owsa_boc)</f>
        <v>7.5314916800000006E-2</v>
      </c>
      <c r="G44" s="35">
        <f>MIN(1,IF(ISNUMBER(D44),D44,E44)*(1+owsa_boc))</f>
        <v>0.11297237519999999</v>
      </c>
      <c r="H44" s="48">
        <f t="shared" ref="H44:H45" si="50">IF(ISNUMBER(D44),D44,E44)^2*(1-IF(ISNUMBER(D44),D44,E44))/((G44-F44)/(2*z))^2-IF(ISNUMBER(D44),D44,E44)</f>
        <v>86.901103387878038</v>
      </c>
      <c r="I44" s="48">
        <f t="shared" ref="I44:I45" si="51">(IF(ISNUMBER(D44),D44,E44)^2*(1-IF(ISNUMBER(D44),D44,E44))/((G44-F44)/(2*z))^2-IF(ISNUMBER(D44),D44,E44))*(1-IF(ISNUMBER(D44),D44,E44))/IF(ISNUMBER(D44),D44,E44)</f>
        <v>836.1681326164088</v>
      </c>
      <c r="J44" s="35">
        <f ca="1">_xlfn.BETA.INV(RAND(),H44,I44)</f>
        <v>0.104733410313122</v>
      </c>
      <c r="K44" s="12" t="s">
        <v>71</v>
      </c>
      <c r="L44" s="40">
        <v>3</v>
      </c>
      <c r="M44" s="247" t="s">
        <v>162</v>
      </c>
      <c r="N44" s="247" t="s">
        <v>298</v>
      </c>
      <c r="Q44" s="11"/>
      <c r="S44" s="11"/>
      <c r="U44" s="9" t="s">
        <v>9</v>
      </c>
      <c r="V44" s="250">
        <f>1-SUM(V41,V42,V43)</f>
        <v>0.92999999999999994</v>
      </c>
      <c r="AA44" s="261">
        <f>R42*T42*V44</f>
        <v>2.7528975127038245E-3</v>
      </c>
      <c r="AD44" s="12">
        <v>38</v>
      </c>
      <c r="AE44" s="12">
        <f t="shared" si="44"/>
        <v>83</v>
      </c>
      <c r="AF44" s="260">
        <f>AF43*(1-VLOOKUP(AE44,boc_trpr_bc,11,TRUE)*boc_rr_bc_mast-VLOOKUP(AE44,boc_trpr_oc,11,TRUE)*boc_rr_oc_mast-VLOOKUP(AE44,mortt,2,FALSE))+SUM(AI43,AK43,AM43)*boc_tr_mast_path+SUM(AJ43,AL43,AN43)*boc_tr_mast_vus</f>
        <v>1.1694343943627934E-2</v>
      </c>
      <c r="AG44" s="260">
        <f>AG43*(1-VLOOKUP(AE44,boc_trpr_bc,11,TRUE)*boc_rr_bc_ooph-VLOOKUP(AE44,boc_trpr_oc,11,TRUE)*boc_rr_oc_ooph-VLOOKUP(AE44,mortt,2,FALSE))+SUM(AI43,AK43,AM43)*boc_tr_ooph_path+SUM(AJ43,AL43,AN43)*boc_tr_ooph_vus</f>
        <v>1.1004849918055306E-2</v>
      </c>
      <c r="AH44" s="260">
        <f>AH43*(1-VLOOKUP(AE44,boc_trpr_bc,11,TRUE)*boc_rr_bc_both-VLOOKUP(AE44,boc_trpr_oc,11,TRUE)*boc_rr_oc_both-VLOOKUP(AE44,mortt,2,FALSE))+SUM(AI43,AK43,AM43)*boc_tr_both_path+SUM(AJ43,AL43,AN43)*boc_tr_both_vus</f>
        <v>1.1570335307749514E-2</v>
      </c>
      <c r="AI44" s="289">
        <f>AI43*(1-VLOOKUP(AE44,boc_trpr_bc,11,TRUE)*boc_rr_bc_hip-VLOOKUP(AE44,boc_trpr_oc,11,TRUE)*boc_rr_oc_hip-boc_tr_mast_path-boc_tr_ooph_path-boc_tr_both_path-VLOOKUP(AE44,mortt,2,FALSE))</f>
        <v>1.4600456509438257E-31</v>
      </c>
      <c r="AJ44" s="289">
        <f>AJ43*(1-VLOOKUP(AE44,boc_trpr_bc,11,TRUE)*boc_rr_bc_hiv-VLOOKUP(AE44,boc_trpr_oc,11,TRUE)*boc_rr_oc_hiv-boc_tr_mast_vus-boc_tr_ooph_vus-boc_tr_both_vus-VLOOKUP(AE44,mortt,2,FALSE))</f>
        <v>8.4259635551058651E-6</v>
      </c>
      <c r="AK44" s="289">
        <f>AK43*(1-VLOOKUP(AE44,boc_trpr_bc,11,TRUE)*boc_rr_bc_modp-VLOOKUP(AE44,boc_trpr_oc,11,TRUE)*boc_rr_oc_modp-boc_tr_mast_path-boc_tr_ooph_path-boc_tr_both_path-VLOOKUP(AE44,mortt,2,FALSE))</f>
        <v>2.1415210817915435E-28</v>
      </c>
      <c r="AL44" s="289">
        <f>AL43*(1-VLOOKUP(AE44,boc_trpr_bc,11,TRUE)*boc_rr_bc_modv-VLOOKUP(AE44,boc_trpr_oc,11,TRUE)*boc_rr_oc_modv-boc_tr_mast_vus-boc_tr_ooph_vus-boc_tr_both_vus-VLOOKUP(AE44,mortt,2,FALSE))</f>
        <v>1.0713424460442704E-5</v>
      </c>
      <c r="AM44" s="289">
        <f>AM43*(1-VLOOKUP(AE44,boc_trpr_bc,11,TRUE)*boc_rr_bc_lop-VLOOKUP(AE44,boc_trpr_oc,11,TRUE)*boc_rr_oc_lop-boc_tr_mast_path-boc_tr_ooph_path-boc_tr_both_path-VLOOKUP(AE44,mortt,2,FALSE))</f>
        <v>3.9630343679015673E-28</v>
      </c>
      <c r="AN44" s="289">
        <f>AN43*(1-VLOOKUP(AE44,boc_trpr_bc,11,TRUE)*boc_rr_bc_lov-VLOOKUP(AE44,boc_trpr_oc,11,TRUE)*boc_rr_oc_lov-boc_tr_mast_vus-boc_tr_ooph_vus-boc_tr_both_vus-VLOOKUP(AE44,mortt,2,FALSE))</f>
        <v>2.3453713123549345E-6</v>
      </c>
      <c r="AO44" s="260">
        <f>AO43*(1-VLOOKUP(AE44,boc_trpr_bc,11,TRUE)*boc_rr_bc_np-VLOOKUP(AE44,boc_trpr_oc,11,TRUE)*boc_rr_oc_np-VLOOKUP(AE44,mortt,2,FALSE))</f>
        <v>0.4447103654296945</v>
      </c>
      <c r="AP44" s="260">
        <f>AF43*VLOOKUP(AE44,boc_trpr_bc,11,TRUE)*boc_rr_bc_mast+AG43*VLOOKUP(AE44,boc_trpr_bc,11,TRUE)*boc_rr_bc_ooph+AH43*VLOOKUP(AE44,boc_trpr_bc,11,TRUE)*boc_rr_bc_both+AI43*VLOOKUP(AE44,boc_trpr_bc,11,TRUE)*boc_rr_bc_hip+AJ43*VLOOKUP(AE44,boc_trpr_bc,11,TRUE)*boc_rr_bc_hiv+AK43*VLOOKUP(AE44,boc_trpr_bc,11,TRUE)*boc_rr_bc_modp+AL43*VLOOKUP(AE44,boc_trpr_bc,11,TRUE)*boc_rr_bc_modv+AM43*VLOOKUP(AE44,boc_trpr_bc,11,TRUE)*boc_rr_bc_lop+AN43*VLOOKUP(AE44,boc_trpr_bc,11,TRUE)*boc_rr_bc_lov+AO43*VLOOKUP(AE44,boc_trpr_bc,11,TRUE)*boc_rr_bc_np</f>
        <v>2.1757049944679599E-3</v>
      </c>
      <c r="AQ44" s="260">
        <f>AF43*VLOOKUP(AE44,boc_trpr_oc,11,TRUE)*boc_rr_oc_mast+AG43*VLOOKUP(AE44,boc_trpr_oc,11,TRUE)*boc_rr_oc_ooph+AH43*VLOOKUP(AE44,boc_trpr_oc,11,TRUE)*boc_rr_oc_both+AI43*VLOOKUP(AE44,boc_trpr_oc,11,TRUE)*boc_rr_oc_hip+AJ43*VLOOKUP(AE44,boc_trpr_oc,11,TRUE)*boc_rr_oc_hiv+AK43*VLOOKUP(AE44,boc_trpr_oc,11,TRUE)*boc_rr_oc_modp+AL43*VLOOKUP(AE44,boc_trpr_oc,11,TRUE)*boc_rr_oc_modv+AM43*VLOOKUP(AE44,boc_trpr_oc,11,TRUE)*boc_rr_oc_lop+AN43*VLOOKUP(AE44,boc_trpr_oc,11,TRUE)*boc_rr_oc_lov+AO43*VLOOKUP(AE44,boc_trpr_oc,11,TRUE)*boc_rr_oc_np</f>
        <v>2.2187397634028044E-4</v>
      </c>
      <c r="AR44" s="260">
        <f>AP43*(1-VLOOKUP(AE44,boc_trpr_bc_death,20,TRUE))+AQ43*(1-VLOOKUP(AE44,boc_trpr_oc_death,20,TRUE))+AR43*(1-VLOOKUP(AE44,mortt,2,FALSE)*boc_rr_death_pc)</f>
        <v>5.2664279088062413E-2</v>
      </c>
      <c r="AS44" s="260">
        <f>AS43+SUM(AF43:AO43)*VLOOKUP(AE44,mortt,2,FALSE)+AP43*VLOOKUP(AE44,boc_trpr_bc_death,20,TRUE)+AQ43*VLOOKUP(AE44,boc_trpr_bc_death,20,TRUE)+AR43*VLOOKUP(AE44,mortt,2,FALSE)*boc_rr_death_pc</f>
        <v>0.46593951237599984</v>
      </c>
      <c r="AT44" s="260">
        <f t="shared" si="40"/>
        <v>1.0000027497933255</v>
      </c>
      <c r="AU44" s="118">
        <f>(boc_cost_mast*SUM(AI44,AK44,AM44)*(boc_tr_mast_path+boc_tr_both_path)+SUM(AJ44,AL44,AN44)*(boc_tr_mast_vus+boc_tr_both_vus)+AP44*boc_cost_bc+AQ44*boc_cost_oc+AR44*boc_cost_pc+(AP44*VLOOKUP(AE44,boc_trpr_bc_death,20,TRUE)+AQ44*VLOOKUP(AE44,boc_trpr_oc_death,TRUE)*boc_cost_death))/((1+discount)^AD44)</f>
        <v>568.29331338255724</v>
      </c>
      <c r="AV44" s="35">
        <f t="shared" si="45"/>
        <v>0.16317695197248239</v>
      </c>
      <c r="AW44" s="35">
        <f t="shared" si="46"/>
        <v>0.17369043752650151</v>
      </c>
      <c r="AY44" s="12">
        <v>38</v>
      </c>
      <c r="AZ44" s="12">
        <f t="shared" si="47"/>
        <v>83</v>
      </c>
      <c r="BA44" s="260">
        <f>BA43*(1-VLOOKUP(AZ44,boc_trpr_bc,11,TRUE)*boc_rr_bc_mast-VLOOKUP(AZ44,boc_trpr_oc,11,TRUE)*boc_rr_oc_mast-VLOOKUP(AZ44,mortt,2,FALSE))</f>
        <v>5.3172141772522708E-3</v>
      </c>
      <c r="BB44" s="260">
        <f>BB43*(1-VLOOKUP(AZ44,boc_trpr_bc,11,TRUE)*boc_rr_bc_ooph-VLOOKUP(AZ44,boc_trpr_oc,11,TRUE)*boc_rr_oc_ooph-VLOOKUP(AZ44,mortt,2,FALSE))</f>
        <v>5.1021628423131415E-3</v>
      </c>
      <c r="BC44" s="260">
        <f>BC43*(1-VLOOKUP(AZ44,boc_trpr_bc,11,TRUE)*boc_rr_bc_both-VLOOKUP(AZ44,boc_trpr_oc,11,TRUE)*boc_rr_oc_both-VLOOKUP(AZ44,mortt,2,FALSE))</f>
        <v>5.3996662914277405E-3</v>
      </c>
      <c r="BD44" s="289">
        <f>BD43*(1-VLOOKUP(AZ44,boc_trpr_bc,11,TRUE)*boc_rr_bc_hip-VLOOKUP(AZ44,boc_trpr_oc,11,TRUE)*boc_rr_oc_hip-VLOOKUP(AZ44,mortt,2,FALSE))</f>
        <v>2.4492587449086617E-4</v>
      </c>
      <c r="BE44" s="289">
        <f>BE43*(1-VLOOKUP(AZ44,boc_trpr_bc,11,TRUE)*boc_rr_bc_hiv-VLOOKUP(AZ44,boc_trpr_oc,11,TRUE)*boc_rr_oc_hiv-VLOOKUP(AZ44,mortt,2,FALSE))</f>
        <v>4.8429255247368448E-3</v>
      </c>
      <c r="BF44" s="289">
        <f>BF43*(1-VLOOKUP(AZ44,boc_trpr_bc,11,TRUE)*boc_rr_bc_modp-VLOOKUP(AZ44,boc_trpr_oc,11,TRUE)*boc_rr_oc_modp-VLOOKUP(AZ44,mortt,2,FALSE))</f>
        <v>1.2592261466052774E-3</v>
      </c>
      <c r="BG44" s="289">
        <f>BG43*(1-VLOOKUP(AZ44,boc_trpr_bc,11,TRUE)*boc_rr_bc_modv-VLOOKUP(AZ44,boc_trpr_oc,11,TRUE)*boc_rr_oc_modv-VLOOKUP(AZ44,mortt,2,FALSE))</f>
        <v>6.157671634525139E-3</v>
      </c>
      <c r="BH44" s="289">
        <f>BH43*(1-VLOOKUP(AZ44,boc_trpr_bc,11,TRUE)*boc_rr_bc_lop-VLOOKUP(AZ44,boc_trpr_oc,11,TRUE)*boc_rr_oc_lop-VLOOKUP(AZ44,mortt,2,FALSE))</f>
        <v>4.4346075758320164E-4</v>
      </c>
      <c r="BI44" s="289">
        <f>BI43*(1-VLOOKUP(AZ44,boc_trpr_bc,11,TRUE)*boc_rr_bc_lov-VLOOKUP(AZ44,boc_trpr_oc,11,TRUE)*boc_rr_oc_lov-VLOOKUP(AZ44,mortt,2,FALSE))</f>
        <v>1.3480308239294954E-3</v>
      </c>
      <c r="BJ44" s="260">
        <f>BJ43*(1-VLOOKUP(AZ44,boc_trpr_bc,11,TRUE)*boc_rr_bc_np-VLOOKUP(AZ44,boc_trpr_oc,11,TRUE)*boc_rr_oc_np-VLOOKUP(AZ44,mortt,2,FALSE))</f>
        <v>0.4447103654296945</v>
      </c>
      <c r="BK44" s="260">
        <f>BA43*VLOOKUP(AZ44,boc_trpr_bc,11,TRUE)*boc_rr_bc_mast+BB43*VLOOKUP(AZ44,boc_trpr_bc,11,TRUE)*boc_rr_bc_ooph+BC43*VLOOKUP(AZ44,boc_trpr_bc,11,TRUE)*boc_rr_bc_both+BD43*VLOOKUP(AZ44,boc_trpr_bc,11,TRUE)*boc_rr_bc_hip+BE43*VLOOKUP(AZ44,boc_trpr_bc,11,TRUE)*boc_rr_bc_hiv+BF43*VLOOKUP(AZ44,boc_trpr_bc,11,TRUE)*boc_rr_bc_modp+BG43*VLOOKUP(AZ44,boc_trpr_bc,11,TRUE)*boc_rr_bc_modv+BH43*VLOOKUP(AZ44,boc_trpr_bc,11,TRUE)*boc_rr_bc_lop+BI43*VLOOKUP(AZ44,boc_trpr_bc,11,TRUE)*boc_rr_bc_lov+BJ43*VLOOKUP(AZ44,boc_trpr_bc,11,TRUE)*boc_rr_bc_np</f>
        <v>2.2752643893200306E-3</v>
      </c>
      <c r="BL44" s="260">
        <f>BA43*VLOOKUP(AZ44,boc_trpr_oc,11,TRUE)*boc_rr_oc_mast+BB43*VLOOKUP(AZ44,boc_trpr_oc,11,TRUE)*boc_rr_oc_ooph+BC43*VLOOKUP(AZ44,boc_trpr_oc,11,TRUE)*boc_rr_oc_both+BD43*VLOOKUP(AZ44,boc_trpr_oc,11,TRUE)*boc_rr_oc_hip+BE43*VLOOKUP(AZ44,boc_trpr_oc,11,TRUE)*boc_rr_oc_hiv+BF43*VLOOKUP(AZ44,boc_trpr_oc,11,TRUE)*boc_rr_oc_modp+BG43*VLOOKUP(AZ44,boc_trpr_oc,11,TRUE)*boc_rr_oc_modv+BH43*VLOOKUP(AZ44,boc_trpr_oc,11,TRUE)*boc_rr_oc_lop+BI43*VLOOKUP(AZ44,boc_trpr_oc,11,TRUE)*boc_rr_oc_lov+BJ43*VLOOKUP(AZ44,boc_trpr_oc,11,TRUE)*boc_rr_oc_np</f>
        <v>2.297642898916874E-4</v>
      </c>
      <c r="BM44" s="260">
        <f>BK43*(1-VLOOKUP(AZ44,boc_trpr_bc_death,20,TRUE))+BL43*(1-VLOOKUP(AZ44,boc_trpr_oc_death,20,TRUE))+BM43*(1-VLOOKUP(AZ44,mortt,2,FALSE)*boc_rr_death_pc)</f>
        <v>5.601045157965967E-2</v>
      </c>
      <c r="BN44" s="260">
        <f>BN43+SUM(BA43:BJ43)*VLOOKUP(AZ44,mortt,2,FALSE)+BK43*VLOOKUP(AZ44,boc_trpr_bc_death,20,TRUE)+BL43*VLOOKUP(AZ44,boc_trpr_bc_death,20,TRUE)+BM43*VLOOKUP(AZ44,mortt,2,FALSE)*boc_rr_death_pc</f>
        <v>0.46666176809783355</v>
      </c>
      <c r="BO44" s="260">
        <f t="shared" si="41"/>
        <v>1.0000028978592634</v>
      </c>
      <c r="BP44" s="118">
        <f>(boc_cost_mast*SUM(BD44,BF44,BH44)*(boc_tr_mast_path+boc_tr_both_path)+SUM(BE44,BG44,BI44)*(boc_tr_mast_vus+boc_tr_both_vus)+BK44*boc_cost_bc+BL44*boc_cost_oc+BM44*boc_cost_pc+(BK44*VLOOKUP(AZ44,boc_trpr_bc_death,20,TRUE)+BL44*VLOOKUP(AZ44,boc_trpr_oc_death,TRUE)*boc_cost_death))/((1+discount)^AY44)</f>
        <v>596.7479138765525</v>
      </c>
      <c r="BQ44" s="35">
        <f t="shared" si="48"/>
        <v>0.16276801616980952</v>
      </c>
      <c r="BR44" s="35">
        <f t="shared" si="49"/>
        <v>0.1734555410770573</v>
      </c>
      <c r="BS44" s="35"/>
      <c r="BU44" s="33">
        <v>33</v>
      </c>
      <c r="BV44" t="e">
        <f>#REF!</f>
        <v>#REF!</v>
      </c>
      <c r="BW44" s="295" t="e">
        <f>#REF!</f>
        <v>#REF!</v>
      </c>
      <c r="BX44" s="295" t="e">
        <f>#REF!</f>
        <v>#REF!</v>
      </c>
      <c r="BY44" s="311">
        <v>-7.4514193936370248</v>
      </c>
      <c r="BZ44" s="311">
        <v>-7.6532022807168687</v>
      </c>
      <c r="CA44" s="311">
        <f t="shared" si="25"/>
        <v>0.20178288707984393</v>
      </c>
      <c r="CD44" s="138">
        <v>39</v>
      </c>
      <c r="CE44" s="291">
        <v>1.2520000000000001E-3</v>
      </c>
    </row>
    <row r="45" spans="2:105" ht="15" customHeight="1" x14ac:dyDescent="0.2">
      <c r="B45" s="37" t="s">
        <v>12</v>
      </c>
      <c r="C45" s="35">
        <f>IF(psa,J45,IF(owsa_low=L45,F45,IF(owsa_high=L45,G45,IF(ISNUMBER(D45),D45,E45))))</f>
        <v>0.27116022099999998</v>
      </c>
      <c r="D45" s="158"/>
      <c r="E45" s="35">
        <v>0.27116022099999998</v>
      </c>
      <c r="F45" s="35">
        <f>IF(ISNUMBER(D45),D45,E45)*(1-owsa_boc)</f>
        <v>0.21692817679999998</v>
      </c>
      <c r="G45" s="35">
        <f>MIN(1,IF(ISNUMBER(D45),D45,E45)*(1+owsa_boc))</f>
        <v>0.32539226519999997</v>
      </c>
      <c r="H45" s="48">
        <f t="shared" si="50"/>
        <v>69.724039726807646</v>
      </c>
      <c r="I45" s="48">
        <f t="shared" si="51"/>
        <v>187.40821761416737</v>
      </c>
      <c r="J45" s="35">
        <f ca="1">_xlfn.BETA.INV(RAND(),H45,I45)</f>
        <v>0.22889364834623702</v>
      </c>
      <c r="K45" s="12" t="s">
        <v>71</v>
      </c>
      <c r="L45" s="40">
        <v>4</v>
      </c>
      <c r="M45" s="247" t="s">
        <v>163</v>
      </c>
      <c r="N45" s="247" t="s">
        <v>298</v>
      </c>
      <c r="Q45" s="11"/>
      <c r="S45" s="11"/>
      <c r="AD45" s="12">
        <v>39</v>
      </c>
      <c r="AE45" s="12">
        <f t="shared" si="44"/>
        <v>84</v>
      </c>
      <c r="AF45" s="260">
        <f>AF44*(1-VLOOKUP(AE45,boc_trpr_bc,11,TRUE)*boc_rr_bc_mast-VLOOKUP(AE45,boc_trpr_oc,11,TRUE)*boc_rr_oc_mast-VLOOKUP(AE45,mortt,2,FALSE))+SUM(AI44,AK44,AM44)*boc_tr_mast_path+SUM(AJ44,AL44,AN44)*boc_tr_mast_vus</f>
        <v>1.0921054530135093E-2</v>
      </c>
      <c r="AG45" s="260">
        <f>AG44*(1-VLOOKUP(AE45,boc_trpr_bc,11,TRUE)*boc_rr_bc_ooph-VLOOKUP(AE45,boc_trpr_oc,11,TRUE)*boc_rr_oc_ooph-VLOOKUP(AE45,mortt,2,FALSE))+SUM(AI44,AK44,AM44)*boc_tr_ooph_path+SUM(AJ44,AL44,AN44)*boc_tr_ooph_vus</f>
        <v>1.0262968790193233E-2</v>
      </c>
      <c r="AH45" s="260">
        <f>AH44*(1-VLOOKUP(AE45,boc_trpr_bc,11,TRUE)*boc_rr_bc_both-VLOOKUP(AE45,boc_trpr_oc,11,TRUE)*boc_rr_oc_both-VLOOKUP(AE45,mortt,2,FALSE))+SUM(AI44,AK44,AM44)*boc_tr_both_path+SUM(AJ44,AL44,AN44)*boc_tr_both_vus</f>
        <v>1.0812208032565589E-2</v>
      </c>
      <c r="AI45" s="289">
        <f>AI44*(1-VLOOKUP(AE45,boc_trpr_bc,11,TRUE)*boc_rr_bc_hip-VLOOKUP(AE45,boc_trpr_oc,11,TRUE)*boc_rr_oc_hip-boc_tr_mast_path-boc_tr_ooph_path-boc_tr_both_path-VLOOKUP(AE45,mortt,2,FALSE))</f>
        <v>1.6908693122846184E-32</v>
      </c>
      <c r="AJ45" s="289">
        <f>AJ44*(1-VLOOKUP(AE45,boc_trpr_bc,11,TRUE)*boc_rr_bc_hiv-VLOOKUP(AE45,boc_trpr_oc,11,TRUE)*boc_rr_oc_hiv-boc_tr_mast_vus-boc_tr_ooph_vus-boc_tr_both_vus-VLOOKUP(AE45,mortt,2,FALSE))</f>
        <v>6.5690125090361197E-6</v>
      </c>
      <c r="AK45" s="289">
        <f>AK44*(1-VLOOKUP(AE45,boc_trpr_bc,11,TRUE)*boc_rr_bc_modp-VLOOKUP(AE45,boc_trpr_oc,11,TRUE)*boc_rr_oc_modp-boc_tr_mast_path-boc_tr_ooph_path-boc_tr_both_path-VLOOKUP(AE45,mortt,2,FALSE))</f>
        <v>3.4631204532795116E-29</v>
      </c>
      <c r="AL45" s="289">
        <f>AL44*(1-VLOOKUP(AE45,boc_trpr_bc,11,TRUE)*boc_rr_bc_modv-VLOOKUP(AE45,boc_trpr_oc,11,TRUE)*boc_rr_oc_modv-boc_tr_mast_vus-boc_tr_ooph_vus-boc_tr_both_vus-VLOOKUP(AE45,mortt,2,FALSE))</f>
        <v>8.3523526816841829E-6</v>
      </c>
      <c r="AM45" s="289">
        <f>AM44*(1-VLOOKUP(AE45,boc_trpr_bc,11,TRUE)*boc_rr_bc_lop-VLOOKUP(AE45,boc_trpr_oc,11,TRUE)*boc_rr_oc_lop-boc_tr_mast_path-boc_tr_ooph_path-boc_tr_both_path-VLOOKUP(AE45,mortt,2,FALSE))</f>
        <v>7.0454600902573173E-29</v>
      </c>
      <c r="AN45" s="289">
        <f>AN44*(1-VLOOKUP(AE45,boc_trpr_bc,11,TRUE)*boc_rr_bc_lov-VLOOKUP(AE45,boc_trpr_oc,11,TRUE)*boc_rr_oc_lov-boc_tr_mast_vus-boc_tr_ooph_vus-boc_tr_both_vus-VLOOKUP(AE45,mortt,2,FALSE))</f>
        <v>1.8284880285125387E-6</v>
      </c>
      <c r="AO45" s="260">
        <f>AO44*(1-VLOOKUP(AE45,boc_trpr_bc,11,TRUE)*boc_rr_bc_np-VLOOKUP(AE45,boc_trpr_oc,11,TRUE)*boc_rr_oc_np-VLOOKUP(AE45,mortt,2,FALSE))</f>
        <v>0.41361382548588743</v>
      </c>
      <c r="AP45" s="260">
        <f>AF44*VLOOKUP(AE45,boc_trpr_bc,11,TRUE)*boc_rr_bc_mast+AG44*VLOOKUP(AE45,boc_trpr_bc,11,TRUE)*boc_rr_bc_ooph+AH44*VLOOKUP(AE45,boc_trpr_bc,11,TRUE)*boc_rr_bc_both+AI44*VLOOKUP(AE45,boc_trpr_bc,11,TRUE)*boc_rr_bc_hip+AJ44*VLOOKUP(AE45,boc_trpr_bc,11,TRUE)*boc_rr_bc_hiv+AK44*VLOOKUP(AE45,boc_trpr_bc,11,TRUE)*boc_rr_bc_modp+AL44*VLOOKUP(AE45,boc_trpr_bc,11,TRUE)*boc_rr_bc_modv+AM44*VLOOKUP(AE45,boc_trpr_bc,11,TRUE)*boc_rr_bc_lop+AN44*VLOOKUP(AE45,boc_trpr_bc,11,TRUE)*boc_rr_bc_lov+AO44*VLOOKUP(AE45,boc_trpr_bc,11,TRUE)*boc_rr_bc_np</f>
        <v>1.8628493746144696E-3</v>
      </c>
      <c r="AQ45" s="260">
        <f>AF44*VLOOKUP(AE45,boc_trpr_oc,11,TRUE)*boc_rr_oc_mast+AG44*VLOOKUP(AE45,boc_trpr_oc,11,TRUE)*boc_rr_oc_ooph+AH44*VLOOKUP(AE45,boc_trpr_oc,11,TRUE)*boc_rr_oc_both+AI44*VLOOKUP(AE45,boc_trpr_oc,11,TRUE)*boc_rr_oc_hip+AJ44*VLOOKUP(AE45,boc_trpr_oc,11,TRUE)*boc_rr_oc_hiv+AK44*VLOOKUP(AE45,boc_trpr_oc,11,TRUE)*boc_rr_oc_modp+AL44*VLOOKUP(AE45,boc_trpr_oc,11,TRUE)*boc_rr_oc_modv+AM44*VLOOKUP(AE45,boc_trpr_oc,11,TRUE)*boc_rr_oc_lop+AN44*VLOOKUP(AE45,boc_trpr_oc,11,TRUE)*boc_rr_oc_lov+AO44*VLOOKUP(AE45,boc_trpr_oc,11,TRUE)*boc_rr_oc_np</f>
        <v>2.1616817145540931E-4</v>
      </c>
      <c r="AR45" s="260">
        <f>AP44*(1-VLOOKUP(AE45,boc_trpr_bc_death,20,TRUE))+AQ44*(1-VLOOKUP(AE45,boc_trpr_oc_death,20,TRUE))+AR44*(1-VLOOKUP(AE45,mortt,2,FALSE)*boc_rr_death_pc)</f>
        <v>4.9897900072604688E-2</v>
      </c>
      <c r="AS45" s="260">
        <f>AS44+SUM(AF44:AO44)*VLOOKUP(AE45,mortt,2,FALSE)+AP44*VLOOKUP(AE45,boc_trpr_bc_death,20,TRUE)+AQ44*VLOOKUP(AE45,boc_trpr_bc_death,20,TRUE)+AR44*VLOOKUP(AE45,mortt,2,FALSE)*boc_rr_death_pc</f>
        <v>0.50239917866631323</v>
      </c>
      <c r="AT45" s="260">
        <f t="shared" ref="AT45:AT106" si="52">SUM(AF45:AS45)</f>
        <v>1.0000029029769884</v>
      </c>
      <c r="AU45" s="118">
        <f>(boc_cost_mast*SUM(AI45,AK45,AM45)*(boc_tr_mast_path+boc_tr_both_path)+SUM(AJ45,AL45,AN45)*(boc_tr_mast_vus+boc_tr_both_vus)+AP45*boc_cost_bc+AQ45*boc_cost_oc+AR45*boc_cost_pc+(AP45*VLOOKUP(AE45,boc_trpr_bc_death,20,TRUE)+AQ45*VLOOKUP(AE45,boc_trpr_oc_death,TRUE)*boc_cost_death))/((1+discount)^AD45)</f>
        <v>550.26822350539965</v>
      </c>
      <c r="AV45" s="35">
        <f t="shared" si="45"/>
        <v>0.14759006807861599</v>
      </c>
      <c r="AW45" s="35">
        <f t="shared" si="46"/>
        <v>0.15711922382714169</v>
      </c>
      <c r="AY45" s="12">
        <v>39</v>
      </c>
      <c r="AZ45" s="12">
        <f t="shared" si="47"/>
        <v>84</v>
      </c>
      <c r="BA45" s="260">
        <f>BA44*(1-VLOOKUP(AZ45,boc_trpr_bc,11,TRUE)*boc_rr_bc_mast-VLOOKUP(AZ45,boc_trpr_oc,11,TRUE)*boc_rr_oc_mast-VLOOKUP(AZ45,mortt,2,FALSE))</f>
        <v>4.9651245341106034E-3</v>
      </c>
      <c r="BB45" s="260">
        <f>BB44*(1-VLOOKUP(AZ45,boc_trpr_bc,11,TRUE)*boc_rr_bc_ooph-VLOOKUP(AZ45,boc_trpr_oc,11,TRUE)*boc_rr_oc_ooph-VLOOKUP(AZ45,mortt,2,FALSE))</f>
        <v>4.7577075076876392E-3</v>
      </c>
      <c r="BC45" s="260">
        <f>BC44*(1-VLOOKUP(AZ45,boc_trpr_bc,11,TRUE)*boc_rr_bc_both-VLOOKUP(AZ45,boc_trpr_oc,11,TRUE)*boc_rr_oc_both-VLOOKUP(AZ45,mortt,2,FALSE))</f>
        <v>5.0453606719343264E-3</v>
      </c>
      <c r="BD45" s="289">
        <f>BD44*(1-VLOOKUP(AZ45,boc_trpr_bc,11,TRUE)*boc_rr_bc_hip-VLOOKUP(AZ45,boc_trpr_oc,11,TRUE)*boc_rr_oc_hip-VLOOKUP(AZ45,mortt,2,FALSE))</f>
        <v>2.1205911108769987E-4</v>
      </c>
      <c r="BE45" s="289">
        <f>BE44*(1-VLOOKUP(AZ45,boc_trpr_bc,11,TRUE)*boc_rr_bc_hiv-VLOOKUP(AZ45,boc_trpr_oc,11,TRUE)*boc_rr_oc_hiv-VLOOKUP(AZ45,mortt,2,FALSE))</f>
        <v>4.5020590464183094E-3</v>
      </c>
      <c r="BF45" s="289">
        <f>BF44*(1-VLOOKUP(AZ45,boc_trpr_bc,11,TRUE)*boc_rr_bc_modp-VLOOKUP(AZ45,boc_trpr_oc,11,TRUE)*boc_rr_oc_modp-VLOOKUP(AZ45,mortt,2,FALSE))</f>
        <v>1.1480529928186694E-3</v>
      </c>
      <c r="BG45" s="289">
        <f>BG44*(1-VLOOKUP(AZ45,boc_trpr_bc,11,TRUE)*boc_rr_bc_modv-VLOOKUP(AZ45,boc_trpr_oc,11,TRUE)*boc_rr_oc_modv-VLOOKUP(AZ45,mortt,2,FALSE))</f>
        <v>5.7242675208377678E-3</v>
      </c>
      <c r="BH45" s="289">
        <f>BH44*(1-VLOOKUP(AZ45,boc_trpr_bc,11,TRUE)*boc_rr_bc_lop-VLOOKUP(AZ45,boc_trpr_oc,11,TRUE)*boc_rr_oc_lop-VLOOKUP(AZ45,mortt,2,FALSE))</f>
        <v>4.1143377091543078E-4</v>
      </c>
      <c r="BI45" s="289">
        <f>BI44*(1-VLOOKUP(AZ45,boc_trpr_bc,11,TRUE)*boc_rr_bc_lov-VLOOKUP(AZ45,boc_trpr_oc,11,TRUE)*boc_rr_oc_lov-VLOOKUP(AZ45,mortt,2,FALSE))</f>
        <v>1.2531504634385815E-3</v>
      </c>
      <c r="BJ45" s="260">
        <f>BJ44*(1-VLOOKUP(AZ45,boc_trpr_bc,11,TRUE)*boc_rr_bc_np-VLOOKUP(AZ45,boc_trpr_oc,11,TRUE)*boc_rr_oc_np-VLOOKUP(AZ45,mortt,2,FALSE))</f>
        <v>0.41361382548588743</v>
      </c>
      <c r="BK45" s="260">
        <f>BA44*VLOOKUP(AZ45,boc_trpr_bc,11,TRUE)*boc_rr_bc_mast+BB44*VLOOKUP(AZ45,boc_trpr_bc,11,TRUE)*boc_rr_bc_ooph+BC44*VLOOKUP(AZ45,boc_trpr_bc,11,TRUE)*boc_rr_bc_both+BD44*VLOOKUP(AZ45,boc_trpr_bc,11,TRUE)*boc_rr_bc_hip+BE44*VLOOKUP(AZ45,boc_trpr_bc,11,TRUE)*boc_rr_bc_hiv+BF44*VLOOKUP(AZ45,boc_trpr_bc,11,TRUE)*boc_rr_bc_modp+BG44*VLOOKUP(AZ45,boc_trpr_bc,11,TRUE)*boc_rr_bc_modv+BH44*VLOOKUP(AZ45,boc_trpr_bc,11,TRUE)*boc_rr_bc_lop+BI44*VLOOKUP(AZ45,boc_trpr_bc,11,TRUE)*boc_rr_bc_lov+BJ44*VLOOKUP(AZ45,boc_trpr_bc,11,TRUE)*boc_rr_bc_np</f>
        <v>1.9462416557007433E-3</v>
      </c>
      <c r="BL45" s="260">
        <f>BA44*VLOOKUP(AZ45,boc_trpr_oc,11,TRUE)*boc_rr_oc_mast+BB44*VLOOKUP(AZ45,boc_trpr_oc,11,TRUE)*boc_rr_oc_ooph+BC44*VLOOKUP(AZ45,boc_trpr_oc,11,TRUE)*boc_rr_oc_both+BD44*VLOOKUP(AZ45,boc_trpr_oc,11,TRUE)*boc_rr_oc_hip+BE44*VLOOKUP(AZ45,boc_trpr_oc,11,TRUE)*boc_rr_oc_hiv+BF44*VLOOKUP(AZ45,boc_trpr_oc,11,TRUE)*boc_rr_oc_modp+BG44*VLOOKUP(AZ45,boc_trpr_oc,11,TRUE)*boc_rr_oc_modv+BH44*VLOOKUP(AZ45,boc_trpr_oc,11,TRUE)*boc_rr_oc_lop+BI44*VLOOKUP(AZ45,boc_trpr_oc,11,TRUE)*boc_rr_oc_lov+BJ44*VLOOKUP(AZ45,boc_trpr_oc,11,TRUE)*boc_rr_oc_np</f>
        <v>2.2363293147158799E-4</v>
      </c>
      <c r="BM45" s="260">
        <f>BK44*(1-VLOOKUP(AZ45,boc_trpr_bc_death,20,TRUE))+BL44*(1-VLOOKUP(AZ45,boc_trpr_oc_death,20,TRUE))+BM44*(1-VLOOKUP(AZ45,mortt,2,FALSE)*boc_rr_death_pc)</f>
        <v>5.302346537357791E-2</v>
      </c>
      <c r="BN45" s="260">
        <f>BN44+SUM(BA44:BJ44)*VLOOKUP(AZ45,mortt,2,FALSE)+BK44*VLOOKUP(AZ45,boc_trpr_bc_death,20,TRUE)+BL44*VLOOKUP(AZ45,boc_trpr_bc_death,20,TRUE)+BM44*VLOOKUP(AZ45,mortt,2,FALSE)*boc_rr_death_pc</f>
        <v>0.50317667542457833</v>
      </c>
      <c r="BO45" s="260">
        <f t="shared" si="41"/>
        <v>1.0000030564904652</v>
      </c>
      <c r="BP45" s="118">
        <f>(boc_cost_mast*SUM(BD45,BF45,BH45)*(boc_tr_mast_path+boc_tr_both_path)+SUM(BE45,BG45,BI45)*(boc_tr_mast_vus+boc_tr_both_vus)+BK45*boc_cost_bc+BL45*boc_cost_oc+BM45*boc_cost_pc+(BK45*VLOOKUP(AZ45,boc_trpr_bc_death,20,TRUE)+BL45*VLOOKUP(AZ45,boc_trpr_oc_death,TRUE)*boc_cost_death))/((1+discount)^AY45)</f>
        <v>576.67688004622516</v>
      </c>
      <c r="BQ45" s="35">
        <f t="shared" si="48"/>
        <v>0.14718973497715396</v>
      </c>
      <c r="BR45" s="35">
        <f t="shared" si="49"/>
        <v>0.15687372646871831</v>
      </c>
      <c r="BS45" s="35"/>
      <c r="BU45" s="33">
        <v>25</v>
      </c>
      <c r="BV45" t="e">
        <f>#REF!</f>
        <v>#REF!</v>
      </c>
      <c r="BW45" s="295" t="e">
        <f>#REF!</f>
        <v>#REF!</v>
      </c>
      <c r="BX45" s="295" t="e">
        <f>#REF!</f>
        <v>#REF!</v>
      </c>
      <c r="BY45" s="311">
        <v>-7.4564511412650063</v>
      </c>
      <c r="BZ45" s="311">
        <v>-7.6497045333439928</v>
      </c>
      <c r="CA45" s="311">
        <f t="shared" si="25"/>
        <v>0.19325339207898651</v>
      </c>
      <c r="CD45" s="138">
        <v>40</v>
      </c>
      <c r="CE45" s="291">
        <v>1.3489999999999999E-3</v>
      </c>
    </row>
    <row r="46" spans="2:105" ht="15" customHeight="1" x14ac:dyDescent="0.2">
      <c r="B46" s="37" t="s">
        <v>13</v>
      </c>
      <c r="C46" s="35">
        <f>1-SUM(C44:C45)</f>
        <v>0.63469613300000005</v>
      </c>
      <c r="D46" s="12"/>
      <c r="E46" s="12"/>
      <c r="I46" s="12"/>
      <c r="J46" s="12"/>
      <c r="K46" s="12"/>
      <c r="M46" s="247" t="s">
        <v>164</v>
      </c>
      <c r="N46" s="40" t="s">
        <v>49</v>
      </c>
      <c r="Q46" s="11"/>
      <c r="S46" s="11"/>
      <c r="U46" s="9" t="s">
        <v>7</v>
      </c>
      <c r="V46" s="250">
        <f>boc_unk_int_mast*boc_test_int_np_mast</f>
        <v>0.01</v>
      </c>
      <c r="X46" s="261">
        <f>R42*T47*V46</f>
        <v>6.9286235869884009E-5</v>
      </c>
      <c r="AD46" s="12">
        <v>40</v>
      </c>
      <c r="AE46" s="12">
        <f t="shared" si="44"/>
        <v>85</v>
      </c>
      <c r="AF46" s="260">
        <f>AF45*(1-VLOOKUP(AE46,boc_trpr_bc,11,TRUE)*boc_rr_bc_mast-VLOOKUP(AE46,boc_trpr_oc,11,TRUE)*boc_rr_oc_mast-VLOOKUP(AE46,mortt,2,FALSE))+SUM(AI45,AK45,AM45)*boc_tr_mast_path+SUM(AJ45,AL45,AN45)*boc_tr_mast_vus</f>
        <v>1.0118234135782117E-2</v>
      </c>
      <c r="AG46" s="260">
        <f>AG45*(1-VLOOKUP(AE46,boc_trpr_bc,11,TRUE)*boc_rr_bc_ooph-VLOOKUP(AE46,boc_trpr_oc,11,TRUE)*boc_rr_oc_ooph-VLOOKUP(AE46,mortt,2,FALSE))+SUM(AI45,AK45,AM45)*boc_tr_ooph_path+SUM(AJ45,AL45,AN45)*boc_tr_ooph_vus</f>
        <v>9.4952881789525396E-3</v>
      </c>
      <c r="AH46" s="260">
        <f>AH45*(1-VLOOKUP(AE46,boc_trpr_bc,11,TRUE)*boc_rr_bc_both-VLOOKUP(AE46,boc_trpr_oc,11,TRUE)*boc_rr_oc_both-VLOOKUP(AE46,mortt,2,FALSE))+SUM(AI45,AK45,AM45)*boc_tr_both_path+SUM(AJ45,AL45,AN45)*boc_tr_both_vus</f>
        <v>1.0023892662662138E-2</v>
      </c>
      <c r="AI46" s="289">
        <f>AI45*(1-VLOOKUP(AE46,boc_trpr_bc,11,TRUE)*boc_rr_bc_hip-VLOOKUP(AE46,boc_trpr_oc,11,TRUE)*boc_rr_oc_hip-boc_tr_mast_path-boc_tr_ooph_path-boc_tr_both_path-VLOOKUP(AE46,mortt,2,FALSE))</f>
        <v>1.8335507067222274E-33</v>
      </c>
      <c r="AJ46" s="289">
        <f>AJ45*(1-VLOOKUP(AE46,boc_trpr_bc,11,TRUE)*boc_rr_bc_hiv-VLOOKUP(AE46,boc_trpr_oc,11,TRUE)*boc_rr_oc_hiv-boc_tr_mast_vus-boc_tr_ooph_vus-boc_tr_both_vus-VLOOKUP(AE46,mortt,2,FALSE))</f>
        <v>5.0728843411095104E-6</v>
      </c>
      <c r="AK46" s="289">
        <f>AK45*(1-VLOOKUP(AE46,boc_trpr_bc,11,TRUE)*boc_rr_bc_modp-VLOOKUP(AE46,boc_trpr_oc,11,TRUE)*boc_rr_oc_modp-boc_tr_mast_path-boc_tr_ooph_path-boc_tr_both_path-VLOOKUP(AE46,mortt,2,FALSE))</f>
        <v>5.3450533583020387E-30</v>
      </c>
      <c r="AL46" s="289">
        <f>AL45*(1-VLOOKUP(AE46,boc_trpr_bc,11,TRUE)*boc_rr_bc_modv-VLOOKUP(AE46,boc_trpr_oc,11,TRUE)*boc_rr_oc_modv-boc_tr_mast_vus-boc_tr_ooph_vus-boc_tr_both_vus-VLOOKUP(AE46,mortt,2,FALSE))</f>
        <v>6.4500591332496648E-6</v>
      </c>
      <c r="AM46" s="289">
        <f>AM45*(1-VLOOKUP(AE46,boc_trpr_bc,11,TRUE)*boc_rr_bc_lop-VLOOKUP(AE46,boc_trpr_oc,11,TRUE)*boc_rr_oc_lop-boc_tr_mast_path-boc_tr_ooph_path-boc_tr_both_path-VLOOKUP(AE46,mortt,2,FALSE))</f>
        <v>1.2006058246616501E-29</v>
      </c>
      <c r="AN46" s="289">
        <f>AN45*(1-VLOOKUP(AE46,boc_trpr_bc,11,TRUE)*boc_rr_bc_lov-VLOOKUP(AE46,boc_trpr_oc,11,TRUE)*boc_rr_oc_lov-boc_tr_mast_vus-boc_tr_ooph_vus-boc_tr_both_vus-VLOOKUP(AE46,mortt,2,FALSE))</f>
        <v>1.4120399793710388E-6</v>
      </c>
      <c r="AO46" s="260">
        <f>AO45*(1-VLOOKUP(AE46,boc_trpr_bc,11,TRUE)*boc_rr_bc_np-VLOOKUP(AE46,boc_trpr_oc,11,TRUE)*boc_rr_oc_np-VLOOKUP(AE46,mortt,2,FALSE))</f>
        <v>0.38164297531236419</v>
      </c>
      <c r="AP46" s="260">
        <f>AF45*VLOOKUP(AE46,boc_trpr_bc,11,TRUE)*boc_rr_bc_mast+AG45*VLOOKUP(AE46,boc_trpr_bc,11,TRUE)*boc_rr_bc_ooph+AH45*VLOOKUP(AE46,boc_trpr_bc,11,TRUE)*boc_rr_bc_both+AI45*VLOOKUP(AE46,boc_trpr_bc,11,TRUE)*boc_rr_bc_hip+AJ45*VLOOKUP(AE46,boc_trpr_bc,11,TRUE)*boc_rr_bc_hiv+AK45*VLOOKUP(AE46,boc_trpr_bc,11,TRUE)*boc_rr_bc_modp+AL45*VLOOKUP(AE46,boc_trpr_bc,11,TRUE)*boc_rr_bc_modv+AM45*VLOOKUP(AE46,boc_trpr_bc,11,TRUE)*boc_rr_bc_lop+AN45*VLOOKUP(AE46,boc_trpr_bc,11,TRUE)*boc_rr_bc_lov+AO45*VLOOKUP(AE46,boc_trpr_bc,11,TRUE)*boc_rr_bc_np</f>
        <v>1.7326611618076989E-3</v>
      </c>
      <c r="AQ46" s="260">
        <f>AF45*VLOOKUP(AE46,boc_trpr_oc,11,TRUE)*boc_rr_oc_mast+AG45*VLOOKUP(AE46,boc_trpr_oc,11,TRUE)*boc_rr_oc_ooph+AH45*VLOOKUP(AE46,boc_trpr_oc,11,TRUE)*boc_rr_oc_both+AI45*VLOOKUP(AE46,boc_trpr_oc,11,TRUE)*boc_rr_oc_hip+AJ45*VLOOKUP(AE46,boc_trpr_oc,11,TRUE)*boc_rr_oc_hiv+AK45*VLOOKUP(AE46,boc_trpr_oc,11,TRUE)*boc_rr_oc_modp+AL45*VLOOKUP(AE46,boc_trpr_oc,11,TRUE)*boc_rr_oc_modv+AM45*VLOOKUP(AE46,boc_trpr_oc,11,TRUE)*boc_rr_oc_lop+AN45*VLOOKUP(AE46,boc_trpr_oc,11,TRUE)*boc_rr_oc_lov+AO45*VLOOKUP(AE46,boc_trpr_oc,11,TRUE)*boc_rr_oc_np</f>
        <v>2.0107764962953276E-4</v>
      </c>
      <c r="AR46" s="260">
        <f>AP45*(1-VLOOKUP(AE46,boc_trpr_bc_death,20,TRUE))+AQ45*(1-VLOOKUP(AE46,boc_trpr_oc_death,20,TRUE))+AR45*(1-VLOOKUP(AE46,mortt,2,FALSE)*boc_rr_death_pc)</f>
        <v>4.6532754301177773E-2</v>
      </c>
      <c r="AS46" s="260">
        <f>AS45+SUM(AF45:AO45)*VLOOKUP(AE46,mortt,2,FALSE)+AP45*VLOOKUP(AE46,boc_trpr_bc_death,20,TRUE)+AQ45*VLOOKUP(AE46,boc_trpr_bc_death,20,TRUE)+AR45*VLOOKUP(AE46,mortt,2,FALSE)*boc_rr_death_pc</f>
        <v>0.54024323383548545</v>
      </c>
      <c r="AT46" s="260">
        <f t="shared" si="52"/>
        <v>1.0000030522213152</v>
      </c>
      <c r="AU46" s="118">
        <f>(boc_cost_mast*SUM(AI46,AK46,AM46)*(boc_tr_mast_path+boc_tr_both_path)+SUM(AJ46,AL46,AN46)*(boc_tr_mast_vus+boc_tr_both_vus)+AP46*boc_cost_bc+AQ46*boc_cost_oc+AR46*boc_cost_pc+(AP46*VLOOKUP(AE46,boc_trpr_bc_death,20,TRUE)+AQ46*VLOOKUP(AE46,boc_trpr_oc_death,TRUE)*boc_cost_death))/((1+discount)^AD46)</f>
        <v>497.22306767945514</v>
      </c>
      <c r="AV46" s="35">
        <f t="shared" si="45"/>
        <v>0.13237993836982292</v>
      </c>
      <c r="AW46" s="35">
        <f t="shared" si="46"/>
        <v>0.14094158175977545</v>
      </c>
      <c r="AY46" s="12">
        <v>40</v>
      </c>
      <c r="AZ46" s="12">
        <f t="shared" si="47"/>
        <v>85</v>
      </c>
      <c r="BA46" s="260">
        <f>BA45*(1-VLOOKUP(AZ46,boc_trpr_bc,11,TRUE)*boc_rr_bc_mast-VLOOKUP(AZ46,boc_trpr_oc,11,TRUE)*boc_rr_oc_mast-VLOOKUP(AZ46,mortt,2,FALSE))</f>
        <v>4.5997512562065482E-3</v>
      </c>
      <c r="BB46" s="260">
        <f>BB45*(1-VLOOKUP(AZ46,boc_trpr_bc,11,TRUE)*boc_rr_bc_ooph-VLOOKUP(AZ46,boc_trpr_oc,11,TRUE)*boc_rr_oc_ooph-VLOOKUP(AZ46,mortt,2,FALSE))</f>
        <v>4.4014378524373345E-3</v>
      </c>
      <c r="BC46" s="260">
        <f>BC45*(1-VLOOKUP(AZ46,boc_trpr_bc,11,TRUE)*boc_rr_bc_both-VLOOKUP(AZ46,boc_trpr_oc,11,TRUE)*boc_rr_oc_both-VLOOKUP(AZ46,mortt,2,FALSE))</f>
        <v>4.6771138896920025E-3</v>
      </c>
      <c r="BD46" s="289">
        <f>BD45*(1-VLOOKUP(AZ46,boc_trpr_bc,11,TRUE)*boc_rr_bc_hip-VLOOKUP(AZ46,boc_trpr_oc,11,TRUE)*boc_rr_oc_hip-VLOOKUP(AZ46,mortt,2,FALSE))</f>
        <v>1.8203967246924166E-4</v>
      </c>
      <c r="BE46" s="289">
        <f>BE45*(1-VLOOKUP(AZ46,boc_trpr_bc,11,TRUE)*boc_rr_bc_hiv-VLOOKUP(AZ46,boc_trpr_oc,11,TRUE)*boc_rr_oc_hiv-VLOOKUP(AZ46,mortt,2,FALSE))</f>
        <v>4.1519995784235547E-3</v>
      </c>
      <c r="BF46" s="289">
        <f>BF45*(1-VLOOKUP(AZ46,boc_trpr_bc,11,TRUE)*boc_rr_bc_modp-VLOOKUP(AZ46,boc_trpr_oc,11,TRUE)*boc_rr_oc_modp-VLOOKUP(AZ46,mortt,2,FALSE))</f>
        <v>1.038232671847101E-3</v>
      </c>
      <c r="BG46" s="289">
        <f>BG45*(1-VLOOKUP(AZ46,boc_trpr_bc,11,TRUE)*boc_rr_bc_modv-VLOOKUP(AZ46,boc_trpr_oc,11,TRUE)*boc_rr_oc_modv-VLOOKUP(AZ46,mortt,2,FALSE))</f>
        <v>5.2791747261090299E-3</v>
      </c>
      <c r="BH46" s="289">
        <f>BH45*(1-VLOOKUP(AZ46,boc_trpr_bc,11,TRUE)*boc_rr_bc_lop-VLOOKUP(AZ46,boc_trpr_oc,11,TRUE)*boc_rr_oc_lop-VLOOKUP(AZ46,mortt,2,FALSE))</f>
        <v>3.7868711300906467E-4</v>
      </c>
      <c r="BI46" s="289">
        <f>BI45*(1-VLOOKUP(AZ46,boc_trpr_bc,11,TRUE)*boc_rr_bc_lov-VLOOKUP(AZ46,boc_trpr_oc,11,TRUE)*boc_rr_oc_lov-VLOOKUP(AZ46,mortt,2,FALSE))</f>
        <v>1.1557112295178965E-3</v>
      </c>
      <c r="BJ46" s="260">
        <f>BJ45*(1-VLOOKUP(AZ46,boc_trpr_bc,11,TRUE)*boc_rr_bc_np-VLOOKUP(AZ46,boc_trpr_oc,11,TRUE)*boc_rr_oc_np-VLOOKUP(AZ46,mortt,2,FALSE))</f>
        <v>0.38164297531236419</v>
      </c>
      <c r="BK46" s="260">
        <f>BA45*VLOOKUP(AZ46,boc_trpr_bc,11,TRUE)*boc_rr_bc_mast+BB45*VLOOKUP(AZ46,boc_trpr_bc,11,TRUE)*boc_rr_bc_ooph+BC45*VLOOKUP(AZ46,boc_trpr_bc,11,TRUE)*boc_rr_bc_both+BD45*VLOOKUP(AZ46,boc_trpr_bc,11,TRUE)*boc_rr_bc_hip+BE45*VLOOKUP(AZ46,boc_trpr_bc,11,TRUE)*boc_rr_bc_hiv+BF45*VLOOKUP(AZ46,boc_trpr_bc,11,TRUE)*boc_rr_bc_modp+BG45*VLOOKUP(AZ46,boc_trpr_bc,11,TRUE)*boc_rr_bc_modv+BH45*VLOOKUP(AZ46,boc_trpr_bc,11,TRUE)*boc_rr_bc_lop+BI45*VLOOKUP(AZ46,boc_trpr_bc,11,TRUE)*boc_rr_bc_lov+BJ45*VLOOKUP(AZ46,boc_trpr_bc,11,TRUE)*boc_rr_bc_np</f>
        <v>1.8087075733708425E-3</v>
      </c>
      <c r="BL46" s="260">
        <f>BA45*VLOOKUP(AZ46,boc_trpr_oc,11,TRUE)*boc_rr_oc_mast+BB45*VLOOKUP(AZ46,boc_trpr_oc,11,TRUE)*boc_rr_oc_ooph+BC45*VLOOKUP(AZ46,boc_trpr_oc,11,TRUE)*boc_rr_oc_both+BD45*VLOOKUP(AZ46,boc_trpr_oc,11,TRUE)*boc_rr_oc_hip+BE45*VLOOKUP(AZ46,boc_trpr_oc,11,TRUE)*boc_rr_oc_hiv+BF45*VLOOKUP(AZ46,boc_trpr_oc,11,TRUE)*boc_rr_oc_modp+BG45*VLOOKUP(AZ46,boc_trpr_oc,11,TRUE)*boc_rr_oc_modv+BH45*VLOOKUP(AZ46,boc_trpr_oc,11,TRUE)*boc_rr_oc_lop+BI45*VLOOKUP(AZ46,boc_trpr_oc,11,TRUE)*boc_rr_oc_lov+BJ45*VLOOKUP(AZ46,boc_trpr_oc,11,TRUE)*boc_rr_oc_np</f>
        <v>2.0783834309956057E-4</v>
      </c>
      <c r="BM46" s="260">
        <f>BK45*(1-VLOOKUP(AZ46,boc_trpr_bc_death,20,TRUE))+BL45*(1-VLOOKUP(AZ46,boc_trpr_oc_death,20,TRUE))+BM45*(1-VLOOKUP(AZ46,mortt,2,FALSE)*boc_rr_death_pc)</f>
        <v>4.9408201626273435E-2</v>
      </c>
      <c r="BN46" s="260">
        <f>BN45+SUM(BA45:BJ45)*VLOOKUP(AZ46,mortt,2,FALSE)+BK45*VLOOKUP(AZ46,boc_trpr_bc_death,20,TRUE)+BL45*VLOOKUP(AZ46,boc_trpr_bc_death,20,TRUE)+BM45*VLOOKUP(AZ46,mortt,2,FALSE)*boc_rr_death_pc</f>
        <v>0.54107134004370527</v>
      </c>
      <c r="BO46" s="260">
        <f t="shared" si="41"/>
        <v>1.0000032108885251</v>
      </c>
      <c r="BP46" s="118">
        <f>(boc_cost_mast*SUM(BD46,BF46,BH46)*(boc_tr_mast_path+boc_tr_both_path)+SUM(BE46,BG46,BI46)*(boc_tr_mast_vus+boc_tr_both_vus)+BK46*boc_cost_bc+BL46*boc_cost_oc+BM46*boc_cost_pc+(BK46*VLOOKUP(AZ46,boc_trpr_bc_death,20,TRUE)+BL46*VLOOKUP(AZ46,boc_trpr_oc_death,TRUE)*boc_cost_death))/((1+discount)^AY46)</f>
        <v>520.55172727494175</v>
      </c>
      <c r="BQ46" s="35">
        <f t="shared" si="48"/>
        <v>0.13198993570225218</v>
      </c>
      <c r="BR46" s="35">
        <f t="shared" si="49"/>
        <v>0.1406877201367584</v>
      </c>
      <c r="BS46" s="35"/>
      <c r="BU46" s="33">
        <v>22</v>
      </c>
      <c r="BV46" t="str">
        <f>$M$80</f>
        <v>boc_tr_mast_path</v>
      </c>
      <c r="BW46" s="35">
        <f>$F$80</f>
        <v>0.2</v>
      </c>
      <c r="BX46" s="35">
        <f>$G$80</f>
        <v>0.3</v>
      </c>
      <c r="BY46" s="311">
        <v>-7.4657581054507318</v>
      </c>
      <c r="BZ46" s="311">
        <v>-7.6403136321023339</v>
      </c>
      <c r="CA46" s="311">
        <f t="shared" si="25"/>
        <v>0.17455552665160212</v>
      </c>
      <c r="CD46" s="138">
        <v>41</v>
      </c>
      <c r="CE46" s="291">
        <v>1.4580000000000001E-3</v>
      </c>
    </row>
    <row r="47" spans="2:105" ht="15" customHeight="1" x14ac:dyDescent="0.2">
      <c r="B47" s="38" t="s">
        <v>52</v>
      </c>
      <c r="C47" s="12"/>
      <c r="D47" s="12"/>
      <c r="E47" s="12"/>
      <c r="I47" s="12"/>
      <c r="J47" s="12"/>
      <c r="K47" s="12"/>
      <c r="M47" s="249"/>
      <c r="Q47" s="11"/>
      <c r="S47" s="9" t="s">
        <v>13</v>
      </c>
      <c r="T47" s="251">
        <f>boc_path_low_np</f>
        <v>0.63469613300000005</v>
      </c>
      <c r="U47" s="9" t="s">
        <v>8</v>
      </c>
      <c r="V47" s="250">
        <f>boc_unk_int_ooph*boc_test_int_np_ooph</f>
        <v>0.01</v>
      </c>
      <c r="Y47" s="261">
        <f>R42*T47*V47</f>
        <v>6.9286235869884009E-5</v>
      </c>
      <c r="AD47" s="12">
        <v>41</v>
      </c>
      <c r="AE47" s="12">
        <f t="shared" si="44"/>
        <v>86</v>
      </c>
      <c r="AF47" s="260">
        <f>AF46*(1-VLOOKUP(AE47,boc_trpr_bc,11,TRUE)*boc_rr_bc_mast-VLOOKUP(AE47,boc_trpr_oc,11,TRUE)*boc_rr_oc_mast-VLOOKUP(AE47,mortt,2,FALSE))+SUM(AI46,AK46,AM46)*boc_tr_mast_path+SUM(AJ46,AL46,AN46)*boc_tr_mast_vus</f>
        <v>9.2825993396197376E-3</v>
      </c>
      <c r="AG47" s="260">
        <f>AG46*(1-VLOOKUP(AE47,boc_trpr_bc,11,TRUE)*boc_rr_bc_ooph-VLOOKUP(AE47,boc_trpr_oc,11,TRUE)*boc_rr_oc_ooph-VLOOKUP(AE47,mortt,2,FALSE))+SUM(AI46,AK46,AM46)*boc_tr_ooph_path+SUM(AJ46,AL46,AN46)*boc_tr_ooph_vus</f>
        <v>8.6988469713218924E-3</v>
      </c>
      <c r="AH47" s="260">
        <f>AH46*(1-VLOOKUP(AE47,boc_trpr_bc,11,TRUE)*boc_rr_bc_both-VLOOKUP(AE47,boc_trpr_oc,11,TRUE)*boc_rr_oc_both-VLOOKUP(AE47,mortt,2,FALSE))+SUM(AI46,AK46,AM46)*boc_tr_both_path+SUM(AJ46,AL46,AN46)*boc_tr_both_vus</f>
        <v>9.2020769469172287E-3</v>
      </c>
      <c r="AI47" s="289">
        <f>AI46*(1-VLOOKUP(AE47,boc_trpr_bc,11,TRUE)*boc_rr_bc_hip-VLOOKUP(AE47,boc_trpr_oc,11,TRUE)*boc_rr_oc_hip-boc_tr_mast_path-boc_tr_ooph_path-boc_tr_both_path-VLOOKUP(AE47,mortt,2,FALSE))</f>
        <v>1.8220973496291702E-34</v>
      </c>
      <c r="AJ47" s="289">
        <f>AJ46*(1-VLOOKUP(AE47,boc_trpr_bc,11,TRUE)*boc_rr_bc_hiv-VLOOKUP(AE47,boc_trpr_oc,11,TRUE)*boc_rr_oc_hiv-boc_tr_mast_vus-boc_tr_ooph_vus-boc_tr_both_vus-VLOOKUP(AE47,mortt,2,FALSE))</f>
        <v>3.8715319136756055E-6</v>
      </c>
      <c r="AK47" s="289">
        <f>AK46*(1-VLOOKUP(AE47,boc_trpr_bc,11,TRUE)*boc_rr_bc_modp-VLOOKUP(AE47,boc_trpr_oc,11,TRUE)*boc_rr_oc_modp-boc_tr_mast_path-boc_tr_ooph_path-boc_tr_both_path-VLOOKUP(AE47,mortt,2,FALSE))</f>
        <v>7.7652462240363209E-31</v>
      </c>
      <c r="AL47" s="289">
        <f>AL46*(1-VLOOKUP(AE47,boc_trpr_bc,11,TRUE)*boc_rr_bc_modv-VLOOKUP(AE47,boc_trpr_oc,11,TRUE)*boc_rr_oc_modv-boc_tr_mast_vus-boc_tr_ooph_vus-boc_tr_both_vus-VLOOKUP(AE47,mortt,2,FALSE))</f>
        <v>4.9225663548263067E-6</v>
      </c>
      <c r="AM47" s="289">
        <f>AM46*(1-VLOOKUP(AE47,boc_trpr_bc,11,TRUE)*boc_rr_bc_lop-VLOOKUP(AE47,boc_trpr_oc,11,TRUE)*boc_rr_oc_lop-boc_tr_mast_path-boc_tr_ooph_path-boc_tr_both_path-VLOOKUP(AE47,mortt,2,FALSE))</f>
        <v>1.9371226850268143E-30</v>
      </c>
      <c r="AN47" s="289">
        <f>AN46*(1-VLOOKUP(AE47,boc_trpr_bc,11,TRUE)*boc_rr_bc_lov-VLOOKUP(AE47,boc_trpr_oc,11,TRUE)*boc_rr_oc_lov-boc_tr_mast_vus-boc_tr_ooph_vus-boc_tr_both_vus-VLOOKUP(AE47,mortt,2,FALSE))</f>
        <v>1.0776429100146139E-6</v>
      </c>
      <c r="AO47" s="260">
        <f>AO46*(1-VLOOKUP(AE47,boc_trpr_bc,11,TRUE)*boc_rr_bc_np-VLOOKUP(AE47,boc_trpr_oc,11,TRUE)*boc_rr_oc_np-VLOOKUP(AE47,mortt,2,FALSE))</f>
        <v>0.34868452574055342</v>
      </c>
      <c r="AP47" s="260">
        <f>AF46*VLOOKUP(AE47,boc_trpr_bc,11,TRUE)*boc_rr_bc_mast+AG46*VLOOKUP(AE47,boc_trpr_bc,11,TRUE)*boc_rr_bc_ooph+AH46*VLOOKUP(AE47,boc_trpr_bc,11,TRUE)*boc_rr_bc_both+AI46*VLOOKUP(AE47,boc_trpr_bc,11,TRUE)*boc_rr_bc_hip+AJ46*VLOOKUP(AE47,boc_trpr_bc,11,TRUE)*boc_rr_bc_hiv+AK46*VLOOKUP(AE47,boc_trpr_bc,11,TRUE)*boc_rr_bc_modp+AL46*VLOOKUP(AE47,boc_trpr_bc,11,TRUE)*boc_rr_bc_modv+AM46*VLOOKUP(AE47,boc_trpr_bc,11,TRUE)*boc_rr_bc_lop+AN46*VLOOKUP(AE47,boc_trpr_bc,11,TRUE)*boc_rr_bc_lov+AO46*VLOOKUP(AE47,boc_trpr_bc,11,TRUE)*boc_rr_bc_np</f>
        <v>1.5988019308397225E-3</v>
      </c>
      <c r="AQ47" s="260">
        <f>AF46*VLOOKUP(AE47,boc_trpr_oc,11,TRUE)*boc_rr_oc_mast+AG46*VLOOKUP(AE47,boc_trpr_oc,11,TRUE)*boc_rr_oc_ooph+AH46*VLOOKUP(AE47,boc_trpr_oc,11,TRUE)*boc_rr_oc_both+AI46*VLOOKUP(AE47,boc_trpr_oc,11,TRUE)*boc_rr_oc_hip+AJ46*VLOOKUP(AE47,boc_trpr_oc,11,TRUE)*boc_rr_oc_hiv+AK46*VLOOKUP(AE47,boc_trpr_oc,11,TRUE)*boc_rr_oc_modp+AL46*VLOOKUP(AE47,boc_trpr_oc,11,TRUE)*boc_rr_oc_modv+AM46*VLOOKUP(AE47,boc_trpr_oc,11,TRUE)*boc_rr_oc_lop+AN46*VLOOKUP(AE47,boc_trpr_oc,11,TRUE)*boc_rr_oc_lov+AO46*VLOOKUP(AE47,boc_trpr_oc,11,TRUE)*boc_rr_oc_np</f>
        <v>1.8555868851872064E-4</v>
      </c>
      <c r="AR47" s="260">
        <f>AP46*(1-VLOOKUP(AE47,boc_trpr_bc_death,20,TRUE))+AQ46*(1-VLOOKUP(AE47,boc_trpr_oc_death,20,TRUE))+AR46*(1-VLOOKUP(AE47,mortt,2,FALSE)*boc_rr_death_pc)</f>
        <v>4.2756903800964904E-2</v>
      </c>
      <c r="AS47" s="260">
        <f>AS46+SUM(AF46:AO46)*VLOOKUP(AE47,mortt,2,FALSE)+AP46*VLOOKUP(AE47,boc_trpr_bc_death,20,TRUE)+AQ46*VLOOKUP(AE47,boc_trpr_bc_death,20,TRUE)+AR46*VLOOKUP(AE47,mortt,2,FALSE)*boc_rr_death_pc</f>
        <v>0.57958400588710457</v>
      </c>
      <c r="AT47" s="260">
        <f t="shared" si="52"/>
        <v>1.0000031910470186</v>
      </c>
      <c r="AU47" s="118">
        <f>(boc_cost_mast*SUM(AI47,AK47,AM47)*(boc_tr_mast_path+boc_tr_both_path)+SUM(AJ47,AL47,AN47)*(boc_tr_mast_vus+boc_tr_both_vus)+AP47*boc_cost_bc+AQ47*boc_cost_oc+AR47*boc_cost_pc+(AP47*VLOOKUP(AE47,boc_trpr_bc_death,20,TRUE)+AQ47*VLOOKUP(AE47,boc_trpr_oc_death,TRUE)*boc_cost_death))/((1+discount)^AD47)</f>
        <v>445.05546530788439</v>
      </c>
      <c r="AV47" s="35">
        <f t="shared" si="45"/>
        <v>0.11751983956550228</v>
      </c>
      <c r="AW47" s="35">
        <f t="shared" si="46"/>
        <v>0.12512757181167825</v>
      </c>
      <c r="AY47" s="12">
        <v>41</v>
      </c>
      <c r="AZ47" s="12">
        <f t="shared" si="47"/>
        <v>86</v>
      </c>
      <c r="BA47" s="260">
        <f>BA46*(1-VLOOKUP(AZ47,boc_trpr_bc,11,TRUE)*boc_rr_bc_mast-VLOOKUP(AZ47,boc_trpr_oc,11,TRUE)*boc_rr_oc_mast-VLOOKUP(AZ47,mortt,2,FALSE))</f>
        <v>4.2195774989010225E-3</v>
      </c>
      <c r="BB47" s="260">
        <f>BB46*(1-VLOOKUP(AZ47,boc_trpr_bc,11,TRUE)*boc_rr_bc_ooph-VLOOKUP(AZ47,boc_trpr_oc,11,TRUE)*boc_rr_oc_ooph-VLOOKUP(AZ47,mortt,2,FALSE))</f>
        <v>4.0319563750270153E-3</v>
      </c>
      <c r="BC47" s="260">
        <f>BC46*(1-VLOOKUP(AZ47,boc_trpr_bc,11,TRUE)*boc_rr_bc_both-VLOOKUP(AZ47,boc_trpr_oc,11,TRUE)*boc_rr_oc_both-VLOOKUP(AZ47,mortt,2,FALSE))</f>
        <v>4.2933557282798084E-3</v>
      </c>
      <c r="BD47" s="289">
        <f>BD46*(1-VLOOKUP(AZ47,boc_trpr_bc,11,TRUE)*boc_rr_bc_hip-VLOOKUP(AZ47,boc_trpr_oc,11,TRUE)*boc_rr_oc_hip-VLOOKUP(AZ47,mortt,2,FALSE))</f>
        <v>1.5462000969733834E-4</v>
      </c>
      <c r="BE47" s="289">
        <f>BE46*(1-VLOOKUP(AZ47,boc_trpr_bc,11,TRUE)*boc_rr_bc_hiv-VLOOKUP(AZ47,boc_trpr_oc,11,TRUE)*boc_rr_oc_hiv-VLOOKUP(AZ47,mortt,2,FALSE))</f>
        <v>3.7915295573404369E-3</v>
      </c>
      <c r="BF47" s="289">
        <f>BF46*(1-VLOOKUP(AZ47,boc_trpr_bc,11,TRUE)*boc_rr_bc_modp-VLOOKUP(AZ47,boc_trpr_oc,11,TRUE)*boc_rr_oc_modp-VLOOKUP(AZ47,mortt,2,FALSE))</f>
        <v>9.295080277866276E-4</v>
      </c>
      <c r="BG47" s="289">
        <f>BG46*(1-VLOOKUP(AZ47,boc_trpr_bc,11,TRUE)*boc_rr_bc_modv-VLOOKUP(AZ47,boc_trpr_oc,11,TRUE)*boc_rr_oc_modv-VLOOKUP(AZ47,mortt,2,FALSE))</f>
        <v>4.8208451456555283E-3</v>
      </c>
      <c r="BH47" s="289">
        <f>BH46*(1-VLOOKUP(AZ47,boc_trpr_bc,11,TRUE)*boc_rr_bc_lop-VLOOKUP(AZ47,boc_trpr_oc,11,TRUE)*boc_rr_oc_lop-VLOOKUP(AZ47,mortt,2,FALSE))</f>
        <v>3.4511477156353744E-4</v>
      </c>
      <c r="BI47" s="289">
        <f>BI46*(1-VLOOKUP(AZ47,boc_trpr_bc,11,TRUE)*boc_rr_bc_lov-VLOOKUP(AZ47,boc_trpr_oc,11,TRUE)*boc_rr_oc_lov-VLOOKUP(AZ47,mortt,2,FALSE))</f>
        <v>1.0553742127621076E-3</v>
      </c>
      <c r="BJ47" s="260">
        <f>BJ46*(1-VLOOKUP(AZ47,boc_trpr_bc,11,TRUE)*boc_rr_bc_np-VLOOKUP(AZ47,boc_trpr_oc,11,TRUE)*boc_rr_oc_np-VLOOKUP(AZ47,mortt,2,FALSE))</f>
        <v>0.34868452574055342</v>
      </c>
      <c r="BK47" s="260">
        <f>BA46*VLOOKUP(AZ47,boc_trpr_bc,11,TRUE)*boc_rr_bc_mast+BB46*VLOOKUP(AZ47,boc_trpr_bc,11,TRUE)*boc_rr_bc_ooph+BC46*VLOOKUP(AZ47,boc_trpr_bc,11,TRUE)*boc_rr_bc_both+BD46*VLOOKUP(AZ47,boc_trpr_bc,11,TRUE)*boc_rr_bc_hip+BE46*VLOOKUP(AZ47,boc_trpr_bc,11,TRUE)*boc_rr_bc_hiv+BF46*VLOOKUP(AZ47,boc_trpr_bc,11,TRUE)*boc_rr_bc_modp+BG46*VLOOKUP(AZ47,boc_trpr_bc,11,TRUE)*boc_rr_bc_modv+BH46*VLOOKUP(AZ47,boc_trpr_bc,11,TRUE)*boc_rr_bc_lop+BI46*VLOOKUP(AZ47,boc_trpr_bc,11,TRUE)*boc_rr_bc_lov+BJ46*VLOOKUP(AZ47,boc_trpr_bc,11,TRUE)*boc_rr_bc_np</f>
        <v>1.6676308977779241E-3</v>
      </c>
      <c r="BL47" s="260">
        <f>BA46*VLOOKUP(AZ47,boc_trpr_oc,11,TRUE)*boc_rr_oc_mast+BB46*VLOOKUP(AZ47,boc_trpr_oc,11,TRUE)*boc_rr_oc_ooph+BC46*VLOOKUP(AZ47,boc_trpr_oc,11,TRUE)*boc_rr_oc_both+BD46*VLOOKUP(AZ47,boc_trpr_oc,11,TRUE)*boc_rr_oc_hip+BE46*VLOOKUP(AZ47,boc_trpr_oc,11,TRUE)*boc_rr_oc_hiv+BF46*VLOOKUP(AZ47,boc_trpr_oc,11,TRUE)*boc_rr_oc_modp+BG46*VLOOKUP(AZ47,boc_trpr_oc,11,TRUE)*boc_rr_oc_modv+BH46*VLOOKUP(AZ47,boc_trpr_oc,11,TRUE)*boc_rr_oc_lop+BI46*VLOOKUP(AZ47,boc_trpr_oc,11,TRUE)*boc_rr_oc_lov+BJ46*VLOOKUP(AZ47,boc_trpr_oc,11,TRUE)*boc_rr_oc_np</f>
        <v>1.9163537144376811E-4</v>
      </c>
      <c r="BM47" s="260">
        <f>BK46*(1-VLOOKUP(AZ47,boc_trpr_bc_death,20,TRUE))+BL46*(1-VLOOKUP(AZ47,boc_trpr_oc_death,20,TRUE))+BM46*(1-VLOOKUP(AZ47,mortt,2,FALSE)*boc_rr_death_pc)</f>
        <v>4.5362379745900662E-2</v>
      </c>
      <c r="BN47" s="260">
        <f>BN46+SUM(BA46:BJ46)*VLOOKUP(AZ47,mortt,2,FALSE)+BK46*VLOOKUP(AZ47,boc_trpr_bc_death,20,TRUE)+BL46*VLOOKUP(AZ47,boc_trpr_bc_death,20,TRUE)+BM46*VLOOKUP(AZ47,mortt,2,FALSE)*boc_rr_death_pc</f>
        <v>0.58045530129917911</v>
      </c>
      <c r="BO47" s="260">
        <f t="shared" si="41"/>
        <v>1.0000033543818683</v>
      </c>
      <c r="BP47" s="118">
        <f>(boc_cost_mast*SUM(BD47,BF47,BH47)*(boc_tr_mast_path+boc_tr_both_path)+SUM(BE47,BG47,BI47)*(boc_tr_mast_vus+boc_tr_both_vus)+BK47*boc_cost_bc+BL47*boc_cost_oc+BM47*boc_cost_pc+(BK47*VLOOKUP(AZ47,boc_trpr_bc_death,20,TRUE)+BL47*VLOOKUP(AZ47,boc_trpr_oc_death,TRUE)*boc_cost_death))/((1+discount)^AY47)</f>
        <v>465.45725516495276</v>
      </c>
      <c r="BQ47" s="35">
        <f t="shared" si="48"/>
        <v>0.11714262588868056</v>
      </c>
      <c r="BR47" s="35">
        <f t="shared" si="49"/>
        <v>0.12486824990011876</v>
      </c>
      <c r="BS47" s="35"/>
      <c r="BU47" s="33">
        <v>36</v>
      </c>
      <c r="BV47" t="str">
        <f>$M$81</f>
        <v>boc_tr_ooph_path</v>
      </c>
      <c r="BW47" s="35">
        <f>$F$81</f>
        <v>0.2</v>
      </c>
      <c r="BX47" s="35">
        <f>$G$81</f>
        <v>0.3</v>
      </c>
      <c r="BY47" s="311">
        <v>-7.4694970872496924</v>
      </c>
      <c r="BZ47" s="311">
        <v>-7.6348416164391892</v>
      </c>
      <c r="CA47" s="311">
        <f t="shared" si="25"/>
        <v>0.16534452918949682</v>
      </c>
      <c r="CD47" s="138">
        <v>42</v>
      </c>
      <c r="CE47" s="291">
        <v>1.5740000000000001E-3</v>
      </c>
    </row>
    <row r="48" spans="2:105" ht="15" customHeight="1" x14ac:dyDescent="0.2">
      <c r="B48" s="37" t="s">
        <v>11</v>
      </c>
      <c r="C48" s="35">
        <f>IF(psa,J48,IF(owsa_low=L48,F48,IF(owsa_high=L48,G48,IF(ISNUMBER(D48),D48,E48))))</f>
        <v>9.4143645999999997E-2</v>
      </c>
      <c r="D48" s="158"/>
      <c r="E48" s="35">
        <v>9.4143645999999997E-2</v>
      </c>
      <c r="F48" s="35">
        <f>IF(ISNUMBER(D48),D48,E48)*(1-owsa_boc)</f>
        <v>7.5314916800000006E-2</v>
      </c>
      <c r="G48" s="35">
        <f>MIN(1,IF(ISNUMBER(D48),D48,E48)*(1+owsa_boc))</f>
        <v>0.11297237519999999</v>
      </c>
      <c r="H48" s="48">
        <f t="shared" ref="H48:H49" si="53">IF(ISNUMBER(D48),D48,E48)^2*(1-IF(ISNUMBER(D48),D48,E48))/((G48-F48)/(2*z))^2-IF(ISNUMBER(D48),D48,E48)</f>
        <v>86.901103387878038</v>
      </c>
      <c r="I48" s="48">
        <f t="shared" ref="I48:I49" si="54">(IF(ISNUMBER(D48),D48,E48)^2*(1-IF(ISNUMBER(D48),D48,E48))/((G48-F48)/(2*z))^2-IF(ISNUMBER(D48),D48,E48))*(1-IF(ISNUMBER(D48),D48,E48))/IF(ISNUMBER(D48),D48,E48)</f>
        <v>836.1681326164088</v>
      </c>
      <c r="J48" s="35">
        <f ca="1">_xlfn.BETA.INV(RAND(),H48,I48)</f>
        <v>0.11002440972037186</v>
      </c>
      <c r="K48" s="12" t="s">
        <v>71</v>
      </c>
      <c r="L48" s="40">
        <v>5</v>
      </c>
      <c r="M48" s="247" t="s">
        <v>165</v>
      </c>
      <c r="N48" s="247" t="s">
        <v>298</v>
      </c>
      <c r="Q48" s="11"/>
      <c r="U48" s="9" t="s">
        <v>6</v>
      </c>
      <c r="V48" s="250">
        <f>boc_unk_int_both*boc_test_int_np_both</f>
        <v>0.01</v>
      </c>
      <c r="Z48" s="261">
        <f>R42*T47*V48</f>
        <v>6.9286235869884009E-5</v>
      </c>
      <c r="AD48" s="12">
        <v>42</v>
      </c>
      <c r="AE48" s="12">
        <f t="shared" si="44"/>
        <v>87</v>
      </c>
      <c r="AF48" s="260">
        <f>AF47*(1-VLOOKUP(AE48,boc_trpr_bc,11,TRUE)*boc_rr_bc_mast-VLOOKUP(AE48,boc_trpr_oc,11,TRUE)*boc_rr_oc_mast-VLOOKUP(AE48,mortt,2,FALSE))+SUM(AI47,AK47,AM47)*boc_tr_mast_path+SUM(AJ47,AL47,AN47)*boc_tr_mast_vus</f>
        <v>8.4228843011443164E-3</v>
      </c>
      <c r="AG48" s="260">
        <f>AG47*(1-VLOOKUP(AE48,boc_trpr_bc,11,TRUE)*boc_rr_bc_ooph-VLOOKUP(AE48,boc_trpr_oc,11,TRUE)*boc_rr_oc_ooph-VLOOKUP(AE48,mortt,2,FALSE))+SUM(AI47,AK47,AM47)*boc_tr_ooph_path+SUM(AJ47,AL47,AN47)*boc_tr_ooph_vus</f>
        <v>7.8819653122717739E-3</v>
      </c>
      <c r="AH48" s="260">
        <f>AH47*(1-VLOOKUP(AE48,boc_trpr_bc,11,TRUE)*boc_rr_bc_both-VLOOKUP(AE48,boc_trpr_oc,11,TRUE)*boc_rr_oc_both-VLOOKUP(AE48,mortt,2,FALSE))+SUM(AI47,AK47,AM47)*boc_tr_both_path+SUM(AJ47,AL47,AN47)*boc_tr_both_vus</f>
        <v>8.355351811551141E-3</v>
      </c>
      <c r="AI48" s="289">
        <f>AI47*(1-VLOOKUP(AE48,boc_trpr_bc,11,TRUE)*boc_rr_bc_hip-VLOOKUP(AE48,boc_trpr_oc,11,TRUE)*boc_rr_oc_hip-boc_tr_mast_path-boc_tr_ooph_path-boc_tr_both_path-VLOOKUP(AE48,mortt,2,FALSE))</f>
        <v>1.6281778239613311E-35</v>
      </c>
      <c r="AJ48" s="289">
        <f>AJ47*(1-VLOOKUP(AE48,boc_trpr_bc,11,TRUE)*boc_rr_bc_hiv-VLOOKUP(AE48,boc_trpr_oc,11,TRUE)*boc_rr_oc_hiv-boc_tr_mast_vus-boc_tr_ooph_vus-boc_tr_both_vus-VLOOKUP(AE48,mortt,2,FALSE))</f>
        <v>2.9158968568477935E-6</v>
      </c>
      <c r="AK48" s="289">
        <f>AK47*(1-VLOOKUP(AE48,boc_trpr_bc,11,TRUE)*boc_rr_bc_modp-VLOOKUP(AE48,boc_trpr_oc,11,TRUE)*boc_rr_oc_modp-boc_tr_mast_path-boc_tr_ooph_path-boc_tr_both_path-VLOOKUP(AE48,mortt,2,FALSE))</f>
        <v>1.0503358637936676E-31</v>
      </c>
      <c r="AL48" s="289">
        <f>AL47*(1-VLOOKUP(AE48,boc_trpr_bc,11,TRUE)*boc_rr_bc_modv-VLOOKUP(AE48,boc_trpr_oc,11,TRUE)*boc_rr_oc_modv-boc_tr_mast_vus-boc_tr_ooph_vus-boc_tr_both_vus-VLOOKUP(AE48,mortt,2,FALSE))</f>
        <v>3.7074977248567813E-6</v>
      </c>
      <c r="AM48" s="289">
        <f>AM47*(1-VLOOKUP(AE48,boc_trpr_bc,11,TRUE)*boc_rr_bc_lop-VLOOKUP(AE48,boc_trpr_oc,11,TRUE)*boc_rr_oc_lop-boc_tr_mast_path-boc_tr_ooph_path-boc_tr_both_path-VLOOKUP(AE48,mortt,2,FALSE))</f>
        <v>2.931398063327254E-31</v>
      </c>
      <c r="AN48" s="289">
        <f>AN47*(1-VLOOKUP(AE48,boc_trpr_bc,11,TRUE)*boc_rr_bc_lov-VLOOKUP(AE48,boc_trpr_oc,11,TRUE)*boc_rr_oc_lov-boc_tr_mast_vus-boc_tr_ooph_vus-boc_tr_both_vus-VLOOKUP(AE48,mortt,2,FALSE))</f>
        <v>8.1164139781884138E-7</v>
      </c>
      <c r="AO48" s="260">
        <f>AO47*(1-VLOOKUP(AE48,boc_trpr_bc,11,TRUE)*boc_rr_bc_np-VLOOKUP(AE48,boc_trpr_oc,11,TRUE)*boc_rr_oc_np-VLOOKUP(AE48,mortt,2,FALSE))</f>
        <v>0.31507922576069392</v>
      </c>
      <c r="AP48" s="260">
        <f>AF47*VLOOKUP(AE48,boc_trpr_bc,11,TRUE)*boc_rr_bc_mast+AG47*VLOOKUP(AE48,boc_trpr_bc,11,TRUE)*boc_rr_bc_ooph+AH47*VLOOKUP(AE48,boc_trpr_bc,11,TRUE)*boc_rr_bc_both+AI47*VLOOKUP(AE48,boc_trpr_bc,11,TRUE)*boc_rr_bc_hip+AJ47*VLOOKUP(AE48,boc_trpr_bc,11,TRUE)*boc_rr_bc_hiv+AK47*VLOOKUP(AE48,boc_trpr_bc,11,TRUE)*boc_rr_bc_modp+AL47*VLOOKUP(AE48,boc_trpr_bc,11,TRUE)*boc_rr_bc_modv+AM47*VLOOKUP(AE48,boc_trpr_bc,11,TRUE)*boc_rr_bc_lop+AN47*VLOOKUP(AE48,boc_trpr_bc,11,TRUE)*boc_rr_bc_lov+AO47*VLOOKUP(AE48,boc_trpr_bc,11,TRUE)*boc_rr_bc_np</f>
        <v>1.4607958538390778E-3</v>
      </c>
      <c r="AQ48" s="260">
        <f>AF47*VLOOKUP(AE48,boc_trpr_oc,11,TRUE)*boc_rr_oc_mast+AG47*VLOOKUP(AE48,boc_trpr_oc,11,TRUE)*boc_rr_oc_ooph+AH47*VLOOKUP(AE48,boc_trpr_oc,11,TRUE)*boc_rr_oc_both+AI47*VLOOKUP(AE48,boc_trpr_oc,11,TRUE)*boc_rr_oc_hip+AJ47*VLOOKUP(AE48,boc_trpr_oc,11,TRUE)*boc_rr_oc_hiv+AK47*VLOOKUP(AE48,boc_trpr_oc,11,TRUE)*boc_rr_oc_modp+AL47*VLOOKUP(AE48,boc_trpr_oc,11,TRUE)*boc_rr_oc_modv+AM47*VLOOKUP(AE48,boc_trpr_oc,11,TRUE)*boc_rr_oc_lop+AN47*VLOOKUP(AE48,boc_trpr_oc,11,TRUE)*boc_rr_oc_lov+AO47*VLOOKUP(AE48,boc_trpr_oc,11,TRUE)*boc_rr_oc_np</f>
        <v>1.6955595318626725E-4</v>
      </c>
      <c r="AR48" s="260">
        <f>AP47*(1-VLOOKUP(AE48,boc_trpr_bc_death,20,TRUE))+AQ47*(1-VLOOKUP(AE48,boc_trpr_oc_death,20,TRUE))+AR47*(1-VLOOKUP(AE48,mortt,2,FALSE)*boc_rr_death_pc)</f>
        <v>3.8652457124881495E-2</v>
      </c>
      <c r="AS48" s="260">
        <f>AS47+SUM(AF47:AO47)*VLOOKUP(AE48,mortt,2,FALSE)+AP47*VLOOKUP(AE48,boc_trpr_bc_death,20,TRUE)+AQ47*VLOOKUP(AE48,boc_trpr_bc_death,20,TRUE)+AR47*VLOOKUP(AE48,mortt,2,FALSE)*boc_rr_death_pc</f>
        <v>0.6199736480047533</v>
      </c>
      <c r="AT48" s="260">
        <f t="shared" si="52"/>
        <v>1.0000033191583007</v>
      </c>
      <c r="AU48" s="118">
        <f>(boc_cost_mast*SUM(AI48,AK48,AM48)*(boc_tr_mast_path+boc_tr_both_path)+SUM(AJ48,AL48,AN48)*(boc_tr_mast_vus+boc_tr_both_vus)+AP48*boc_cost_bc+AQ48*boc_cost_oc+AR48*boc_cost_pc+(AP48*VLOOKUP(AE48,boc_trpr_bc_death,20,TRUE)+AQ48*VLOOKUP(AE48,boc_trpr_oc_death,TRUE)*boc_cost_death))/((1+discount)^AD48)</f>
        <v>393.89340994946207</v>
      </c>
      <c r="AV48" s="35">
        <f t="shared" si="45"/>
        <v>0.10313483927584147</v>
      </c>
      <c r="AW48" s="35">
        <f t="shared" si="46"/>
        <v>0.10981211978363419</v>
      </c>
      <c r="AY48" s="12">
        <v>42</v>
      </c>
      <c r="AZ48" s="12">
        <f t="shared" si="47"/>
        <v>87</v>
      </c>
      <c r="BA48" s="260">
        <f>BA47*(1-VLOOKUP(AZ48,boc_trpr_bc,11,TRUE)*boc_rr_bc_mast-VLOOKUP(AZ48,boc_trpr_oc,11,TRUE)*boc_rr_oc_mast-VLOOKUP(AZ48,mortt,2,FALSE))</f>
        <v>3.8285537319726094E-3</v>
      </c>
      <c r="BB48" s="260">
        <f>BB47*(1-VLOOKUP(AZ48,boc_trpr_bc,11,TRUE)*boc_rr_bc_ooph-VLOOKUP(AZ48,boc_trpr_oc,11,TRUE)*boc_rr_oc_ooph-VLOOKUP(AZ48,mortt,2,FALSE))</f>
        <v>3.6530991143804547E-3</v>
      </c>
      <c r="BC48" s="260">
        <f>BC47*(1-VLOOKUP(AZ48,boc_trpr_bc,11,TRUE)*boc_rr_bc_both-VLOOKUP(AZ48,boc_trpr_oc,11,TRUE)*boc_rr_oc_both-VLOOKUP(AZ48,mortt,2,FALSE))</f>
        <v>3.8980741656486789E-3</v>
      </c>
      <c r="BD48" s="289">
        <f>BD47*(1-VLOOKUP(AZ48,boc_trpr_bc,11,TRUE)*boc_rr_bc_hip-VLOOKUP(AZ48,boc_trpr_oc,11,TRUE)*boc_rr_oc_hip-VLOOKUP(AZ48,mortt,2,FALSE))</f>
        <v>1.2978144089995173E-4</v>
      </c>
      <c r="BE48" s="289">
        <f>BE47*(1-VLOOKUP(AZ48,boc_trpr_bc,11,TRUE)*boc_rr_bc_hiv-VLOOKUP(AZ48,boc_trpr_oc,11,TRUE)*boc_rr_oc_hiv-VLOOKUP(AZ48,mortt,2,FALSE))</f>
        <v>3.4243714289161125E-3</v>
      </c>
      <c r="BF48" s="289">
        <f>BF47*(1-VLOOKUP(AZ48,boc_trpr_bc,11,TRUE)*boc_rr_bc_modp-VLOOKUP(AZ48,boc_trpr_oc,11,TRUE)*boc_rr_oc_modp-VLOOKUP(AZ48,mortt,2,FALSE))</f>
        <v>8.2285731323317505E-4</v>
      </c>
      <c r="BG48" s="289">
        <f>BG47*(1-VLOOKUP(AZ48,boc_trpr_bc,11,TRUE)*boc_rr_bc_modv-VLOOKUP(AZ48,boc_trpr_oc,11,TRUE)*boc_rr_oc_modv-VLOOKUP(AZ48,mortt,2,FALSE))</f>
        <v>4.3540117861013052E-3</v>
      </c>
      <c r="BH48" s="289">
        <f>BH47*(1-VLOOKUP(AZ48,boc_trpr_bc,11,TRUE)*boc_rr_bc_lop-VLOOKUP(AZ48,boc_trpr_oc,11,TRUE)*boc_rr_oc_lop-VLOOKUP(AZ48,mortt,2,FALSE))</f>
        <v>3.110614116784961E-4</v>
      </c>
      <c r="BI48" s="289">
        <f>BI47*(1-VLOOKUP(AZ48,boc_trpr_bc,11,TRUE)*boc_rr_bc_lov-VLOOKUP(AZ48,boc_trpr_oc,11,TRUE)*boc_rr_oc_lov-VLOOKUP(AZ48,mortt,2,FALSE))</f>
        <v>9.5317555786969153E-4</v>
      </c>
      <c r="BJ48" s="260">
        <f>BJ47*(1-VLOOKUP(AZ48,boc_trpr_bc,11,TRUE)*boc_rr_bc_np-VLOOKUP(AZ48,boc_trpr_oc,11,TRUE)*boc_rr_oc_np-VLOOKUP(AZ48,mortt,2,FALSE))</f>
        <v>0.31507922576069392</v>
      </c>
      <c r="BK48" s="260">
        <f>BA47*VLOOKUP(AZ48,boc_trpr_bc,11,TRUE)*boc_rr_bc_mast+BB47*VLOOKUP(AZ48,boc_trpr_bc,11,TRUE)*boc_rr_bc_ooph+BC47*VLOOKUP(AZ48,boc_trpr_bc,11,TRUE)*boc_rr_bc_both+BD47*VLOOKUP(AZ48,boc_trpr_bc,11,TRUE)*boc_rr_bc_hip+BE47*VLOOKUP(AZ48,boc_trpr_bc,11,TRUE)*boc_rr_bc_hiv+BF47*VLOOKUP(AZ48,boc_trpr_bc,11,TRUE)*boc_rr_bc_modp+BG47*VLOOKUP(AZ48,boc_trpr_bc,11,TRUE)*boc_rr_bc_modv+BH47*VLOOKUP(AZ48,boc_trpr_bc,11,TRUE)*boc_rr_bc_lop+BI47*VLOOKUP(AZ48,boc_trpr_bc,11,TRUE)*boc_rr_bc_lov+BJ47*VLOOKUP(AZ48,boc_trpr_bc,11,TRUE)*boc_rr_bc_np</f>
        <v>1.5225056118202264E-3</v>
      </c>
      <c r="BL48" s="260">
        <f>BA47*VLOOKUP(AZ48,boc_trpr_oc,11,TRUE)*boc_rr_oc_mast+BB47*VLOOKUP(AZ48,boc_trpr_oc,11,TRUE)*boc_rr_oc_ooph+BC47*VLOOKUP(AZ48,boc_trpr_oc,11,TRUE)*boc_rr_oc_both+BD47*VLOOKUP(AZ48,boc_trpr_oc,11,TRUE)*boc_rr_oc_hip+BE47*VLOOKUP(AZ48,boc_trpr_oc,11,TRUE)*boc_rr_oc_hiv+BF47*VLOOKUP(AZ48,boc_trpr_oc,11,TRUE)*boc_rr_oc_modp+BG47*VLOOKUP(AZ48,boc_trpr_oc,11,TRUE)*boc_rr_oc_modv+BH47*VLOOKUP(AZ48,boc_trpr_oc,11,TRUE)*boc_rr_oc_lop+BI47*VLOOKUP(AZ48,boc_trpr_oc,11,TRUE)*boc_rr_oc_lov+BJ47*VLOOKUP(AZ48,boc_trpr_oc,11,TRUE)*boc_rr_oc_np</f>
        <v>1.7496581884150525E-4</v>
      </c>
      <c r="BM48" s="260">
        <f>BK47*(1-VLOOKUP(AZ48,boc_trpr_bc_death,20,TRUE))+BL47*(1-VLOOKUP(AZ48,boc_trpr_oc_death,20,TRUE))+BM47*(1-VLOOKUP(AZ48,mortt,2,FALSE)*boc_rr_death_pc)</f>
        <v>4.0974029701736046E-2</v>
      </c>
      <c r="BN48" s="260">
        <f>BN47+SUM(BA47:BJ47)*VLOOKUP(AZ48,mortt,2,FALSE)+BK47*VLOOKUP(AZ48,boc_trpr_bc_death,20,TRUE)+BL47*VLOOKUP(AZ48,boc_trpr_bc_death,20,TRUE)+BM47*VLOOKUP(AZ48,mortt,2,FALSE)*boc_rr_death_pc</f>
        <v>0.62087777384475129</v>
      </c>
      <c r="BO48" s="260">
        <f t="shared" si="41"/>
        <v>1.0000034866885434</v>
      </c>
      <c r="BP48" s="118">
        <f>(boc_cost_mast*SUM(BD48,BF48,BH48)*(boc_tr_mast_path+boc_tr_both_path)+SUM(BE48,BG48,BI48)*(boc_tr_mast_vus+boc_tr_both_vus)+BK48*boc_cost_bc+BL48*boc_cost_oc+BM48*boc_cost_pc+(BK48*VLOOKUP(AZ48,boc_trpr_bc_death,20,TRUE)+BL48*VLOOKUP(AZ48,boc_trpr_oc_death,TRUE)*boc_cost_death))/((1+discount)^AY48)</f>
        <v>411.52556489151897</v>
      </c>
      <c r="BQ48" s="35">
        <f t="shared" si="48"/>
        <v>0.10277323228127801</v>
      </c>
      <c r="BR48" s="35">
        <f t="shared" si="49"/>
        <v>0.10955086428248256</v>
      </c>
      <c r="BS48" s="35"/>
      <c r="BU48" s="33">
        <v>4</v>
      </c>
      <c r="BV48" t="str">
        <f>$M$82</f>
        <v>boc_tr_both_path</v>
      </c>
      <c r="BW48" s="35">
        <f>$F$82</f>
        <v>0.2</v>
      </c>
      <c r="BX48" s="35">
        <f>$G$82</f>
        <v>0.3</v>
      </c>
      <c r="BY48" s="311">
        <v>-7.4924942419556828</v>
      </c>
      <c r="BZ48" s="311">
        <v>-7.6139014724271874</v>
      </c>
      <c r="CA48" s="311">
        <f t="shared" si="25"/>
        <v>0.12140723047150459</v>
      </c>
      <c r="CD48" s="138">
        <v>43</v>
      </c>
      <c r="CE48" s="291">
        <v>1.702E-3</v>
      </c>
    </row>
    <row r="49" spans="2:83" ht="15" customHeight="1" x14ac:dyDescent="0.2">
      <c r="B49" s="37" t="s">
        <v>12</v>
      </c>
      <c r="C49" s="35">
        <f>IF(psa,J49,IF(owsa_low=L49,F49,IF(owsa_high=L49,G49,IF(ISNUMBER(D49),D49,E49))))</f>
        <v>0.27116022099999998</v>
      </c>
      <c r="D49" s="158"/>
      <c r="E49" s="35">
        <v>0.27116022099999998</v>
      </c>
      <c r="F49" s="35">
        <f>IF(ISNUMBER(D49),D49,E49)*(1-owsa_boc)</f>
        <v>0.21692817679999998</v>
      </c>
      <c r="G49" s="35">
        <f>MIN(1,IF(ISNUMBER(D49),D49,E49)*(1+owsa_boc))</f>
        <v>0.32539226519999997</v>
      </c>
      <c r="H49" s="48">
        <f t="shared" si="53"/>
        <v>69.724039726807646</v>
      </c>
      <c r="I49" s="48">
        <f t="shared" si="54"/>
        <v>187.40821761416737</v>
      </c>
      <c r="J49" s="35">
        <f ca="1">_xlfn.BETA.INV(RAND(),H49,I49)</f>
        <v>0.25302316169593719</v>
      </c>
      <c r="K49" s="12" t="s">
        <v>71</v>
      </c>
      <c r="L49" s="40">
        <v>6</v>
      </c>
      <c r="M49" s="247" t="s">
        <v>166</v>
      </c>
      <c r="N49" s="247" t="s">
        <v>298</v>
      </c>
      <c r="Q49" s="11"/>
      <c r="U49" s="9" t="s">
        <v>9</v>
      </c>
      <c r="V49" s="250">
        <f>1-SUM(V46,V47,V48)</f>
        <v>0.97</v>
      </c>
      <c r="AA49" s="261">
        <f>R42*T47*V49</f>
        <v>6.7207648793787484E-3</v>
      </c>
      <c r="AD49" s="12">
        <v>43</v>
      </c>
      <c r="AE49" s="12">
        <f t="shared" si="44"/>
        <v>88</v>
      </c>
      <c r="AF49" s="260">
        <f>AF48*(1-VLOOKUP(AE49,boc_trpr_bc,11,TRUE)*boc_rr_bc_mast-VLOOKUP(AE49,boc_trpr_oc,11,TRUE)*boc_rr_oc_mast-VLOOKUP(AE49,mortt,2,FALSE))+SUM(AI48,AK48,AM48)*boc_tr_mast_path+SUM(AJ48,AL48,AN48)*boc_tr_mast_vus</f>
        <v>7.549811893429635E-3</v>
      </c>
      <c r="AG49" s="260">
        <f>AG48*(1-VLOOKUP(AE49,boc_trpr_bc,11,TRUE)*boc_rr_bc_ooph-VLOOKUP(AE49,boc_trpr_oc,11,TRUE)*boc_rr_oc_ooph-VLOOKUP(AE49,mortt,2,FALSE))+SUM(AI48,AK48,AM48)*boc_tr_ooph_path+SUM(AJ48,AL48,AN48)*boc_tr_ooph_vus</f>
        <v>7.0547809072710839E-3</v>
      </c>
      <c r="AH49" s="260">
        <f>AH48*(1-VLOOKUP(AE49,boc_trpr_bc,11,TRUE)*boc_rr_bc_both-VLOOKUP(AE49,boc_trpr_oc,11,TRUE)*boc_rr_oc_both-VLOOKUP(AE49,mortt,2,FALSE))+SUM(AI48,AK48,AM48)*boc_tr_both_path+SUM(AJ48,AL48,AN48)*boc_tr_both_vus</f>
        <v>7.4943017752253016E-3</v>
      </c>
      <c r="AI49" s="289">
        <f>AI48*(1-VLOOKUP(AE49,boc_trpr_bc,11,TRUE)*boc_rr_bc_hip-VLOOKUP(AE49,boc_trpr_oc,11,TRUE)*boc_rr_oc_hip-boc_tr_mast_path-boc_tr_ooph_path-boc_tr_both_path-VLOOKUP(AE49,mortt,2,FALSE))</f>
        <v>1.2753084694453374E-36</v>
      </c>
      <c r="AJ49" s="289">
        <f>AJ48*(1-VLOOKUP(AE49,boc_trpr_bc,11,TRUE)*boc_rr_bc_hiv-VLOOKUP(AE49,boc_trpr_oc,11,TRUE)*boc_rr_oc_hiv-boc_tr_mast_vus-boc_tr_ooph_vus-boc_tr_both_vus-VLOOKUP(AE49,mortt,2,FALSE))</f>
        <v>2.1639849888432765E-6</v>
      </c>
      <c r="AK49" s="289">
        <f>AK48*(1-VLOOKUP(AE49,boc_trpr_bc,11,TRUE)*boc_rr_bc_modp-VLOOKUP(AE49,boc_trpr_oc,11,TRUE)*boc_rr_oc_modp-boc_tr_mast_path-boc_tr_ooph_path-boc_tr_both_path-VLOOKUP(AE49,mortt,2,FALSE))</f>
        <v>1.3048439565684158E-32</v>
      </c>
      <c r="AL49" s="289">
        <f>AL48*(1-VLOOKUP(AE49,boc_trpr_bc,11,TRUE)*boc_rr_bc_modv-VLOOKUP(AE49,boc_trpr_oc,11,TRUE)*boc_rr_oc_modv-boc_tr_mast_vus-boc_tr_ooph_vus-boc_tr_both_vus-VLOOKUP(AE49,mortt,2,FALSE))</f>
        <v>2.7514585791741072E-6</v>
      </c>
      <c r="AM49" s="289">
        <f>AM48*(1-VLOOKUP(AE49,boc_trpr_bc,11,TRUE)*boc_rr_bc_lop-VLOOKUP(AE49,boc_trpr_oc,11,TRUE)*boc_rr_oc_lop-boc_tr_mast_path-boc_tr_ooph_path-boc_tr_both_path-VLOOKUP(AE49,mortt,2,FALSE))</f>
        <v>4.1126762792815391E-32</v>
      </c>
      <c r="AN49" s="289">
        <f>AN48*(1-VLOOKUP(AE49,boc_trpr_bc,11,TRUE)*boc_rr_bc_lov-VLOOKUP(AE49,boc_trpr_oc,11,TRUE)*boc_rr_oc_lov-boc_tr_mast_vus-boc_tr_ooph_vus-boc_tr_both_vus-VLOOKUP(AE49,mortt,2,FALSE))</f>
        <v>6.0234634057065616E-7</v>
      </c>
      <c r="AO49" s="260">
        <f>AO48*(1-VLOOKUP(AE49,boc_trpr_bc,11,TRUE)*boc_rr_bc_np-VLOOKUP(AE49,boc_trpr_oc,11,TRUE)*boc_rr_oc_np-VLOOKUP(AE49,mortt,2,FALSE))</f>
        <v>0.28123739258494218</v>
      </c>
      <c r="AP49" s="260">
        <f>AF48*VLOOKUP(AE49,boc_trpr_bc,11,TRUE)*boc_rr_bc_mast+AG48*VLOOKUP(AE49,boc_trpr_bc,11,TRUE)*boc_rr_bc_ooph+AH48*VLOOKUP(AE49,boc_trpr_bc,11,TRUE)*boc_rr_bc_both+AI48*VLOOKUP(AE49,boc_trpr_bc,11,TRUE)*boc_rr_bc_hip+AJ48*VLOOKUP(AE49,boc_trpr_bc,11,TRUE)*boc_rr_bc_hiv+AK48*VLOOKUP(AE49,boc_trpr_bc,11,TRUE)*boc_rr_bc_modp+AL48*VLOOKUP(AE49,boc_trpr_bc,11,TRUE)*boc_rr_bc_modv+AM48*VLOOKUP(AE49,boc_trpr_bc,11,TRUE)*boc_rr_bc_lop+AN48*VLOOKUP(AE49,boc_trpr_bc,11,TRUE)*boc_rr_bc_lov+AO48*VLOOKUP(AE49,boc_trpr_bc,11,TRUE)*boc_rr_bc_np</f>
        <v>1.3200692689460426E-3</v>
      </c>
      <c r="AQ49" s="260">
        <f>AF48*VLOOKUP(AE49,boc_trpr_oc,11,TRUE)*boc_rr_oc_mast+AG48*VLOOKUP(AE49,boc_trpr_oc,11,TRUE)*boc_rr_oc_ooph+AH48*VLOOKUP(AE49,boc_trpr_oc,11,TRUE)*boc_rr_oc_both+AI48*VLOOKUP(AE49,boc_trpr_oc,11,TRUE)*boc_rr_oc_hip+AJ48*VLOOKUP(AE49,boc_trpr_oc,11,TRUE)*boc_rr_oc_hiv+AK48*VLOOKUP(AE49,boc_trpr_oc,11,TRUE)*boc_rr_oc_modp+AL48*VLOOKUP(AE49,boc_trpr_oc,11,TRUE)*boc_rr_oc_modv+AM48*VLOOKUP(AE49,boc_trpr_oc,11,TRUE)*boc_rr_oc_lop+AN48*VLOOKUP(AE49,boc_trpr_oc,11,TRUE)*boc_rr_oc_lov+AO48*VLOOKUP(AE49,boc_trpr_oc,11,TRUE)*boc_rr_oc_np</f>
        <v>1.5323486887538018E-4</v>
      </c>
      <c r="AR49" s="260">
        <f>AP48*(1-VLOOKUP(AE49,boc_trpr_bc_death,20,TRUE))+AQ48*(1-VLOOKUP(AE49,boc_trpr_oc_death,20,TRUE))+AR48*(1-VLOOKUP(AE49,mortt,2,FALSE)*boc_rr_death_pc)</f>
        <v>3.4319772962877734E-2</v>
      </c>
      <c r="AS49" s="260">
        <f>AS48+SUM(AF48:AO48)*VLOOKUP(AE49,mortt,2,FALSE)+AP48*VLOOKUP(AE49,boc_trpr_bc_death,20,TRUE)+AQ48*VLOOKUP(AE49,boc_trpr_bc_death,20,TRUE)+AR48*VLOOKUP(AE49,mortt,2,FALSE)*boc_rr_death_pc</f>
        <v>0.66086855416968349</v>
      </c>
      <c r="AT49" s="260">
        <f t="shared" si="52"/>
        <v>1.0000034362211594</v>
      </c>
      <c r="AU49" s="118">
        <f>(boc_cost_mast*SUM(AI49,AK49,AM49)*(boc_tr_mast_path+boc_tr_both_path)+SUM(AJ49,AL49,AN49)*(boc_tr_mast_vus+boc_tr_both_vus)+AP49*boc_cost_bc+AQ49*boc_cost_oc+AR49*boc_cost_pc+(AP49*VLOOKUP(AE49,boc_trpr_bc_death,20,TRUE)+AQ49*VLOOKUP(AE49,boc_trpr_oc_death,TRUE)*boc_cost_death))/((1+discount)^AD49)</f>
        <v>344.27864642454807</v>
      </c>
      <c r="AV49" s="35">
        <f t="shared" si="45"/>
        <v>8.9359969492823835E-2</v>
      </c>
      <c r="AW49" s="35">
        <f t="shared" si="46"/>
        <v>9.514093148681714E-2</v>
      </c>
      <c r="AY49" s="12">
        <v>43</v>
      </c>
      <c r="AZ49" s="12">
        <f t="shared" si="47"/>
        <v>88</v>
      </c>
      <c r="BA49" s="260">
        <f>BA48*(1-VLOOKUP(AZ49,boc_trpr_bc,11,TRUE)*boc_rr_bc_mast-VLOOKUP(AZ49,boc_trpr_oc,11,TRUE)*boc_rr_oc_mast-VLOOKUP(AZ49,mortt,2,FALSE))</f>
        <v>3.4315367747147045E-3</v>
      </c>
      <c r="BB49" s="260">
        <f>BB48*(1-VLOOKUP(AZ49,boc_trpr_bc,11,TRUE)*boc_rr_bc_ooph-VLOOKUP(AZ49,boc_trpr_oc,11,TRUE)*boc_rr_oc_ooph-VLOOKUP(AZ49,mortt,2,FALSE))</f>
        <v>3.2695469743072056E-3</v>
      </c>
      <c r="BC49" s="260">
        <f>BC48*(1-VLOOKUP(AZ49,boc_trpr_bc,11,TRUE)*boc_rr_bc_both-VLOOKUP(AZ49,boc_trpr_oc,11,TRUE)*boc_rr_oc_both-VLOOKUP(AZ49,mortt,2,FALSE))</f>
        <v>3.4961897095837635E-3</v>
      </c>
      <c r="BD49" s="289">
        <f>BD48*(1-VLOOKUP(AZ49,boc_trpr_bc,11,TRUE)*boc_rr_bc_hip-VLOOKUP(AZ49,boc_trpr_oc,11,TRUE)*boc_rr_oc_hip-VLOOKUP(AZ49,mortt,2,FALSE))</f>
        <v>1.0750151643515867E-4</v>
      </c>
      <c r="BE49" s="289">
        <f>BE48*(1-VLOOKUP(AZ49,boc_trpr_bc,11,TRUE)*boc_rr_bc_hiv-VLOOKUP(AZ49,boc_trpr_oc,11,TRUE)*boc_rr_oc_hiv-VLOOKUP(AZ49,mortt,2,FALSE))</f>
        <v>3.0549967604020919E-3</v>
      </c>
      <c r="BF49" s="289">
        <f>BF48*(1-VLOOKUP(AZ49,boc_trpr_bc,11,TRUE)*boc_rr_bc_modp-VLOOKUP(AZ49,boc_trpr_oc,11,TRUE)*boc_rr_oc_modp-VLOOKUP(AZ49,mortt,2,FALSE))</f>
        <v>7.1936746656948351E-4</v>
      </c>
      <c r="BG49" s="289">
        <f>BG48*(1-VLOOKUP(AZ49,boc_trpr_bc,11,TRUE)*boc_rr_bc_modv-VLOOKUP(AZ49,boc_trpr_oc,11,TRUE)*boc_rr_oc_modv-VLOOKUP(AZ49,mortt,2,FALSE))</f>
        <v>3.8843601453310288E-3</v>
      </c>
      <c r="BH49" s="289">
        <f>BH48*(1-VLOOKUP(AZ49,boc_trpr_bc,11,TRUE)*boc_rr_bc_lop-VLOOKUP(AZ49,boc_trpr_oc,11,TRUE)*boc_rr_oc_lop-VLOOKUP(AZ49,mortt,2,FALSE))</f>
        <v>2.7693717680470748E-4</v>
      </c>
      <c r="BI49" s="289">
        <f>BI48*(1-VLOOKUP(AZ49,boc_trpr_bc,11,TRUE)*boc_rr_bc_lov-VLOOKUP(AZ49,boc_trpr_oc,11,TRUE)*boc_rr_oc_lov-VLOOKUP(AZ49,mortt,2,FALSE))</f>
        <v>8.5035992789720793E-4</v>
      </c>
      <c r="BJ49" s="260">
        <f>BJ48*(1-VLOOKUP(AZ49,boc_trpr_bc,11,TRUE)*boc_rr_bc_np-VLOOKUP(AZ49,boc_trpr_oc,11,TRUE)*boc_rr_oc_np-VLOOKUP(AZ49,mortt,2,FALSE))</f>
        <v>0.28123739258494218</v>
      </c>
      <c r="BK49" s="260">
        <f>BA48*VLOOKUP(AZ49,boc_trpr_bc,11,TRUE)*boc_rr_bc_mast+BB48*VLOOKUP(AZ49,boc_trpr_bc,11,TRUE)*boc_rr_bc_ooph+BC48*VLOOKUP(AZ49,boc_trpr_bc,11,TRUE)*boc_rr_bc_both+BD48*VLOOKUP(AZ49,boc_trpr_bc,11,TRUE)*boc_rr_bc_hip+BE48*VLOOKUP(AZ49,boc_trpr_bc,11,TRUE)*boc_rr_bc_hiv+BF48*VLOOKUP(AZ49,boc_trpr_bc,11,TRUE)*boc_rr_bc_modp+BG48*VLOOKUP(AZ49,boc_trpr_bc,11,TRUE)*boc_rr_bc_modv+BH48*VLOOKUP(AZ49,boc_trpr_bc,11,TRUE)*boc_rr_bc_lop+BI48*VLOOKUP(AZ49,boc_trpr_bc,11,TRUE)*boc_rr_bc_lov+BJ48*VLOOKUP(AZ49,boc_trpr_bc,11,TRUE)*boc_rr_bc_np</f>
        <v>1.3748104290639985E-3</v>
      </c>
      <c r="BL49" s="260">
        <f>BA48*VLOOKUP(AZ49,boc_trpr_oc,11,TRUE)*boc_rr_oc_mast+BB48*VLOOKUP(AZ49,boc_trpr_oc,11,TRUE)*boc_rr_oc_ooph+BC48*VLOOKUP(AZ49,boc_trpr_oc,11,TRUE)*boc_rr_oc_both+BD48*VLOOKUP(AZ49,boc_trpr_oc,11,TRUE)*boc_rr_oc_hip+BE48*VLOOKUP(AZ49,boc_trpr_oc,11,TRUE)*boc_rr_oc_hiv+BF48*VLOOKUP(AZ49,boc_trpr_oc,11,TRUE)*boc_rr_oc_modp+BG48*VLOOKUP(AZ49,boc_trpr_oc,11,TRUE)*boc_rr_oc_modv+BH48*VLOOKUP(AZ49,boc_trpr_oc,11,TRUE)*boc_rr_oc_lop+BI48*VLOOKUP(AZ49,boc_trpr_oc,11,TRUE)*boc_rr_oc_lov+BJ48*VLOOKUP(AZ49,boc_trpr_oc,11,TRUE)*boc_rr_oc_np</f>
        <v>1.5799955981239276E-4</v>
      </c>
      <c r="BM49" s="260">
        <f>BK48*(1-VLOOKUP(AZ49,boc_trpr_bc_death,20,TRUE))+BL48*(1-VLOOKUP(AZ49,boc_trpr_oc_death,20,TRUE))+BM48*(1-VLOOKUP(AZ49,mortt,2,FALSE)*boc_rr_death_pc)</f>
        <v>3.6350342577614138E-2</v>
      </c>
      <c r="BN49" s="260">
        <f>BN48+SUM(BA48:BJ48)*VLOOKUP(AZ49,mortt,2,FALSE)+BK48*VLOOKUP(AZ49,boc_trpr_bc_death,20,TRUE)+BL48*VLOOKUP(AZ49,boc_trpr_bc_death,20,TRUE)+BM48*VLOOKUP(AZ49,mortt,2,FALSE)*boc_rr_death_pc</f>
        <v>0.66179226588294082</v>
      </c>
      <c r="BO49" s="260">
        <f t="shared" si="41"/>
        <v>1.0000036074864189</v>
      </c>
      <c r="BP49" s="118">
        <f>(boc_cost_mast*SUM(BD49,BF49,BH49)*(boc_tr_mast_path+boc_tr_both_path)+SUM(BE49,BG49,BI49)*(boc_tr_mast_vus+boc_tr_both_vus)+BK49*boc_cost_bc+BL49*boc_cost_oc+BM49*boc_cost_pc+(BK49*VLOOKUP(AZ49,boc_trpr_bc_death,20,TRUE)+BL49*VLOOKUP(AZ49,boc_trpr_oc_death,TRUE)*boc_cost_death))/((1+discount)^AY49)</f>
        <v>359.3171047358818</v>
      </c>
      <c r="BQ49" s="35">
        <f t="shared" si="48"/>
        <v>8.9017039821871063E-2</v>
      </c>
      <c r="BR49" s="35">
        <f t="shared" si="49"/>
        <v>9.4881790690806864E-2</v>
      </c>
      <c r="BS49" s="35"/>
      <c r="BU49" s="33">
        <v>30</v>
      </c>
      <c r="BV49" t="str">
        <f>$M$83</f>
        <v>boc_tr_mast_vus</v>
      </c>
      <c r="BW49" s="35">
        <f>$F$83</f>
        <v>4.0000000000000008E-2</v>
      </c>
      <c r="BX49" s="35">
        <f>$G$83</f>
        <v>0.06</v>
      </c>
      <c r="BY49" s="311">
        <v>-7.6092527065084141</v>
      </c>
      <c r="BZ49" s="311">
        <v>-7.497449478073122</v>
      </c>
      <c r="CA49" s="311">
        <f t="shared" si="25"/>
        <v>0.11180322843529211</v>
      </c>
      <c r="CD49" s="138">
        <v>44</v>
      </c>
      <c r="CE49" s="291">
        <v>1.8469999999999999E-3</v>
      </c>
    </row>
    <row r="50" spans="2:83" ht="15" customHeight="1" x14ac:dyDescent="0.2">
      <c r="B50" s="37" t="s">
        <v>13</v>
      </c>
      <c r="C50" s="35">
        <f>1-SUM(C48:C49)</f>
        <v>0.63469613300000005</v>
      </c>
      <c r="D50" s="12"/>
      <c r="E50" s="12"/>
      <c r="I50" s="12"/>
      <c r="J50" s="12"/>
      <c r="K50" s="12"/>
      <c r="M50" s="247" t="s">
        <v>167</v>
      </c>
      <c r="N50" s="40" t="s">
        <v>49</v>
      </c>
      <c r="Q50" s="11"/>
      <c r="AD50" s="12">
        <v>44</v>
      </c>
      <c r="AE50" s="12">
        <f t="shared" si="44"/>
        <v>89</v>
      </c>
      <c r="AF50" s="260">
        <f>AF49*(1-VLOOKUP(AE50,boc_trpr_bc,11,TRUE)*boc_rr_bc_mast-VLOOKUP(AE50,boc_trpr_oc,11,TRUE)*boc_rr_oc_mast-VLOOKUP(AE50,mortt,2,FALSE))+SUM(AI49,AK49,AM49)*boc_tr_mast_path+SUM(AJ49,AL49,AN49)*boc_tr_mast_vus</f>
        <v>6.6759030793652301E-3</v>
      </c>
      <c r="AG50" s="260">
        <f>AG49*(1-VLOOKUP(AE50,boc_trpr_bc,11,TRUE)*boc_rr_bc_ooph-VLOOKUP(AE50,boc_trpr_oc,11,TRUE)*boc_rr_oc_ooph-VLOOKUP(AE50,mortt,2,FALSE))+SUM(AI49,AK49,AM49)*boc_tr_ooph_path+SUM(AJ49,AL49,AN49)*boc_tr_ooph_vus</f>
        <v>6.229057432906639E-3</v>
      </c>
      <c r="AH50" s="260">
        <f>AH49*(1-VLOOKUP(AE50,boc_trpr_bc,11,TRUE)*boc_rr_bc_both-VLOOKUP(AE50,boc_trpr_oc,11,TRUE)*boc_rr_oc_both-VLOOKUP(AE50,mortt,2,FALSE))+SUM(AI49,AK49,AM49)*boc_tr_both_path+SUM(AJ49,AL49,AN49)*boc_tr_both_vus</f>
        <v>6.6313224827582546E-3</v>
      </c>
      <c r="AI50" s="289">
        <f>AI49*(1-VLOOKUP(AE50,boc_trpr_bc,11,TRUE)*boc_rr_bc_hip-VLOOKUP(AE50,boc_trpr_oc,11,TRUE)*boc_rr_oc_hip-boc_tr_mast_path-boc_tr_ooph_path-boc_tr_both_path-VLOOKUP(AE50,mortt,2,FALSE))</f>
        <v>8.4473047703207354E-38</v>
      </c>
      <c r="AJ50" s="289">
        <f>AJ49*(1-VLOOKUP(AE50,boc_trpr_bc,11,TRUE)*boc_rr_bc_hiv-VLOOKUP(AE50,boc_trpr_oc,11,TRUE)*boc_rr_oc_hiv-boc_tr_mast_vus-boc_tr_ooph_vus-boc_tr_both_vus-VLOOKUP(AE50,mortt,2,FALSE))</f>
        <v>1.5798033598690606E-6</v>
      </c>
      <c r="AK50" s="289">
        <f>AK49*(1-VLOOKUP(AE50,boc_trpr_bc,11,TRUE)*boc_rr_bc_modp-VLOOKUP(AE50,boc_trpr_oc,11,TRUE)*boc_rr_oc_modp-boc_tr_mast_path-boc_tr_ooph_path-boc_tr_both_path-VLOOKUP(AE50,mortt,2,FALSE))</f>
        <v>1.4632665640584416E-33</v>
      </c>
      <c r="AL50" s="289">
        <f>AL49*(1-VLOOKUP(AE50,boc_trpr_bc,11,TRUE)*boc_rr_bc_modv-VLOOKUP(AE50,boc_trpr_oc,11,TRUE)*boc_rr_oc_modv-boc_tr_mast_vus-boc_tr_ooph_vus-boc_tr_both_vus-VLOOKUP(AE50,mortt,2,FALSE))</f>
        <v>2.0086846860445642E-6</v>
      </c>
      <c r="AM50" s="289">
        <f>AM49*(1-VLOOKUP(AE50,boc_trpr_bc,11,TRUE)*boc_rr_bc_lop-VLOOKUP(AE50,boc_trpr_oc,11,TRUE)*boc_rr_oc_lop-boc_tr_mast_path-boc_tr_ooph_path-boc_tr_both_path-VLOOKUP(AE50,mortt,2,FALSE))</f>
        <v>5.2727567489922349E-33</v>
      </c>
      <c r="AN50" s="289">
        <f>AN49*(1-VLOOKUP(AE50,boc_trpr_bc,11,TRUE)*boc_rr_bc_lov-VLOOKUP(AE50,boc_trpr_oc,11,TRUE)*boc_rr_oc_lov-boc_tr_mast_vus-boc_tr_ooph_vus-boc_tr_both_vus-VLOOKUP(AE50,mortt,2,FALSE))</f>
        <v>4.3973908208439683E-7</v>
      </c>
      <c r="AO50" s="260">
        <f>AO49*(1-VLOOKUP(AE50,boc_trpr_bc,11,TRUE)*boc_rr_bc_np-VLOOKUP(AE50,boc_trpr_oc,11,TRUE)*boc_rr_oc_np-VLOOKUP(AE50,mortt,2,FALSE))</f>
        <v>0.24763026186600107</v>
      </c>
      <c r="AP50" s="260">
        <f>AF49*VLOOKUP(AE50,boc_trpr_bc,11,TRUE)*boc_rr_bc_mast+AG49*VLOOKUP(AE50,boc_trpr_bc,11,TRUE)*boc_rr_bc_ooph+AH49*VLOOKUP(AE50,boc_trpr_bc,11,TRUE)*boc_rr_bc_both+AI49*VLOOKUP(AE50,boc_trpr_bc,11,TRUE)*boc_rr_bc_hip+AJ49*VLOOKUP(AE50,boc_trpr_bc,11,TRUE)*boc_rr_bc_hiv+AK49*VLOOKUP(AE50,boc_trpr_bc,11,TRUE)*boc_rr_bc_modp+AL49*VLOOKUP(AE50,boc_trpr_bc,11,TRUE)*boc_rr_bc_modv+AM49*VLOOKUP(AE50,boc_trpr_bc,11,TRUE)*boc_rr_bc_lop+AN49*VLOOKUP(AE50,boc_trpr_bc,11,TRUE)*boc_rr_bc_lov+AO49*VLOOKUP(AE50,boc_trpr_bc,11,TRUE)*boc_rr_bc_np</f>
        <v>1.1783403006103482E-3</v>
      </c>
      <c r="AQ50" s="260">
        <f>AF49*VLOOKUP(AE50,boc_trpr_oc,11,TRUE)*boc_rr_oc_mast+AG49*VLOOKUP(AE50,boc_trpr_oc,11,TRUE)*boc_rr_oc_ooph+AH49*VLOOKUP(AE50,boc_trpr_oc,11,TRUE)*boc_rr_oc_both+AI49*VLOOKUP(AE50,boc_trpr_oc,11,TRUE)*boc_rr_oc_hip+AJ49*VLOOKUP(AE50,boc_trpr_oc,11,TRUE)*boc_rr_oc_hiv+AK49*VLOOKUP(AE50,boc_trpr_oc,11,TRUE)*boc_rr_oc_modp+AL49*VLOOKUP(AE50,boc_trpr_oc,11,TRUE)*boc_rr_oc_modv+AM49*VLOOKUP(AE50,boc_trpr_oc,11,TRUE)*boc_rr_oc_lop+AN49*VLOOKUP(AE50,boc_trpr_oc,11,TRUE)*boc_rr_oc_lov+AO49*VLOOKUP(AE50,boc_trpr_oc,11,TRUE)*boc_rr_oc_np</f>
        <v>1.3679478052834205E-4</v>
      </c>
      <c r="AR50" s="260">
        <f>AP49*(1-VLOOKUP(AE50,boc_trpr_bc_death,20,TRUE))+AQ49*(1-VLOOKUP(AE50,boc_trpr_oc_death,20,TRUE))+AR49*(1-VLOOKUP(AE50,mortt,2,FALSE)*boc_rr_death_pc)</f>
        <v>2.9876039819893525E-2</v>
      </c>
      <c r="AS50" s="260">
        <f>AS49+SUM(AF49:AO49)*VLOOKUP(AE50,mortt,2,FALSE)+AP49*VLOOKUP(AE50,boc_trpr_bc_death,20,TRUE)+AQ49*VLOOKUP(AE50,boc_trpr_bc_death,20,TRUE)+AR49*VLOOKUP(AE50,mortt,2,FALSE)*boc_rr_death_pc</f>
        <v>0.70164179402661264</v>
      </c>
      <c r="AT50" s="260">
        <f t="shared" si="52"/>
        <v>1.000003542015804</v>
      </c>
      <c r="AU50" s="118">
        <f>(boc_cost_mast*SUM(AI50,AK50,AM50)*(boc_tr_mast_path+boc_tr_both_path)+SUM(AJ50,AL50,AN50)*(boc_tr_mast_vus+boc_tr_both_vus)+AP50*boc_cost_bc+AQ50*boc_cost_oc+AR50*boc_cost_pc+(AP50*VLOOKUP(AE50,boc_trpr_bc_death,20,TRUE)+AQ50*VLOOKUP(AE50,boc_trpr_oc_death,TRUE)*boc_cost_death))/((1+discount)^AD50)</f>
        <v>296.78292319963111</v>
      </c>
      <c r="AV50" s="35">
        <f t="shared" si="45"/>
        <v>7.6334574220164431E-2</v>
      </c>
      <c r="AW50" s="35">
        <f t="shared" si="46"/>
        <v>8.1264356377754504E-2</v>
      </c>
      <c r="AY50" s="12">
        <v>44</v>
      </c>
      <c r="AZ50" s="12">
        <f t="shared" si="47"/>
        <v>89</v>
      </c>
      <c r="BA50" s="260">
        <f>BA49*(1-VLOOKUP(AZ50,boc_trpr_bc,11,TRUE)*boc_rr_bc_mast-VLOOKUP(AZ50,boc_trpr_oc,11,TRUE)*boc_rr_oc_mast-VLOOKUP(AZ50,mortt,2,FALSE))</f>
        <v>3.0342027748081271E-3</v>
      </c>
      <c r="BB50" s="260">
        <f>BB49*(1-VLOOKUP(AZ50,boc_trpr_bc,11,TRUE)*boc_rr_bc_ooph-VLOOKUP(AZ50,boc_trpr_oc,11,TRUE)*boc_rr_oc_ooph-VLOOKUP(AZ50,mortt,2,FALSE))</f>
        <v>2.8867365431421098E-3</v>
      </c>
      <c r="BC50" s="260">
        <f>BC49*(1-VLOOKUP(AZ50,boc_trpr_bc,11,TRUE)*boc_rr_bc_both-VLOOKUP(AZ50,boc_trpr_oc,11,TRUE)*boc_rr_oc_both-VLOOKUP(AZ50,mortt,2,FALSE))</f>
        <v>3.0934698866511815E-3</v>
      </c>
      <c r="BD50" s="289">
        <f>BD49*(1-VLOOKUP(AZ50,boc_trpr_bc,11,TRUE)*boc_rr_bc_hip-VLOOKUP(AZ50,boc_trpr_oc,11,TRUE)*boc_rr_oc_hip-VLOOKUP(AZ50,mortt,2,FALSE))</f>
        <v>8.774675241170897E-5</v>
      </c>
      <c r="BE50" s="289">
        <f>BE49*(1-VLOOKUP(AZ50,boc_trpr_bc,11,TRUE)*boc_rr_bc_hiv-VLOOKUP(AZ50,boc_trpr_oc,11,TRUE)*boc_rr_oc_hiv-VLOOKUP(AZ50,mortt,2,FALSE))</f>
        <v>2.6885303022150132E-3</v>
      </c>
      <c r="BF50" s="289">
        <f>BF49*(1-VLOOKUP(AZ50,boc_trpr_bc,11,TRUE)*boc_rr_bc_modp-VLOOKUP(AZ50,boc_trpr_oc,11,TRUE)*boc_rr_oc_modp-VLOOKUP(AZ50,mortt,2,FALSE))</f>
        <v>6.2019626984160853E-4</v>
      </c>
      <c r="BG50" s="289">
        <f>BG49*(1-VLOOKUP(AZ50,boc_trpr_bc,11,TRUE)*boc_rr_bc_modv-VLOOKUP(AZ50,boc_trpr_oc,11,TRUE)*boc_rr_oc_modv-VLOOKUP(AZ50,mortt,2,FALSE))</f>
        <v>3.418406229034518E-3</v>
      </c>
      <c r="BH50" s="289">
        <f>BH49*(1-VLOOKUP(AZ50,boc_trpr_bc,11,TRUE)*boc_rr_bc_lop-VLOOKUP(AZ50,boc_trpr_oc,11,TRUE)*boc_rr_oc_lop-VLOOKUP(AZ50,mortt,2,FALSE))</f>
        <v>2.4320828757304038E-4</v>
      </c>
      <c r="BI50" s="289">
        <f>BI49*(1-VLOOKUP(AZ50,boc_trpr_bc,11,TRUE)*boc_rr_bc_lov-VLOOKUP(AZ50,boc_trpr_oc,11,TRUE)*boc_rr_oc_lov-VLOOKUP(AZ50,mortt,2,FALSE))</f>
        <v>7.4835379977296942E-4</v>
      </c>
      <c r="BJ50" s="260">
        <f>BJ49*(1-VLOOKUP(AZ50,boc_trpr_bc,11,TRUE)*boc_rr_bc_np-VLOOKUP(AZ50,boc_trpr_oc,11,TRUE)*boc_rr_oc_np-VLOOKUP(AZ50,mortt,2,FALSE))</f>
        <v>0.24763026186600107</v>
      </c>
      <c r="BK50" s="260">
        <f>BA49*VLOOKUP(AZ50,boc_trpr_bc,11,TRUE)*boc_rr_bc_mast+BB49*VLOOKUP(AZ50,boc_trpr_bc,11,TRUE)*boc_rr_bc_ooph+BC49*VLOOKUP(AZ50,boc_trpr_bc,11,TRUE)*boc_rr_bc_both+BD49*VLOOKUP(AZ50,boc_trpr_bc,11,TRUE)*boc_rr_bc_hip+BE49*VLOOKUP(AZ50,boc_trpr_bc,11,TRUE)*boc_rr_bc_hiv+BF49*VLOOKUP(AZ50,boc_trpr_bc,11,TRUE)*boc_rr_bc_modp+BG49*VLOOKUP(AZ50,boc_trpr_bc,11,TRUE)*boc_rr_bc_modv+BH49*VLOOKUP(AZ50,boc_trpr_bc,11,TRUE)*boc_rr_bc_lop+BI49*VLOOKUP(AZ50,boc_trpr_bc,11,TRUE)*boc_rr_bc_lov+BJ49*VLOOKUP(AZ50,boc_trpr_bc,11,TRUE)*boc_rr_bc_np</f>
        <v>1.2263241278402568E-3</v>
      </c>
      <c r="BL50" s="260">
        <f>BA49*VLOOKUP(AZ50,boc_trpr_oc,11,TRUE)*boc_rr_oc_mast+BB49*VLOOKUP(AZ50,boc_trpr_oc,11,TRUE)*boc_rr_oc_ooph+BC49*VLOOKUP(AZ50,boc_trpr_oc,11,TRUE)*boc_rr_oc_both+BD49*VLOOKUP(AZ50,boc_trpr_oc,11,TRUE)*boc_rr_oc_hip+BE49*VLOOKUP(AZ50,boc_trpr_oc,11,TRUE)*boc_rr_oc_hiv+BF49*VLOOKUP(AZ50,boc_trpr_oc,11,TRUE)*boc_rr_oc_modp+BG49*VLOOKUP(AZ50,boc_trpr_oc,11,TRUE)*boc_rr_oc_modv+BH49*VLOOKUP(AZ50,boc_trpr_oc,11,TRUE)*boc_rr_oc_lop+BI49*VLOOKUP(AZ50,boc_trpr_oc,11,TRUE)*boc_rr_oc_lov+BJ49*VLOOKUP(AZ50,boc_trpr_oc,11,TRUE)*boc_rr_oc_np</f>
        <v>1.4094098002280237E-4</v>
      </c>
      <c r="BM50" s="260">
        <f>BK49*(1-VLOOKUP(AZ50,boc_trpr_bc_death,20,TRUE))+BL49*(1-VLOOKUP(AZ50,boc_trpr_oc_death,20,TRUE))+BM49*(1-VLOOKUP(AZ50,mortt,2,FALSE)*boc_rr_death_pc)</f>
        <v>3.1616057098123852E-2</v>
      </c>
      <c r="BN50" s="260">
        <f>BN49+SUM(BA49:BJ49)*VLOOKUP(AZ50,mortt,2,FALSE)+BK49*VLOOKUP(AZ50,boc_trpr_bc_death,20,TRUE)+BL49*VLOOKUP(AZ50,boc_trpr_bc_death,20,TRUE)+BM49*VLOOKUP(AZ50,mortt,2,FALSE)*boc_rr_death_pc</f>
        <v>0.70256928165320798</v>
      </c>
      <c r="BO50" s="260">
        <f t="shared" si="41"/>
        <v>1.0000037165706464</v>
      </c>
      <c r="BP50" s="118">
        <f>(boc_cost_mast*SUM(BD50,BF50,BH50)*(boc_tr_mast_path+boc_tr_both_path)+SUM(BE50,BG50,BI50)*(boc_tr_mast_vus+boc_tr_both_vus)+BK50*boc_cost_bc+BL50*boc_cost_oc+BM50*boc_cost_pc+(BK50*VLOOKUP(AZ50,boc_trpr_bc_death,20,TRUE)+BL50*VLOOKUP(AZ50,boc_trpr_oc_death,TRUE)*boc_cost_death))/((1+discount)^AY50)</f>
        <v>309.42240820136681</v>
      </c>
      <c r="BQ50" s="35">
        <f t="shared" si="48"/>
        <v>7.6013491785005785E-2</v>
      </c>
      <c r="BR50" s="35">
        <f t="shared" si="49"/>
        <v>8.1011734919672923E-2</v>
      </c>
      <c r="BS50" s="35"/>
      <c r="BU50" s="33">
        <v>35</v>
      </c>
      <c r="BV50" t="str">
        <f>$M$84</f>
        <v>boc_tr_ooph_vus</v>
      </c>
      <c r="BW50" s="35">
        <f>$F$84</f>
        <v>4.0000000000000008E-2</v>
      </c>
      <c r="BX50" s="35">
        <f>$G$84</f>
        <v>0.06</v>
      </c>
      <c r="BY50" s="311">
        <v>-7.5063865960169096</v>
      </c>
      <c r="BZ50" s="311">
        <v>-7.5993959058305336</v>
      </c>
      <c r="CA50" s="311">
        <f t="shared" si="25"/>
        <v>9.3009309813623986E-2</v>
      </c>
      <c r="CD50" s="138">
        <v>45</v>
      </c>
      <c r="CE50" s="291">
        <v>2.0019999999999999E-3</v>
      </c>
    </row>
    <row r="51" spans="2:83" ht="15" customHeight="1" x14ac:dyDescent="0.2">
      <c r="B51" s="38" t="s">
        <v>53</v>
      </c>
      <c r="C51" s="12"/>
      <c r="D51" s="12"/>
      <c r="E51" s="12"/>
      <c r="I51" s="12"/>
      <c r="K51" s="12"/>
      <c r="M51" s="249"/>
      <c r="Q51" s="11"/>
      <c r="U51" s="9" t="s">
        <v>7</v>
      </c>
      <c r="V51" s="250">
        <f>boc_unk_int_mast*boc_test_int_np_mast</f>
        <v>0.01</v>
      </c>
      <c r="X51" s="261">
        <f>T52*V51</f>
        <v>9.0000000000000011E-3</v>
      </c>
      <c r="AD51" s="12">
        <v>45</v>
      </c>
      <c r="AE51" s="12">
        <f t="shared" si="44"/>
        <v>90</v>
      </c>
      <c r="AF51" s="260">
        <f>AF50*(1-VLOOKUP(AE51,boc_trpr_bc,11,TRUE)*boc_rr_bc_mast-VLOOKUP(AE51,boc_trpr_oc,11,TRUE)*boc_rr_oc_mast-VLOOKUP(AE51,mortt,2,FALSE))+SUM(AI50,AK50,AM50)*boc_tr_mast_path+SUM(AJ50,AL50,AN50)*boc_tr_mast_vus</f>
        <v>5.8150602752059313E-3</v>
      </c>
      <c r="AG51" s="260">
        <f>AG50*(1-VLOOKUP(AE51,boc_trpr_bc,11,TRUE)*boc_rr_bc_ooph-VLOOKUP(AE51,boc_trpr_oc,11,TRUE)*boc_rr_oc_ooph-VLOOKUP(AE51,mortt,2,FALSE))+SUM(AI50,AK50,AM50)*boc_tr_ooph_path+SUM(AJ50,AL50,AN50)*boc_tr_ooph_vus</f>
        <v>5.4177831444223237E-3</v>
      </c>
      <c r="AH51" s="260">
        <f>AH50*(1-VLOOKUP(AE51,boc_trpr_bc,11,TRUE)*boc_rr_bc_both-VLOOKUP(AE51,boc_trpr_oc,11,TRUE)*boc_rr_oc_both-VLOOKUP(AE51,mortt,2,FALSE))+SUM(AI50,AK50,AM50)*boc_tr_both_path+SUM(AJ50,AL50,AN50)*boc_tr_both_vus</f>
        <v>5.7802132370462431E-3</v>
      </c>
      <c r="AI51" s="289">
        <f>AI50*(1-VLOOKUP(AE51,boc_trpr_bc,11,TRUE)*boc_rr_bc_hip-VLOOKUP(AE51,boc_trpr_oc,11,TRUE)*boc_rr_oc_hip-boc_tr_mast_path-boc_tr_ooph_path-boc_tr_both_path-VLOOKUP(AE51,mortt,2,FALSE))</f>
        <v>4.4811554195658817E-39</v>
      </c>
      <c r="AJ51" s="289">
        <f>AJ50*(1-VLOOKUP(AE51,boc_trpr_bc,11,TRUE)*boc_rr_bc_hiv-VLOOKUP(AE51,boc_trpr_oc,11,TRUE)*boc_rr_oc_hiv-boc_tr_mast_vus-boc_tr_ooph_vus-boc_tr_both_vus-VLOOKUP(AE51,mortt,2,FALSE))</f>
        <v>1.1324892824518157E-6</v>
      </c>
      <c r="AK51" s="289">
        <f>AK50*(1-VLOOKUP(AE51,boc_trpr_bc,11,TRUE)*boc_rr_bc_modp-VLOOKUP(AE51,boc_trpr_oc,11,TRUE)*boc_rr_oc_modp-boc_tr_mast_path-boc_tr_ooph_path-boc_tr_both_path-VLOOKUP(AE51,mortt,2,FALSE))</f>
        <v>1.4479332156375005E-34</v>
      </c>
      <c r="AL51" s="289">
        <f>AL50*(1-VLOOKUP(AE51,boc_trpr_bc,11,TRUE)*boc_rr_bc_modv-VLOOKUP(AE51,boc_trpr_oc,11,TRUE)*boc_rr_oc_modv-boc_tr_mast_vus-boc_tr_ooph_vus-boc_tr_both_vus-VLOOKUP(AE51,mortt,2,FALSE))</f>
        <v>1.4399348276858352E-6</v>
      </c>
      <c r="AM51" s="289">
        <f>AM50*(1-VLOOKUP(AE51,boc_trpr_bc,11,TRUE)*boc_rr_bc_lop-VLOOKUP(AE51,boc_trpr_oc,11,TRUE)*boc_rr_oc_lop-boc_tr_mast_path-boc_tr_ooph_path-boc_tr_both_path-VLOOKUP(AE51,mortt,2,FALSE))</f>
        <v>6.0646422702933925E-34</v>
      </c>
      <c r="AN51" s="289">
        <f>AN50*(1-VLOOKUP(AE51,boc_trpr_bc,11,TRUE)*boc_rr_bc_lov-VLOOKUP(AE51,boc_trpr_oc,11,TRUE)*boc_rr_oc_lov-boc_tr_mast_vus-boc_tr_ooph_vus-boc_tr_both_vus-VLOOKUP(AE51,mortt,2,FALSE))</f>
        <v>3.1522897734377181E-7</v>
      </c>
      <c r="AO51" s="260">
        <f>AO50*(1-VLOOKUP(AE51,boc_trpr_bc,11,TRUE)*boc_rr_bc_np-VLOOKUP(AE51,boc_trpr_oc,11,TRUE)*boc_rr_oc_np-VLOOKUP(AE51,mortt,2,FALSE))</f>
        <v>0.21477309959161006</v>
      </c>
      <c r="AP51" s="260">
        <f>AF50*VLOOKUP(AE51,boc_trpr_bc,11,TRUE)*boc_rr_bc_mast+AG50*VLOOKUP(AE51,boc_trpr_bc,11,TRUE)*boc_rr_bc_ooph+AH50*VLOOKUP(AE51,boc_trpr_bc,11,TRUE)*boc_rr_bc_both+AI50*VLOOKUP(AE51,boc_trpr_bc,11,TRUE)*boc_rr_bc_hip+AJ50*VLOOKUP(AE51,boc_trpr_bc,11,TRUE)*boc_rr_bc_hiv+AK50*VLOOKUP(AE51,boc_trpr_bc,11,TRUE)*boc_rr_bc_modp+AL50*VLOOKUP(AE51,boc_trpr_bc,11,TRUE)*boc_rr_bc_modv+AM50*VLOOKUP(AE51,boc_trpr_bc,11,TRUE)*boc_rr_bc_lop+AN50*VLOOKUP(AE51,boc_trpr_bc,11,TRUE)*boc_rr_bc_lov+AO50*VLOOKUP(AE51,boc_trpr_bc,11,TRUE)*boc_rr_bc_np</f>
        <v>1.03758268723723E-3</v>
      </c>
      <c r="AQ51" s="260">
        <f>AF50*VLOOKUP(AE51,boc_trpr_oc,11,TRUE)*boc_rr_oc_mast+AG50*VLOOKUP(AE51,boc_trpr_oc,11,TRUE)*boc_rr_oc_ooph+AH50*VLOOKUP(AE51,boc_trpr_oc,11,TRUE)*boc_rr_oc_both+AI50*VLOOKUP(AE51,boc_trpr_oc,11,TRUE)*boc_rr_oc_hip+AJ50*VLOOKUP(AE51,boc_trpr_oc,11,TRUE)*boc_rr_oc_hiv+AK50*VLOOKUP(AE51,boc_trpr_oc,11,TRUE)*boc_rr_oc_modp+AL50*VLOOKUP(AE51,boc_trpr_oc,11,TRUE)*boc_rr_oc_modv+AM50*VLOOKUP(AE51,boc_trpr_oc,11,TRUE)*boc_rr_oc_lop+AN50*VLOOKUP(AE51,boc_trpr_oc,11,TRUE)*boc_rr_oc_lov+AO50*VLOOKUP(AE51,boc_trpr_oc,11,TRUE)*boc_rr_oc_np</f>
        <v>1.2046476924906641E-4</v>
      </c>
      <c r="AR51" s="260">
        <f>AP50*(1-VLOOKUP(AE51,boc_trpr_bc_death,20,TRUE))+AQ50*(1-VLOOKUP(AE51,boc_trpr_oc_death,20,TRUE))+AR50*(1-VLOOKUP(AE51,mortt,2,FALSE)*boc_rr_death_pc)</f>
        <v>2.5449187707455793E-2</v>
      </c>
      <c r="AS51" s="260">
        <f>AS50+SUM(AF50:AO50)*VLOOKUP(AE51,mortt,2,FALSE)+AP50*VLOOKUP(AE51,boc_trpr_bc_death,20,TRUE)+AQ50*VLOOKUP(AE51,boc_trpr_bc_death,20,TRUE)+AR50*VLOOKUP(AE51,mortt,2,FALSE)*boc_rr_death_pc</f>
        <v>0.74160735739475903</v>
      </c>
      <c r="AT51" s="260">
        <f t="shared" si="52"/>
        <v>1.0000036364600731</v>
      </c>
      <c r="AU51" s="118">
        <f>(boc_cost_mast*SUM(AI51,AK51,AM51)*(boc_tr_mast_path+boc_tr_both_path)+SUM(AJ51,AL51,AN51)*(boc_tr_mast_vus+boc_tr_both_vus)+AP51*boc_cost_bc+AQ51*boc_cost_oc+AR51*boc_cost_pc+(AP51*VLOOKUP(AE51,boc_trpr_bc_death,20,TRUE)+AQ51*VLOOKUP(AE51,boc_trpr_oc_death,TRUE)*boc_cost_death))/((1+discount)^AD51)</f>
        <v>251.97955274794413</v>
      </c>
      <c r="AV51" s="35">
        <f t="shared" si="45"/>
        <v>6.4194541276069314E-2</v>
      </c>
      <c r="AW51" s="35">
        <f t="shared" si="46"/>
        <v>6.8328994801413412E-2</v>
      </c>
      <c r="AY51" s="12">
        <v>45</v>
      </c>
      <c r="AZ51" s="12">
        <f t="shared" si="47"/>
        <v>90</v>
      </c>
      <c r="BA51" s="260">
        <f>BA50*(1-VLOOKUP(AZ51,boc_trpr_bc,11,TRUE)*boc_rr_bc_mast-VLOOKUP(AZ51,boc_trpr_oc,11,TRUE)*boc_rr_oc_mast-VLOOKUP(AZ51,mortt,2,FALSE))</f>
        <v>2.64285755650717E-3</v>
      </c>
      <c r="BB51" s="260">
        <f>BB50*(1-VLOOKUP(AZ51,boc_trpr_bc,11,TRUE)*boc_rr_bc_ooph-VLOOKUP(AZ51,boc_trpr_oc,11,TRUE)*boc_rr_oc_ooph-VLOOKUP(AZ51,mortt,2,FALSE))</f>
        <v>2.5106737789384846E-3</v>
      </c>
      <c r="BC51" s="260">
        <f>BC50*(1-VLOOKUP(AZ51,boc_trpr_bc,11,TRUE)*boc_rr_bc_both-VLOOKUP(AZ51,boc_trpr_oc,11,TRUE)*boc_rr_oc_both-VLOOKUP(AZ51,mortt,2,FALSE))</f>
        <v>2.6963388635900059E-3</v>
      </c>
      <c r="BD51" s="289">
        <f>BD50*(1-VLOOKUP(AZ51,boc_trpr_bc,11,TRUE)*boc_rr_bc_hip-VLOOKUP(AZ51,boc_trpr_oc,11,TRUE)*boc_rr_oc_hip-VLOOKUP(AZ51,mortt,2,FALSE))</f>
        <v>7.0464884346772442E-5</v>
      </c>
      <c r="BE51" s="289">
        <f>BE50*(1-VLOOKUP(AZ51,boc_trpr_bc,11,TRUE)*boc_rr_bc_hiv-VLOOKUP(AZ51,boc_trpr_oc,11,TRUE)*boc_rr_oc_hiv-VLOOKUP(AZ51,mortt,2,FALSE))</f>
        <v>2.3305648202906503E-3</v>
      </c>
      <c r="BF51" s="289">
        <f>BF50*(1-VLOOKUP(AZ51,boc_trpr_bc,11,TRUE)*boc_rr_bc_modp-VLOOKUP(AZ51,boc_trpr_oc,11,TRUE)*boc_rr_oc_modp-VLOOKUP(AZ51,mortt,2,FALSE))</f>
        <v>5.2651693509945348E-4</v>
      </c>
      <c r="BG51" s="289">
        <f>BG50*(1-VLOOKUP(AZ51,boc_trpr_bc,11,TRUE)*boc_rr_bc_modv-VLOOKUP(AZ51,boc_trpr_oc,11,TRUE)*boc_rr_oc_modv-VLOOKUP(AZ51,mortt,2,FALSE))</f>
        <v>2.9632611141807139E-3</v>
      </c>
      <c r="BH51" s="289">
        <f>BH50*(1-VLOOKUP(AZ51,boc_trpr_bc,11,TRUE)*boc_rr_bc_lop-VLOOKUP(AZ51,boc_trpr_oc,11,TRUE)*boc_rr_oc_lop-VLOOKUP(AZ51,mortt,2,FALSE))</f>
        <v>2.103796521858933E-4</v>
      </c>
      <c r="BI51" s="289">
        <f>BI50*(1-VLOOKUP(AZ51,boc_trpr_bc,11,TRUE)*boc_rr_bc_lov-VLOOKUP(AZ51,boc_trpr_oc,11,TRUE)*boc_rr_oc_lov-VLOOKUP(AZ51,mortt,2,FALSE))</f>
        <v>6.4871392278703578E-4</v>
      </c>
      <c r="BJ51" s="260">
        <f>BJ50*(1-VLOOKUP(AZ51,boc_trpr_bc,11,TRUE)*boc_rr_bc_np-VLOOKUP(AZ51,boc_trpr_oc,11,TRUE)*boc_rr_oc_np-VLOOKUP(AZ51,mortt,2,FALSE))</f>
        <v>0.21477309959161006</v>
      </c>
      <c r="BK51" s="260">
        <f>BA50*VLOOKUP(AZ51,boc_trpr_bc,11,TRUE)*boc_rr_bc_mast+BB50*VLOOKUP(AZ51,boc_trpr_bc,11,TRUE)*boc_rr_bc_ooph+BC50*VLOOKUP(AZ51,boc_trpr_bc,11,TRUE)*boc_rr_bc_both+BD50*VLOOKUP(AZ51,boc_trpr_bc,11,TRUE)*boc_rr_bc_hip+BE50*VLOOKUP(AZ51,boc_trpr_bc,11,TRUE)*boc_rr_bc_hiv+BF50*VLOOKUP(AZ51,boc_trpr_bc,11,TRUE)*boc_rr_bc_modp+BG50*VLOOKUP(AZ51,boc_trpr_bc,11,TRUE)*boc_rr_bc_modv+BH50*VLOOKUP(AZ51,boc_trpr_bc,11,TRUE)*boc_rr_bc_lop+BI50*VLOOKUP(AZ51,boc_trpr_bc,11,TRUE)*boc_rr_bc_lov+BJ50*VLOOKUP(AZ51,boc_trpr_bc,11,TRUE)*boc_rr_bc_np</f>
        <v>1.0790872734022954E-3</v>
      </c>
      <c r="BL51" s="260">
        <f>BA50*VLOOKUP(AZ51,boc_trpr_oc,11,TRUE)*boc_rr_oc_mast+BB50*VLOOKUP(AZ51,boc_trpr_oc,11,TRUE)*boc_rr_oc_ooph+BC50*VLOOKUP(AZ51,boc_trpr_oc,11,TRUE)*boc_rr_oc_both+BD50*VLOOKUP(AZ51,boc_trpr_oc,11,TRUE)*boc_rr_oc_hip+BE50*VLOOKUP(AZ51,boc_trpr_oc,11,TRUE)*boc_rr_oc_hiv+BF50*VLOOKUP(AZ51,boc_trpr_oc,11,TRUE)*boc_rr_oc_modp+BG50*VLOOKUP(AZ51,boc_trpr_oc,11,TRUE)*boc_rr_oc_modv+BH50*VLOOKUP(AZ51,boc_trpr_oc,11,TRUE)*boc_rr_oc_lop+BI50*VLOOKUP(AZ51,boc_trpr_oc,11,TRUE)*boc_rr_oc_lov+BJ50*VLOOKUP(AZ51,boc_trpr_oc,11,TRUE)*boc_rr_oc_np</f>
        <v>1.2402458462672551E-4</v>
      </c>
      <c r="BM51" s="260">
        <f>BK50*(1-VLOOKUP(AZ51,boc_trpr_bc_death,20,TRUE))+BL50*(1-VLOOKUP(AZ51,boc_trpr_oc_death,20,TRUE))+BM50*(1-VLOOKUP(AZ51,mortt,2,FALSE)*boc_rr_death_pc)</f>
        <v>2.6906941372424897E-2</v>
      </c>
      <c r="BN51" s="260">
        <f>BN50+SUM(BA50:BJ50)*VLOOKUP(AZ51,mortt,2,FALSE)+BK50*VLOOKUP(AZ51,boc_trpr_bc_death,20,TRUE)+BL50*VLOOKUP(AZ51,boc_trpr_bc_death,20,TRUE)+BM50*VLOOKUP(AZ51,mortt,2,FALSE)*boc_rr_death_pc</f>
        <v>0.74252088952749618</v>
      </c>
      <c r="BO51" s="260">
        <f t="shared" si="41"/>
        <v>1.0000038138774863</v>
      </c>
      <c r="BP51" s="118">
        <f>(boc_cost_mast*SUM(BD51,BF51,BH51)*(boc_tr_mast_path+boc_tr_both_path)+SUM(BE51,BG51,BI51)*(boc_tr_mast_vus+boc_tr_both_vus)+BK51*boc_cost_bc+BL51*boc_cost_oc+BM51*boc_cost_pc+(BK51*VLOOKUP(AZ51,boc_trpr_bc_death,20,TRUE)+BL51*VLOOKUP(AZ51,boc_trpr_oc_death,TRUE)*boc_cost_death))/((1+discount)^AY51)</f>
        <v>262.43208944029379</v>
      </c>
      <c r="BQ51" s="35">
        <f t="shared" si="48"/>
        <v>6.3898373560425659E-2</v>
      </c>
      <c r="BR51" s="35">
        <f t="shared" si="49"/>
        <v>6.8087421621467706E-2</v>
      </c>
      <c r="BS51" s="35"/>
      <c r="BU51" s="33">
        <v>16</v>
      </c>
      <c r="BV51" t="str">
        <f>$M$85</f>
        <v>boc_tr_both_vus</v>
      </c>
      <c r="BW51" s="35">
        <f>$F$85</f>
        <v>4.0000000000000008E-2</v>
      </c>
      <c r="BX51" s="35">
        <f>$G$85</f>
        <v>0.06</v>
      </c>
      <c r="BY51" s="311">
        <v>-7.5088519961227576</v>
      </c>
      <c r="BZ51" s="311">
        <v>-7.5975437182623864</v>
      </c>
      <c r="CA51" s="311">
        <f t="shared" si="25"/>
        <v>8.8691722139628837E-2</v>
      </c>
      <c r="CD51" s="138">
        <v>46</v>
      </c>
      <c r="CE51" s="291">
        <v>2.1789999999999999E-3</v>
      </c>
    </row>
    <row r="52" spans="2:83" ht="15" customHeight="1" x14ac:dyDescent="0.2">
      <c r="B52" s="37" t="s">
        <v>11</v>
      </c>
      <c r="C52" s="35">
        <f>IF(psa,J52,IF(owsa_low=L52,F52,IF(owsa_high=L52,G52,IF(ISNUMBER(D52),D52,E52))))</f>
        <v>9.4143645999999997E-2</v>
      </c>
      <c r="D52" s="158"/>
      <c r="E52" s="35">
        <v>9.4143645999999997E-2</v>
      </c>
      <c r="F52" s="35">
        <f>IF(ISNUMBER(D52),D52,E52)*(1-owsa_boc)</f>
        <v>7.5314916800000006E-2</v>
      </c>
      <c r="G52" s="35">
        <f>MIN(1,IF(ISNUMBER(D52),D52,E52)*(1+owsa_boc))</f>
        <v>0.11297237519999999</v>
      </c>
      <c r="H52" s="48">
        <f t="shared" ref="H52:H53" si="55">IF(ISNUMBER(D52),D52,E52)^2*(1-IF(ISNUMBER(D52),D52,E52))/((G52-F52)/(2*z))^2-IF(ISNUMBER(D52),D52,E52)</f>
        <v>86.901103387878038</v>
      </c>
      <c r="I52" s="48">
        <f t="shared" ref="I52:I53" si="56">(IF(ISNUMBER(D52),D52,E52)^2*(1-IF(ISNUMBER(D52),D52,E52))/((G52-F52)/(2*z))^2-IF(ISNUMBER(D52),D52,E52))*(1-IF(ISNUMBER(D52),D52,E52))/IF(ISNUMBER(D52),D52,E52)</f>
        <v>836.1681326164088</v>
      </c>
      <c r="J52" s="35">
        <f ca="1">_xlfn.BETA.INV(RAND(),H52,I52)</f>
        <v>9.5881529627704354E-2</v>
      </c>
      <c r="K52" s="12" t="s">
        <v>71</v>
      </c>
      <c r="L52" s="40">
        <v>7</v>
      </c>
      <c r="M52" s="247" t="s">
        <v>168</v>
      </c>
      <c r="N52" s="247" t="s">
        <v>298</v>
      </c>
      <c r="Q52" s="9" t="s">
        <v>186</v>
      </c>
      <c r="R52" s="177"/>
      <c r="S52" s="177"/>
      <c r="T52" s="262">
        <f>1-L7</f>
        <v>0.9</v>
      </c>
      <c r="U52" s="9" t="s">
        <v>8</v>
      </c>
      <c r="V52" s="250">
        <f>boc_unk_int_ooph*boc_test_int_np_ooph</f>
        <v>0.01</v>
      </c>
      <c r="Y52" s="261">
        <f>T52*V52</f>
        <v>9.0000000000000011E-3</v>
      </c>
      <c r="AD52" s="12">
        <v>46</v>
      </c>
      <c r="AE52" s="12">
        <f t="shared" si="44"/>
        <v>91</v>
      </c>
      <c r="AF52" s="260">
        <f>AF51*(1-VLOOKUP(AE52,boc_trpr_bc,11,TRUE)*boc_rr_bc_mast-VLOOKUP(AE52,boc_trpr_oc,11,TRUE)*boc_rr_oc_mast-VLOOKUP(AE52,mortt,2,FALSE))+SUM(AI51,AK51,AM51)*boc_tr_mast_path+SUM(AJ51,AL51,AN51)*boc_tr_mast_vus</f>
        <v>4.9819650297729771E-3</v>
      </c>
      <c r="AG52" s="260">
        <f>AG51*(1-VLOOKUP(AE52,boc_trpr_bc,11,TRUE)*boc_rr_bc_ooph-VLOOKUP(AE52,boc_trpr_oc,11,TRUE)*boc_rr_oc_ooph-VLOOKUP(AE52,mortt,2,FALSE))+SUM(AI51,AK51,AM51)*boc_tr_ooph_path+SUM(AJ51,AL51,AN51)*boc_tr_ooph_vus</f>
        <v>4.6345993508191347E-3</v>
      </c>
      <c r="AH52" s="260">
        <f>AH51*(1-VLOOKUP(AE52,boc_trpr_bc,11,TRUE)*boc_rr_bc_both-VLOOKUP(AE52,boc_trpr_oc,11,TRUE)*boc_rr_oc_both-VLOOKUP(AE52,mortt,2,FALSE))+SUM(AI51,AK51,AM51)*boc_tr_both_path+SUM(AJ51,AL51,AN51)*boc_tr_both_vus</f>
        <v>4.9555835783452939E-3</v>
      </c>
      <c r="AI52" s="289">
        <f>AI51*(1-VLOOKUP(AE52,boc_trpr_bc,11,TRUE)*boc_rr_bc_hip-VLOOKUP(AE52,boc_trpr_oc,11,TRUE)*boc_rr_oc_hip-boc_tr_mast_path-boc_tr_ooph_path-boc_tr_both_path-VLOOKUP(AE52,mortt,2,FALSE))</f>
        <v>1.7358358454859278E-40</v>
      </c>
      <c r="AJ52" s="289">
        <f>AJ51*(1-VLOOKUP(AE52,boc_trpr_bc,11,TRUE)*boc_rr_bc_hiv-VLOOKUP(AE52,boc_trpr_oc,11,TRUE)*boc_rr_oc_hiv-boc_tr_mast_vus-boc_tr_ooph_vus-boc_tr_both_vus-VLOOKUP(AE52,mortt,2,FALSE))</f>
        <v>7.9562194835934044E-7</v>
      </c>
      <c r="AK52" s="289">
        <f>AK51*(1-VLOOKUP(AE52,boc_trpr_bc,11,TRUE)*boc_rr_bc_modp-VLOOKUP(AE52,boc_trpr_oc,11,TRUE)*boc_rr_oc_modp-boc_tr_mast_path-boc_tr_ooph_path-boc_tr_both_path-VLOOKUP(AE52,mortt,2,FALSE))</f>
        <v>1.2255323412273265E-35</v>
      </c>
      <c r="AL52" s="289">
        <f>AL51*(1-VLOOKUP(AE52,boc_trpr_bc,11,TRUE)*boc_rr_bc_modv-VLOOKUP(AE52,boc_trpr_oc,11,TRUE)*boc_rr_oc_modv-boc_tr_mast_vus-boc_tr_ooph_vus-boc_tr_both_vus-VLOOKUP(AE52,mortt,2,FALSE))</f>
        <v>1.0116155365581742E-6</v>
      </c>
      <c r="AM52" s="289">
        <f>AM51*(1-VLOOKUP(AE52,boc_trpr_bc,11,TRUE)*boc_rr_bc_lop-VLOOKUP(AE52,boc_trpr_oc,11,TRUE)*boc_rr_oc_lop-boc_tr_mast_path-boc_tr_ooph_path-boc_tr_both_path-VLOOKUP(AE52,mortt,2,FALSE))</f>
        <v>6.1074849985936522E-35</v>
      </c>
      <c r="AN52" s="289">
        <f>AN51*(1-VLOOKUP(AE52,boc_trpr_bc,11,TRUE)*boc_rr_bc_lov-VLOOKUP(AE52,boc_trpr_oc,11,TRUE)*boc_rr_oc_lov-boc_tr_mast_vus-boc_tr_ooph_vus-boc_tr_both_vus-VLOOKUP(AE52,mortt,2,FALSE))</f>
        <v>2.2146178071600875E-7</v>
      </c>
      <c r="AO52" s="260">
        <f>AO51*(1-VLOOKUP(AE52,boc_trpr_bc,11,TRUE)*boc_rr_bc_np-VLOOKUP(AE52,boc_trpr_oc,11,TRUE)*boc_rr_oc_np-VLOOKUP(AE52,mortt,2,FALSE))</f>
        <v>0.18320180253546994</v>
      </c>
      <c r="AP52" s="260">
        <f>AF51*VLOOKUP(AE52,boc_trpr_bc,11,TRUE)*boc_rr_bc_mast+AG51*VLOOKUP(AE52,boc_trpr_bc,11,TRUE)*boc_rr_bc_ooph+AH51*VLOOKUP(AE52,boc_trpr_bc,11,TRUE)*boc_rr_bc_both+AI51*VLOOKUP(AE52,boc_trpr_bc,11,TRUE)*boc_rr_bc_hip+AJ51*VLOOKUP(AE52,boc_trpr_bc,11,TRUE)*boc_rr_bc_hiv+AK51*VLOOKUP(AE52,boc_trpr_bc,11,TRUE)*boc_rr_bc_modp+AL51*VLOOKUP(AE52,boc_trpr_bc,11,TRUE)*boc_rr_bc_modv+AM51*VLOOKUP(AE52,boc_trpr_bc,11,TRUE)*boc_rr_bc_lop+AN51*VLOOKUP(AE52,boc_trpr_bc,11,TRUE)*boc_rr_bc_lov+AO51*VLOOKUP(AE52,boc_trpr_bc,11,TRUE)*boc_rr_bc_np</f>
        <v>8.9995508476701754E-4</v>
      </c>
      <c r="AQ52" s="260">
        <f>AF51*VLOOKUP(AE52,boc_trpr_oc,11,TRUE)*boc_rr_oc_mast+AG51*VLOOKUP(AE52,boc_trpr_oc,11,TRUE)*boc_rr_oc_ooph+AH51*VLOOKUP(AE52,boc_trpr_oc,11,TRUE)*boc_rr_oc_both+AI51*VLOOKUP(AE52,boc_trpr_oc,11,TRUE)*boc_rr_oc_hip+AJ51*VLOOKUP(AE52,boc_trpr_oc,11,TRUE)*boc_rr_oc_hiv+AK51*VLOOKUP(AE52,boc_trpr_oc,11,TRUE)*boc_rr_oc_modp+AL51*VLOOKUP(AE52,boc_trpr_oc,11,TRUE)*boc_rr_oc_modv+AM51*VLOOKUP(AE52,boc_trpr_oc,11,TRUE)*boc_rr_oc_lop+AN51*VLOOKUP(AE52,boc_trpr_oc,11,TRUE)*boc_rr_oc_lov+AO51*VLOOKUP(AE52,boc_trpr_oc,11,TRUE)*boc_rr_oc_np</f>
        <v>1.044954590254695E-4</v>
      </c>
      <c r="AR52" s="260">
        <f>AP51*(1-VLOOKUP(AE52,boc_trpr_bc_death,20,TRUE))+AQ51*(1-VLOOKUP(AE52,boc_trpr_oc_death,20,TRUE))+AR51*(1-VLOOKUP(AE52,mortt,2,FALSE)*boc_rr_death_pc)</f>
        <v>2.1169675312466735E-2</v>
      </c>
      <c r="AS52" s="260">
        <f>AS51+SUM(AF51:AO51)*VLOOKUP(AE52,mortt,2,FALSE)+AP51*VLOOKUP(AE52,boc_trpr_bc_death,20,TRUE)+AQ51*VLOOKUP(AE52,boc_trpr_bc_death,20,TRUE)+AR51*VLOOKUP(AE52,mortt,2,FALSE)*boc_rr_death_pc</f>
        <v>0.78005361458003264</v>
      </c>
      <c r="AT52" s="260">
        <f t="shared" si="52"/>
        <v>1.0000037196299649</v>
      </c>
      <c r="AU52" s="118">
        <f>(boc_cost_mast*SUM(AI52,AK52,AM52)*(boc_tr_mast_path+boc_tr_both_path)+SUM(AJ52,AL52,AN52)*(boc_tr_mast_vus+boc_tr_both_vus)+AP52*boc_cost_bc+AQ52*boc_cost_oc+AR52*boc_cost_pc+(AP52*VLOOKUP(AE52,boc_trpr_bc_death,20,TRUE)+AQ52*VLOOKUP(AE52,boc_trpr_oc_death,TRUE)*boc_cost_death))/((1+discount)^AD52)</f>
        <v>210.40860729707074</v>
      </c>
      <c r="AV52" s="35">
        <f t="shared" si="45"/>
        <v>5.3063574999378374E-2</v>
      </c>
      <c r="AW52" s="35">
        <f t="shared" si="46"/>
        <v>5.6468271322759195E-2</v>
      </c>
      <c r="AY52" s="12">
        <v>46</v>
      </c>
      <c r="AZ52" s="12">
        <f t="shared" si="47"/>
        <v>91</v>
      </c>
      <c r="BA52" s="260">
        <f>BA51*(1-VLOOKUP(AZ52,boc_trpr_bc,11,TRUE)*boc_rr_bc_mast-VLOOKUP(AZ52,boc_trpr_oc,11,TRUE)*boc_rr_oc_mast-VLOOKUP(AZ52,mortt,2,FALSE))</f>
        <v>2.2641626602803492E-3</v>
      </c>
      <c r="BB52" s="260">
        <f>BB51*(1-VLOOKUP(AZ52,boc_trpr_bc,11,TRUE)*boc_rr_bc_ooph-VLOOKUP(AZ52,boc_trpr_oc,11,TRUE)*boc_rr_oc_ooph-VLOOKUP(AZ52,mortt,2,FALSE))</f>
        <v>2.1476689372887611E-3</v>
      </c>
      <c r="BC52" s="260">
        <f>BC51*(1-VLOOKUP(AZ52,boc_trpr_bc,11,TRUE)*boc_rr_bc_both-VLOOKUP(AZ52,boc_trpr_oc,11,TRUE)*boc_rr_oc_both-VLOOKUP(AZ52,mortt,2,FALSE))</f>
        <v>2.3116004101479365E-3</v>
      </c>
      <c r="BD52" s="289">
        <f>BD51*(1-VLOOKUP(AZ52,boc_trpr_bc,11,TRUE)*boc_rr_bc_hip-VLOOKUP(AZ52,boc_trpr_oc,11,TRUE)*boc_rr_oc_hip-VLOOKUP(AZ52,mortt,2,FALSE))</f>
        <v>5.5578215365393219E-5</v>
      </c>
      <c r="BE52" s="289">
        <f>BE51*(1-VLOOKUP(AZ52,boc_trpr_bc,11,TRUE)*boc_rr_bc_hiv-VLOOKUP(AZ52,boc_trpr_oc,11,TRUE)*boc_rr_oc_hiv-VLOOKUP(AZ52,mortt,2,FALSE))</f>
        <v>1.9869057571844013E-3</v>
      </c>
      <c r="BF52" s="289">
        <f>BF51*(1-VLOOKUP(AZ52,boc_trpr_bc,11,TRUE)*boc_rr_bc_modp-VLOOKUP(AZ52,boc_trpr_oc,11,TRUE)*boc_rr_oc_modp-VLOOKUP(AZ52,mortt,2,FALSE))</f>
        <v>4.3945215534771099E-4</v>
      </c>
      <c r="BG52" s="289">
        <f>BG51*(1-VLOOKUP(AZ52,boc_trpr_bc,11,TRUE)*boc_rr_bc_modv-VLOOKUP(AZ52,boc_trpr_oc,11,TRUE)*boc_rr_oc_modv-VLOOKUP(AZ52,mortt,2,FALSE))</f>
        <v>2.5263062913101265E-3</v>
      </c>
      <c r="BH52" s="289">
        <f>BH51*(1-VLOOKUP(AZ52,boc_trpr_bc,11,TRUE)*boc_rr_bc_lop-VLOOKUP(AZ52,boc_trpr_oc,11,TRUE)*boc_rr_oc_lop-VLOOKUP(AZ52,mortt,2,FALSE))</f>
        <v>1.7897132381282287E-4</v>
      </c>
      <c r="BI52" s="289">
        <f>BI51*(1-VLOOKUP(AZ52,boc_trpr_bc,11,TRUE)*boc_rr_bc_lov-VLOOKUP(AZ52,boc_trpr_oc,11,TRUE)*boc_rr_oc_lov-VLOOKUP(AZ52,mortt,2,FALSE))</f>
        <v>5.530562448765071E-4</v>
      </c>
      <c r="BJ52" s="260">
        <f>BJ51*(1-VLOOKUP(AZ52,boc_trpr_bc,11,TRUE)*boc_rr_bc_np-VLOOKUP(AZ52,boc_trpr_oc,11,TRUE)*boc_rr_oc_np-VLOOKUP(AZ52,mortt,2,FALSE))</f>
        <v>0.18320180253546994</v>
      </c>
      <c r="BK52" s="260">
        <f>BA51*VLOOKUP(AZ52,boc_trpr_bc,11,TRUE)*boc_rr_bc_mast+BB51*VLOOKUP(AZ52,boc_trpr_bc,11,TRUE)*boc_rr_bc_ooph+BC51*VLOOKUP(AZ52,boc_trpr_bc,11,TRUE)*boc_rr_bc_both+BD51*VLOOKUP(AZ52,boc_trpr_bc,11,TRUE)*boc_rr_bc_hip+BE51*VLOOKUP(AZ52,boc_trpr_bc,11,TRUE)*boc_rr_bc_hiv+BF51*VLOOKUP(AZ52,boc_trpr_bc,11,TRUE)*boc_rr_bc_modp+BG51*VLOOKUP(AZ52,boc_trpr_bc,11,TRUE)*boc_rr_bc_modv+BH51*VLOOKUP(AZ52,boc_trpr_bc,11,TRUE)*boc_rr_bc_lop+BI51*VLOOKUP(AZ52,boc_trpr_bc,11,TRUE)*boc_rr_bc_lov+BJ51*VLOOKUP(AZ52,boc_trpr_bc,11,TRUE)*boc_rr_bc_np</f>
        <v>9.3532825386544584E-4</v>
      </c>
      <c r="BL52" s="260">
        <f>BA51*VLOOKUP(AZ52,boc_trpr_oc,11,TRUE)*boc_rr_oc_mast+BB51*VLOOKUP(AZ52,boc_trpr_oc,11,TRUE)*boc_rr_oc_ooph+BC51*VLOOKUP(AZ52,boc_trpr_oc,11,TRUE)*boc_rr_oc_both+BD51*VLOOKUP(AZ52,boc_trpr_oc,11,TRUE)*boc_rr_oc_hip+BE51*VLOOKUP(AZ52,boc_trpr_oc,11,TRUE)*boc_rr_oc_hiv+BF51*VLOOKUP(AZ52,boc_trpr_oc,11,TRUE)*boc_rr_oc_modp+BG51*VLOOKUP(AZ52,boc_trpr_oc,11,TRUE)*boc_rr_oc_modv+BH51*VLOOKUP(AZ52,boc_trpr_oc,11,TRUE)*boc_rr_oc_lop+BI51*VLOOKUP(AZ52,boc_trpr_oc,11,TRUE)*boc_rr_oc_lov+BJ51*VLOOKUP(AZ52,boc_trpr_oc,11,TRUE)*boc_rr_oc_np</f>
        <v>1.0750650419594503E-4</v>
      </c>
      <c r="BM52" s="260">
        <f>BK51*(1-VLOOKUP(AZ52,boc_trpr_bc_death,20,TRUE))+BL51*(1-VLOOKUP(AZ52,boc_trpr_oc_death,20,TRUE))+BM51*(1-VLOOKUP(AZ52,mortt,2,FALSE)*boc_rr_death_pc)</f>
        <v>2.2361048025954636E-2</v>
      </c>
      <c r="BN52" s="260">
        <f>BN51+SUM(BA51:BJ51)*VLOOKUP(AZ52,mortt,2,FALSE)+BK51*VLOOKUP(AZ52,boc_trpr_bc_death,20,TRUE)+BL51*VLOOKUP(AZ52,boc_trpr_bc_death,20,TRUE)+BM51*VLOOKUP(AZ52,mortt,2,FALSE)*boc_rr_death_pc</f>
        <v>0.78093451219000454</v>
      </c>
      <c r="BO52" s="260">
        <f t="shared" si="41"/>
        <v>1.0000038995051046</v>
      </c>
      <c r="BP52" s="118">
        <f>(boc_cost_mast*SUM(BD52,BF52,BH52)*(boc_tr_mast_path+boc_tr_both_path)+SUM(BE52,BG52,BI52)*(boc_tr_mast_vus+boc_tr_both_vus)+BK52*boc_cost_bc+BL52*boc_cost_oc+BM52*boc_cost_pc+(BK52*VLOOKUP(AZ52,boc_trpr_bc_death,20,TRUE)+BL52*VLOOKUP(AZ52,boc_trpr_oc_death,TRUE)*boc_cost_death))/((1+discount)^AY52)</f>
        <v>218.90035150254283</v>
      </c>
      <c r="BQ52" s="35">
        <f t="shared" si="48"/>
        <v>5.2795049327199452E-2</v>
      </c>
      <c r="BR52" s="35">
        <f t="shared" si="49"/>
        <v>5.6242112728916042E-2</v>
      </c>
      <c r="BS52" s="35"/>
      <c r="BU52" s="33">
        <v>9</v>
      </c>
      <c r="BV52" t="str">
        <f>$M$88</f>
        <v>boc_rr_bc_mast</v>
      </c>
      <c r="BW52" s="35">
        <f>$F$88</f>
        <v>8.0000000000000016E-2</v>
      </c>
      <c r="BX52" s="35">
        <f>$G$88</f>
        <v>0.12</v>
      </c>
      <c r="BY52" s="311">
        <v>-7.5152761941876634</v>
      </c>
      <c r="BZ52" s="311">
        <v>-7.5911195201992996</v>
      </c>
      <c r="CA52" s="311">
        <f t="shared" si="25"/>
        <v>7.5843326011636236E-2</v>
      </c>
      <c r="CD52" s="138">
        <v>47</v>
      </c>
      <c r="CE52" s="291">
        <v>2.3960000000000001E-3</v>
      </c>
    </row>
    <row r="53" spans="2:83" ht="15" customHeight="1" x14ac:dyDescent="0.2">
      <c r="B53" s="37" t="s">
        <v>12</v>
      </c>
      <c r="C53" s="35">
        <f>IF(psa,J53,IF(owsa_low=L53,F53,IF(owsa_high=L53,G53,IF(ISNUMBER(D53),D53,E53))))</f>
        <v>0.27116022099999998</v>
      </c>
      <c r="D53" s="158"/>
      <c r="E53" s="35">
        <v>0.27116022099999998</v>
      </c>
      <c r="F53" s="35">
        <f>IF(ISNUMBER(D53),D53,E53)*(1-owsa_boc)</f>
        <v>0.21692817679999998</v>
      </c>
      <c r="G53" s="35">
        <f>MIN(1,IF(ISNUMBER(D53),D53,E53)*(1+owsa_boc))</f>
        <v>0.32539226519999997</v>
      </c>
      <c r="H53" s="48">
        <f t="shared" si="55"/>
        <v>69.724039726807646</v>
      </c>
      <c r="I53" s="48">
        <f t="shared" si="56"/>
        <v>187.40821761416737</v>
      </c>
      <c r="J53" s="35">
        <f ca="1">_xlfn.BETA.INV(RAND(),H53,I53)</f>
        <v>0.31263633688871795</v>
      </c>
      <c r="K53" s="12" t="s">
        <v>71</v>
      </c>
      <c r="L53" s="40">
        <v>8</v>
      </c>
      <c r="M53" s="247" t="s">
        <v>169</v>
      </c>
      <c r="N53" s="247" t="s">
        <v>298</v>
      </c>
      <c r="U53" s="9" t="s">
        <v>6</v>
      </c>
      <c r="V53" s="250">
        <f>boc_unk_int_both*boc_test_int_np_both</f>
        <v>0.01</v>
      </c>
      <c r="Z53" s="261">
        <f>T52*V53</f>
        <v>9.0000000000000011E-3</v>
      </c>
      <c r="AD53" s="12">
        <v>47</v>
      </c>
      <c r="AE53" s="12">
        <f t="shared" si="44"/>
        <v>92</v>
      </c>
      <c r="AF53" s="260">
        <f>AF52*(1-VLOOKUP(AE53,boc_trpr_bc,11,TRUE)*boc_rr_bc_mast-VLOOKUP(AE53,boc_trpr_oc,11,TRUE)*boc_rr_oc_mast-VLOOKUP(AE53,mortt,2,FALSE))+SUM(AI52,AK52,AM52)*boc_tr_mast_path+SUM(AJ52,AL52,AN52)*boc_tr_mast_vus</f>
        <v>4.1912694989813459E-3</v>
      </c>
      <c r="AG53" s="260">
        <f>AG52*(1-VLOOKUP(AE53,boc_trpr_bc,11,TRUE)*boc_rr_bc_ooph-VLOOKUP(AE53,boc_trpr_oc,11,TRUE)*boc_rr_oc_ooph-VLOOKUP(AE53,mortt,2,FALSE))+SUM(AI52,AK52,AM52)*boc_tr_ooph_path+SUM(AJ52,AL52,AN52)*boc_tr_ooph_vus</f>
        <v>3.8930414660781E-3</v>
      </c>
      <c r="AH53" s="260">
        <f>AH52*(1-VLOOKUP(AE53,boc_trpr_bc,11,TRUE)*boc_rr_bc_both-VLOOKUP(AE53,boc_trpr_oc,11,TRUE)*boc_rr_oc_both-VLOOKUP(AE53,mortt,2,FALSE))+SUM(AI52,AK52,AM52)*boc_tr_both_path+SUM(AJ52,AL52,AN52)*boc_tr_both_vus</f>
        <v>4.1720526021583951E-3</v>
      </c>
      <c r="AI53" s="289">
        <f>AI52*(1-VLOOKUP(AE53,boc_trpr_bc,11,TRUE)*boc_rr_bc_hip-VLOOKUP(AE53,boc_trpr_oc,11,TRUE)*boc_rr_oc_hip-boc_tr_mast_path-boc_tr_ooph_path-boc_tr_both_path-VLOOKUP(AE53,mortt,2,FALSE))</f>
        <v>4.0435159907159864E-42</v>
      </c>
      <c r="AJ53" s="289">
        <f>AJ52*(1-VLOOKUP(AE53,boc_trpr_bc,11,TRUE)*boc_rr_bc_hiv-VLOOKUP(AE53,boc_trpr_oc,11,TRUE)*boc_rr_oc_hiv-boc_tr_mast_vus-boc_tr_ooph_vus-boc_tr_both_vus-VLOOKUP(AE53,mortt,2,FALSE))</f>
        <v>5.4667230642410369E-7</v>
      </c>
      <c r="AK53" s="289">
        <f>AK52*(1-VLOOKUP(AE53,boc_trpr_bc,11,TRUE)*boc_rr_bc_modp-VLOOKUP(AE53,boc_trpr_oc,11,TRUE)*boc_rr_oc_modp-boc_tr_mast_path-boc_tr_ooph_path-boc_tr_both_path-VLOOKUP(AE53,mortt,2,FALSE))</f>
        <v>8.4804528086634787E-37</v>
      </c>
      <c r="AL53" s="289">
        <f>AL52*(1-VLOOKUP(AE53,boc_trpr_bc,11,TRUE)*boc_rr_bc_modv-VLOOKUP(AE53,boc_trpr_oc,11,TRUE)*boc_rr_oc_modv-boc_tr_mast_vus-boc_tr_ooph_vus-boc_tr_both_vus-VLOOKUP(AE53,mortt,2,FALSE))</f>
        <v>6.9508162730440826E-7</v>
      </c>
      <c r="AM53" s="289">
        <f>AM52*(1-VLOOKUP(AE53,boc_trpr_bc,11,TRUE)*boc_rr_bc_lop-VLOOKUP(AE53,boc_trpr_oc,11,TRUE)*boc_rr_oc_lop-boc_tr_mast_path-boc_tr_ooph_path-boc_tr_both_path-VLOOKUP(AE53,mortt,2,FALSE))</f>
        <v>5.2075125492457379E-36</v>
      </c>
      <c r="AN53" s="289">
        <f>AN52*(1-VLOOKUP(AE53,boc_trpr_bc,11,TRUE)*boc_rr_bc_lov-VLOOKUP(AE53,boc_trpr_oc,11,TRUE)*boc_rr_oc_lov-boc_tr_mast_vus-boc_tr_ooph_vus-boc_tr_both_vus-VLOOKUP(AE53,mortt,2,FALSE))</f>
        <v>1.5216651915958709E-7</v>
      </c>
      <c r="AO53" s="260">
        <f>AO52*(1-VLOOKUP(AE53,boc_trpr_bc,11,TRUE)*boc_rr_bc_np-VLOOKUP(AE53,boc_trpr_oc,11,TRUE)*boc_rr_oc_np-VLOOKUP(AE53,mortt,2,FALSE))</f>
        <v>0.15344243267057292</v>
      </c>
      <c r="AP53" s="260">
        <f>AF52*VLOOKUP(AE53,boc_trpr_bc,11,TRUE)*boc_rr_bc_mast+AG52*VLOOKUP(AE53,boc_trpr_bc,11,TRUE)*boc_rr_bc_ooph+AH52*VLOOKUP(AE53,boc_trpr_bc,11,TRUE)*boc_rr_bc_both+AI52*VLOOKUP(AE53,boc_trpr_bc,11,TRUE)*boc_rr_bc_hip+AJ52*VLOOKUP(AE53,boc_trpr_bc,11,TRUE)*boc_rr_bc_hiv+AK52*VLOOKUP(AE53,boc_trpr_bc,11,TRUE)*boc_rr_bc_modp+AL52*VLOOKUP(AE53,boc_trpr_bc,11,TRUE)*boc_rr_bc_modv+AM52*VLOOKUP(AE53,boc_trpr_bc,11,TRUE)*boc_rr_bc_lop+AN52*VLOOKUP(AE53,boc_trpr_bc,11,TRUE)*boc_rr_bc_lov+AO52*VLOOKUP(AE53,boc_trpr_bc,11,TRUE)*boc_rr_bc_np</f>
        <v>7.6770306969739521E-4</v>
      </c>
      <c r="AQ53" s="260">
        <f>AF52*VLOOKUP(AE53,boc_trpr_oc,11,TRUE)*boc_rr_oc_mast+AG52*VLOOKUP(AE53,boc_trpr_oc,11,TRUE)*boc_rr_oc_ooph+AH52*VLOOKUP(AE53,boc_trpr_oc,11,TRUE)*boc_rr_oc_both+AI52*VLOOKUP(AE53,boc_trpr_oc,11,TRUE)*boc_rr_oc_hip+AJ52*VLOOKUP(AE53,boc_trpr_oc,11,TRUE)*boc_rr_oc_hiv+AK52*VLOOKUP(AE53,boc_trpr_oc,11,TRUE)*boc_rr_oc_modp+AL52*VLOOKUP(AE53,boc_trpr_oc,11,TRUE)*boc_rr_oc_modv+AM52*VLOOKUP(AE53,boc_trpr_oc,11,TRUE)*boc_rr_oc_lop+AN52*VLOOKUP(AE53,boc_trpr_oc,11,TRUE)*boc_rr_oc_lov+AO52*VLOOKUP(AE53,boc_trpr_oc,11,TRUE)*boc_rr_oc_np</f>
        <v>8.9147650010638283E-5</v>
      </c>
      <c r="AR53" s="260">
        <f>AP52*(1-VLOOKUP(AE53,boc_trpr_bc_death,20,TRUE))+AQ52*(1-VLOOKUP(AE53,boc_trpr_oc_death,20,TRUE))+AR52*(1-VLOOKUP(AE53,mortt,2,FALSE)*boc_rr_death_pc)</f>
        <v>1.7160541504468062E-2</v>
      </c>
      <c r="AS53" s="260">
        <f>AS52+SUM(AF52:AO52)*VLOOKUP(AE53,mortt,2,FALSE)+AP52*VLOOKUP(AE53,boc_trpr_bc_death,20,TRUE)+AQ52*VLOOKUP(AE53,boc_trpr_bc_death,20,TRUE)+AR52*VLOOKUP(AE53,mortt,2,FALSE)*boc_rr_death_pc</f>
        <v>0.81628620939209051</v>
      </c>
      <c r="AT53" s="260">
        <f t="shared" si="52"/>
        <v>1.0000037917745102</v>
      </c>
      <c r="AU53" s="118">
        <f>(boc_cost_mast*SUM(AI53,AK53,AM53)*(boc_tr_mast_path+boc_tr_both_path)+SUM(AJ53,AL53,AN53)*(boc_tr_mast_vus+boc_tr_both_vus)+AP53*boc_cost_bc+AQ53*boc_cost_oc+AR53*boc_cost_pc+(AP53*VLOOKUP(AE53,boc_trpr_bc_death,20,TRUE)+AQ53*VLOOKUP(AE53,boc_trpr_oc_death,TRUE)*boc_cost_death))/((1+discount)^AD53)</f>
        <v>172.53957296943457</v>
      </c>
      <c r="AV53" s="35">
        <f t="shared" si="45"/>
        <v>4.3043775159346799E-2</v>
      </c>
      <c r="AW53" s="35">
        <f t="shared" si="46"/>
        <v>4.5792272556247578E-2</v>
      </c>
      <c r="AY53" s="12">
        <v>47</v>
      </c>
      <c r="AZ53" s="12">
        <f t="shared" si="47"/>
        <v>92</v>
      </c>
      <c r="BA53" s="260">
        <f>BA52*(1-VLOOKUP(AZ53,boc_trpr_bc,11,TRUE)*boc_rr_bc_mast-VLOOKUP(AZ53,boc_trpr_oc,11,TRUE)*boc_rr_oc_mast-VLOOKUP(AZ53,mortt,2,FALSE))</f>
        <v>1.9047677325710994E-3</v>
      </c>
      <c r="BB53" s="260">
        <f>BB52*(1-VLOOKUP(AZ53,boc_trpr_bc,11,TRUE)*boc_rr_bc_ooph-VLOOKUP(AZ53,boc_trpr_oc,11,TRUE)*boc_rr_oc_ooph-VLOOKUP(AZ53,mortt,2,FALSE))</f>
        <v>1.8039847129559391E-3</v>
      </c>
      <c r="BC53" s="260">
        <f>BC52*(1-VLOOKUP(AZ53,boc_trpr_bc,11,TRUE)*boc_rr_bc_both-VLOOKUP(AZ53,boc_trpr_oc,11,TRUE)*boc_rr_oc_both-VLOOKUP(AZ53,mortt,2,FALSE))</f>
        <v>1.9460642478812862E-3</v>
      </c>
      <c r="BD53" s="289">
        <f>BD52*(1-VLOOKUP(AZ53,boc_trpr_bc,11,TRUE)*boc_rr_bc_hip-VLOOKUP(AZ53,boc_trpr_oc,11,TRUE)*boc_rr_oc_hip-VLOOKUP(AZ53,mortt,2,FALSE))</f>
        <v>4.2978319674755662E-5</v>
      </c>
      <c r="BE53" s="289">
        <f>BE52*(1-VLOOKUP(AZ53,boc_trpr_bc,11,TRUE)*boc_rr_bc_hiv-VLOOKUP(AZ53,boc_trpr_oc,11,TRUE)*boc_rr_oc_hiv-VLOOKUP(AZ53,mortt,2,FALSE))</f>
        <v>1.6632399723471105E-3</v>
      </c>
      <c r="BF53" s="289">
        <f>BF52*(1-VLOOKUP(AZ53,boc_trpr_bc,11,TRUE)*boc_rr_bc_modp-VLOOKUP(AZ53,boc_trpr_oc,11,TRUE)*boc_rr_oc_modp-VLOOKUP(AZ53,mortt,2,FALSE))</f>
        <v>3.5999837736602514E-4</v>
      </c>
      <c r="BG53" s="289">
        <f>BG52*(1-VLOOKUP(AZ53,boc_trpr_bc,11,TRUE)*boc_rr_bc_modv-VLOOKUP(AZ53,boc_trpr_oc,11,TRUE)*boc_rr_oc_modv-VLOOKUP(AZ53,mortt,2,FALSE))</f>
        <v>2.1147724751944636E-3</v>
      </c>
      <c r="BH53" s="289">
        <f>BH52*(1-VLOOKUP(AZ53,boc_trpr_bc,11,TRUE)*boc_rr_bc_lop-VLOOKUP(AZ53,boc_trpr_oc,11,TRUE)*boc_rr_oc_lop-VLOOKUP(AZ53,mortt,2,FALSE))</f>
        <v>1.4948838158509097E-4</v>
      </c>
      <c r="BI53" s="289">
        <f>BI52*(1-VLOOKUP(AZ53,boc_trpr_bc,11,TRUE)*boc_rr_bc_lov-VLOOKUP(AZ53,boc_trpr_oc,11,TRUE)*boc_rr_oc_lov-VLOOKUP(AZ53,mortt,2,FALSE))</f>
        <v>4.6296370631001568E-4</v>
      </c>
      <c r="BJ53" s="260">
        <f>BJ52*(1-VLOOKUP(AZ53,boc_trpr_bc,11,TRUE)*boc_rr_bc_np-VLOOKUP(AZ53,boc_trpr_oc,11,TRUE)*boc_rr_oc_np-VLOOKUP(AZ53,mortt,2,FALSE))</f>
        <v>0.15344243267057292</v>
      </c>
      <c r="BK53" s="260">
        <f>BA52*VLOOKUP(AZ53,boc_trpr_bc,11,TRUE)*boc_rr_bc_mast+BB52*VLOOKUP(AZ53,boc_trpr_bc,11,TRUE)*boc_rr_bc_ooph+BC52*VLOOKUP(AZ53,boc_trpr_bc,11,TRUE)*boc_rr_bc_both+BD52*VLOOKUP(AZ53,boc_trpr_bc,11,TRUE)*boc_rr_bc_hip+BE52*VLOOKUP(AZ53,boc_trpr_bc,11,TRUE)*boc_rr_bc_hiv+BF52*VLOOKUP(AZ53,boc_trpr_bc,11,TRUE)*boc_rr_bc_modp+BG52*VLOOKUP(AZ53,boc_trpr_bc,11,TRUE)*boc_rr_bc_modv+BH52*VLOOKUP(AZ53,boc_trpr_bc,11,TRUE)*boc_rr_bc_lop+BI52*VLOOKUP(AZ53,boc_trpr_bc,11,TRUE)*boc_rr_bc_lov+BJ52*VLOOKUP(AZ53,boc_trpr_bc,11,TRUE)*boc_rr_bc_np</f>
        <v>7.9736126931166846E-4</v>
      </c>
      <c r="BL53" s="260">
        <f>BA52*VLOOKUP(AZ53,boc_trpr_oc,11,TRUE)*boc_rr_oc_mast+BB52*VLOOKUP(AZ53,boc_trpr_oc,11,TRUE)*boc_rr_oc_ooph+BC52*VLOOKUP(AZ53,boc_trpr_oc,11,TRUE)*boc_rr_oc_both+BD52*VLOOKUP(AZ53,boc_trpr_oc,11,TRUE)*boc_rr_oc_hip+BE52*VLOOKUP(AZ53,boc_trpr_oc,11,TRUE)*boc_rr_oc_hiv+BF52*VLOOKUP(AZ53,boc_trpr_oc,11,TRUE)*boc_rr_oc_modp+BG52*VLOOKUP(AZ53,boc_trpr_oc,11,TRUE)*boc_rr_oc_modv+BH52*VLOOKUP(AZ53,boc_trpr_oc,11,TRUE)*boc_rr_oc_lop+BI52*VLOOKUP(AZ53,boc_trpr_oc,11,TRUE)*boc_rr_oc_lov+BJ52*VLOOKUP(AZ53,boc_trpr_oc,11,TRUE)*boc_rr_oc_np</f>
        <v>9.1652775081957366E-5</v>
      </c>
      <c r="BM53" s="260">
        <f>BK52*(1-VLOOKUP(AZ53,boc_trpr_bc_death,20,TRUE))+BL52*(1-VLOOKUP(AZ53,boc_trpr_oc_death,20,TRUE))+BM52*(1-VLOOKUP(AZ53,mortt,2,FALSE)*boc_rr_death_pc)</f>
        <v>1.8108167126731901E-2</v>
      </c>
      <c r="BN53" s="260">
        <f>BN52+SUM(BA52:BJ52)*VLOOKUP(AZ53,mortt,2,FALSE)+BK52*VLOOKUP(AZ53,boc_trpr_bc_death,20,TRUE)+BL52*VLOOKUP(AZ53,boc_trpr_bc_death,20,TRUE)+BM52*VLOOKUP(AZ53,mortt,2,FALSE)*boc_rr_death_pc</f>
        <v>0.81711610196091655</v>
      </c>
      <c r="BO53" s="260">
        <f t="shared" si="41"/>
        <v>1.0000039737285009</v>
      </c>
      <c r="BP53" s="118">
        <f>(boc_cost_mast*SUM(BD53,BF53,BH53)*(boc_tr_mast_path+boc_tr_both_path)+SUM(BE53,BG53,BI53)*(boc_tr_mast_vus+boc_tr_both_vus)+BK53*boc_cost_bc+BL53*boc_cost_oc+BM53*boc_cost_pc+(BK53*VLOOKUP(AZ53,boc_trpr_bc_death,20,TRUE)+BL53*VLOOKUP(AZ53,boc_trpr_oc_death,TRUE)*boc_cost_death))/((1+discount)^AY53)</f>
        <v>179.30601685145234</v>
      </c>
      <c r="BQ53" s="35">
        <f t="shared" si="48"/>
        <v>4.2805027332071692E-2</v>
      </c>
      <c r="BR53" s="35">
        <f t="shared" si="49"/>
        <v>4.5585414559478059E-2</v>
      </c>
      <c r="BS53" s="35"/>
      <c r="BU53" s="33">
        <v>49</v>
      </c>
      <c r="BV53" t="str">
        <f>$M$89</f>
        <v>boc_rr_bc_ooph</v>
      </c>
      <c r="BW53" s="35">
        <f>$F$89</f>
        <v>0.40800000000000003</v>
      </c>
      <c r="BX53" s="35">
        <f>$G$89</f>
        <v>0.61199999999999999</v>
      </c>
      <c r="BY53" s="311">
        <v>-7.5875913552831662</v>
      </c>
      <c r="BZ53" s="311">
        <v>-7.5188043591001588</v>
      </c>
      <c r="CA53" s="311">
        <f t="shared" si="25"/>
        <v>6.8786996183007432E-2</v>
      </c>
      <c r="CD53" s="138">
        <v>48</v>
      </c>
      <c r="CE53" s="291">
        <v>2.653E-3</v>
      </c>
    </row>
    <row r="54" spans="2:83" ht="15" customHeight="1" x14ac:dyDescent="0.2">
      <c r="B54" s="37" t="s">
        <v>13</v>
      </c>
      <c r="C54" s="35">
        <f>1-SUM(C52:C53)</f>
        <v>0.63469613300000005</v>
      </c>
      <c r="M54" s="247" t="s">
        <v>170</v>
      </c>
      <c r="N54" s="40" t="s">
        <v>49</v>
      </c>
      <c r="U54" s="9" t="s">
        <v>9</v>
      </c>
      <c r="V54" s="250">
        <f>1-SUM(V51,V52,V53)</f>
        <v>0.97</v>
      </c>
      <c r="AA54" s="261">
        <f>T52*V54</f>
        <v>0.873</v>
      </c>
      <c r="AD54" s="12">
        <v>48</v>
      </c>
      <c r="AE54" s="12">
        <f t="shared" si="44"/>
        <v>93</v>
      </c>
      <c r="AF54" s="260">
        <f>AF53*(1-VLOOKUP(AE54,boc_trpr_bc,11,TRUE)*boc_rr_bc_mast-VLOOKUP(AE54,boc_trpr_oc,11,TRUE)*boc_rr_oc_mast-VLOOKUP(AE54,mortt,2,FALSE))+SUM(AI53,AK53,AM53)*boc_tr_mast_path+SUM(AJ53,AL53,AN53)*boc_tr_mast_vus</f>
        <v>3.4566434405593999E-3</v>
      </c>
      <c r="AG54" s="260">
        <f>AG53*(1-VLOOKUP(AE54,boc_trpr_bc,11,TRUE)*boc_rr_bc_ooph-VLOOKUP(AE54,boc_trpr_oc,11,TRUE)*boc_rr_oc_ooph-VLOOKUP(AE54,mortt,2,FALSE))+SUM(AI53,AK53,AM53)*boc_tr_ooph_path+SUM(AJ53,AL53,AN53)*boc_tr_ooph_vus</f>
        <v>3.2056520856340374E-3</v>
      </c>
      <c r="AH54" s="260">
        <f>AH53*(1-VLOOKUP(AE54,boc_trpr_bc,11,TRUE)*boc_rr_bc_both-VLOOKUP(AE54,boc_trpr_oc,11,TRUE)*boc_rr_oc_both-VLOOKUP(AE54,mortt,2,FALSE))+SUM(AI53,AK53,AM53)*boc_tr_both_path+SUM(AJ53,AL53,AN53)*boc_tr_both_vus</f>
        <v>3.4433013946909706E-3</v>
      </c>
      <c r="AI54" s="289">
        <f>AI53*(1-VLOOKUP(AE54,boc_trpr_bc,11,TRUE)*boc_rr_bc_hip-VLOOKUP(AE54,boc_trpr_oc,11,TRUE)*boc_rr_oc_hip-boc_tr_mast_path-boc_tr_ooph_path-boc_tr_both_path-VLOOKUP(AE54,mortt,2,FALSE))</f>
        <v>2.7230433695584873E-44</v>
      </c>
      <c r="AJ54" s="289">
        <f>AJ53*(1-VLOOKUP(AE54,boc_trpr_bc,11,TRUE)*boc_rr_bc_hiv-VLOOKUP(AE54,boc_trpr_oc,11,TRUE)*boc_rr_oc_hiv-boc_tr_mast_vus-boc_tr_ooph_vus-boc_tr_both_vus-VLOOKUP(AE54,mortt,2,FALSE))</f>
        <v>3.6656596833675904E-7</v>
      </c>
      <c r="AK54" s="289">
        <f>AK53*(1-VLOOKUP(AE54,boc_trpr_bc,11,TRUE)*boc_rr_bc_modp-VLOOKUP(AE54,boc_trpr_oc,11,TRUE)*boc_rr_oc_modp-boc_tr_mast_path-boc_tr_ooph_path-boc_tr_both_path-VLOOKUP(AE54,mortt,2,FALSE))</f>
        <v>4.4639505159345859E-38</v>
      </c>
      <c r="AL54" s="289">
        <f>AL53*(1-VLOOKUP(AE54,boc_trpr_bc,11,TRUE)*boc_rr_bc_modv-VLOOKUP(AE54,boc_trpr_oc,11,TRUE)*boc_rr_oc_modv-boc_tr_mast_vus-boc_tr_ooph_vus-boc_tr_both_vus-VLOOKUP(AE54,mortt,2,FALSE))</f>
        <v>4.6608044122919998E-7</v>
      </c>
      <c r="AM54" s="289">
        <f>AM53*(1-VLOOKUP(AE54,boc_trpr_bc,11,TRUE)*boc_rr_bc_lop-VLOOKUP(AE54,boc_trpr_oc,11,TRUE)*boc_rr_oc_lop-boc_tr_mast_path-boc_tr_ooph_path-boc_tr_both_path-VLOOKUP(AE54,mortt,2,FALSE))</f>
        <v>3.577792051052958E-37</v>
      </c>
      <c r="AN54" s="289">
        <f>AN53*(1-VLOOKUP(AE54,boc_trpr_bc,11,TRUE)*boc_rr_bc_lov-VLOOKUP(AE54,boc_trpr_oc,11,TRUE)*boc_rr_oc_lov-boc_tr_mast_vus-boc_tr_ooph_vus-boc_tr_both_vus-VLOOKUP(AE54,mortt,2,FALSE))</f>
        <v>1.0203382682585555E-7</v>
      </c>
      <c r="AO54" s="260">
        <f>AO53*(1-VLOOKUP(AE54,boc_trpr_bc,11,TRUE)*boc_rr_bc_np-VLOOKUP(AE54,boc_trpr_oc,11,TRUE)*boc_rr_oc_np-VLOOKUP(AE54,mortt,2,FALSE))</f>
        <v>0.12597617937980571</v>
      </c>
      <c r="AP54" s="260">
        <f>AF53*VLOOKUP(AE54,boc_trpr_bc,11,TRUE)*boc_rr_bc_mast+AG53*VLOOKUP(AE54,boc_trpr_bc,11,TRUE)*boc_rr_bc_ooph+AH53*VLOOKUP(AE54,boc_trpr_bc,11,TRUE)*boc_rr_bc_both+AI53*VLOOKUP(AE54,boc_trpr_bc,11,TRUE)*boc_rr_bc_hip+AJ53*VLOOKUP(AE54,boc_trpr_bc,11,TRUE)*boc_rr_bc_hiv+AK53*VLOOKUP(AE54,boc_trpr_bc,11,TRUE)*boc_rr_bc_modp+AL53*VLOOKUP(AE54,boc_trpr_bc,11,TRUE)*boc_rr_bc_modv+AM53*VLOOKUP(AE54,boc_trpr_bc,11,TRUE)*boc_rr_bc_lop+AN53*VLOOKUP(AE54,boc_trpr_bc,11,TRUE)*boc_rr_bc_lov+AO53*VLOOKUP(AE54,boc_trpr_bc,11,TRUE)*boc_rr_bc_np</f>
        <v>6.4303150665578326E-4</v>
      </c>
      <c r="AQ54" s="260">
        <f>AF53*VLOOKUP(AE54,boc_trpr_oc,11,TRUE)*boc_rr_oc_mast+AG53*VLOOKUP(AE54,boc_trpr_oc,11,TRUE)*boc_rr_oc_ooph+AH53*VLOOKUP(AE54,boc_trpr_oc,11,TRUE)*boc_rr_oc_both+AI53*VLOOKUP(AE54,boc_trpr_oc,11,TRUE)*boc_rr_oc_hip+AJ53*VLOOKUP(AE54,boc_trpr_oc,11,TRUE)*boc_rr_oc_hiv+AK53*VLOOKUP(AE54,boc_trpr_oc,11,TRUE)*boc_rr_oc_modp+AL53*VLOOKUP(AE54,boc_trpr_oc,11,TRUE)*boc_rr_oc_modv+AM53*VLOOKUP(AE54,boc_trpr_oc,11,TRUE)*boc_rr_oc_lop+AN53*VLOOKUP(AE54,boc_trpr_oc,11,TRUE)*boc_rr_oc_lov+AO53*VLOOKUP(AE54,boc_trpr_oc,11,TRUE)*boc_rr_oc_np</f>
        <v>7.4677505162088487E-5</v>
      </c>
      <c r="AR54" s="260">
        <f>AP53*(1-VLOOKUP(AE54,boc_trpr_bc_death,20,TRUE))+AQ53*(1-VLOOKUP(AE54,boc_trpr_oc_death,20,TRUE))+AR53*(1-VLOOKUP(AE54,mortt,2,FALSE)*boc_rr_death_pc)</f>
        <v>1.3526969390951025E-2</v>
      </c>
      <c r="AS54" s="260">
        <f>AS53+SUM(AF53:AO53)*VLOOKUP(AE54,mortt,2,FALSE)+AP53*VLOOKUP(AE54,boc_trpr_bc_death,20,TRUE)+AQ53*VLOOKUP(AE54,boc_trpr_bc_death,20,TRUE)+AR53*VLOOKUP(AE54,mortt,2,FALSE)*boc_rr_death_pc</f>
        <v>0.84967646393910357</v>
      </c>
      <c r="AT54" s="260">
        <f t="shared" si="52"/>
        <v>1.0000038533227991</v>
      </c>
      <c r="AU54" s="118">
        <f>(boc_cost_mast*SUM(AI54,AK54,AM54)*(boc_tr_mast_path+boc_tr_both_path)+SUM(AJ54,AL54,AN54)*(boc_tr_mast_vus+boc_tr_both_vus)+AP54*boc_cost_bc+AQ54*boc_cost_oc+AR54*boc_cost_pc+(AP54*VLOOKUP(AE54,boc_trpr_bc_death,20,TRUE)+AQ54*VLOOKUP(AE54,boc_trpr_oc_death,TRUE)*boc_cost_death))/((1+discount)^AD54)</f>
        <v>138.73450714800475</v>
      </c>
      <c r="AV54" s="35">
        <f t="shared" si="45"/>
        <v>3.4206689574341365E-2</v>
      </c>
      <c r="AW54" s="35">
        <f t="shared" si="46"/>
        <v>3.6378115481143176E-2</v>
      </c>
      <c r="AY54" s="12">
        <v>48</v>
      </c>
      <c r="AZ54" s="12">
        <f t="shared" si="47"/>
        <v>93</v>
      </c>
      <c r="BA54" s="260">
        <f>BA53*(1-VLOOKUP(AZ54,boc_trpr_bc,11,TRUE)*boc_rr_bc_mast-VLOOKUP(AZ54,boc_trpr_oc,11,TRUE)*boc_rr_oc_mast-VLOOKUP(AZ54,mortt,2,FALSE))</f>
        <v>1.5708773047035632E-3</v>
      </c>
      <c r="BB54" s="260">
        <f>BB53*(1-VLOOKUP(AZ54,boc_trpr_bc,11,TRUE)*boc_rr_bc_ooph-VLOOKUP(AZ54,boc_trpr_oc,11,TRUE)*boc_rr_oc_ooph-VLOOKUP(AZ54,mortt,2,FALSE))</f>
        <v>1.485425130291615E-3</v>
      </c>
      <c r="BC54" s="260">
        <f>BC53*(1-VLOOKUP(AZ54,boc_trpr_bc,11,TRUE)*boc_rr_bc_both-VLOOKUP(AZ54,boc_trpr_oc,11,TRUE)*boc_rr_oc_both-VLOOKUP(AZ54,mortt,2,FALSE))</f>
        <v>1.6061039361017098E-3</v>
      </c>
      <c r="BD54" s="289">
        <f>BD53*(1-VLOOKUP(AZ54,boc_trpr_bc,11,TRUE)*boc_rr_bc_hip-VLOOKUP(AZ54,boc_trpr_oc,11,TRUE)*boc_rr_oc_hip-VLOOKUP(AZ54,mortt,2,FALSE))</f>
        <v>3.2523170609546286E-5</v>
      </c>
      <c r="BE54" s="289">
        <f>BE53*(1-VLOOKUP(AZ54,boc_trpr_bc,11,TRUE)*boc_rr_bc_hiv-VLOOKUP(AZ54,boc_trpr_oc,11,TRUE)*boc_rr_oc_hiv-VLOOKUP(AZ54,mortt,2,FALSE))</f>
        <v>1.3647559004644158E-3</v>
      </c>
      <c r="BF54" s="289">
        <f>BF53*(1-VLOOKUP(AZ54,boc_trpr_bc,11,TRUE)*boc_rr_bc_modp-VLOOKUP(AZ54,boc_trpr_oc,11,TRUE)*boc_rr_oc_modp-VLOOKUP(AZ54,mortt,2,FALSE))</f>
        <v>2.8894841907151135E-4</v>
      </c>
      <c r="BG54" s="289">
        <f>BG53*(1-VLOOKUP(AZ54,boc_trpr_bc,11,TRUE)*boc_rr_bc_modv-VLOOKUP(AZ54,boc_trpr_oc,11,TRUE)*boc_rr_oc_modv-VLOOKUP(AZ54,mortt,2,FALSE))</f>
        <v>1.7352566446491437E-3</v>
      </c>
      <c r="BH54" s="289">
        <f>BH53*(1-VLOOKUP(AZ54,boc_trpr_bc,11,TRUE)*boc_rr_bc_lop-VLOOKUP(AZ54,boc_trpr_oc,11,TRUE)*boc_rr_oc_lop-VLOOKUP(AZ54,mortt,2,FALSE))</f>
        <v>1.2238680091734014E-4</v>
      </c>
      <c r="BI54" s="289">
        <f>BI53*(1-VLOOKUP(AZ54,boc_trpr_bc,11,TRUE)*boc_rr_bc_lov-VLOOKUP(AZ54,boc_trpr_oc,11,TRUE)*boc_rr_oc_lov-VLOOKUP(AZ54,mortt,2,FALSE))</f>
        <v>3.7988051056507928E-4</v>
      </c>
      <c r="BJ54" s="260">
        <f>BJ53*(1-VLOOKUP(AZ54,boc_trpr_bc,11,TRUE)*boc_rr_bc_np-VLOOKUP(AZ54,boc_trpr_oc,11,TRUE)*boc_rr_oc_np-VLOOKUP(AZ54,mortt,2,FALSE))</f>
        <v>0.12597617937980571</v>
      </c>
      <c r="BK54" s="260">
        <f>BA53*VLOOKUP(AZ54,boc_trpr_bc,11,TRUE)*boc_rr_bc_mast+BB53*VLOOKUP(AZ54,boc_trpr_bc,11,TRUE)*boc_rr_bc_ooph+BC53*VLOOKUP(AZ54,boc_trpr_bc,11,TRUE)*boc_rr_bc_both+BD53*VLOOKUP(AZ54,boc_trpr_bc,11,TRUE)*boc_rr_bc_hip+BE53*VLOOKUP(AZ54,boc_trpr_bc,11,TRUE)*boc_rr_bc_hiv+BF53*VLOOKUP(AZ54,boc_trpr_bc,11,TRUE)*boc_rr_bc_modp+BG53*VLOOKUP(AZ54,boc_trpr_bc,11,TRUE)*boc_rr_bc_modv+BH53*VLOOKUP(AZ54,boc_trpr_bc,11,TRUE)*boc_rr_bc_lop+BI53*VLOOKUP(AZ54,boc_trpr_bc,11,TRUE)*boc_rr_bc_lov+BJ53*VLOOKUP(AZ54,boc_trpr_bc,11,TRUE)*boc_rr_bc_np</f>
        <v>6.6745392873972503E-4</v>
      </c>
      <c r="BL54" s="260">
        <f>BA53*VLOOKUP(AZ54,boc_trpr_oc,11,TRUE)*boc_rr_oc_mast+BB53*VLOOKUP(AZ54,boc_trpr_oc,11,TRUE)*boc_rr_oc_ooph+BC53*VLOOKUP(AZ54,boc_trpr_oc,11,TRUE)*boc_rr_oc_both+BD53*VLOOKUP(AZ54,boc_trpr_oc,11,TRUE)*boc_rr_oc_hip+BE53*VLOOKUP(AZ54,boc_trpr_oc,11,TRUE)*boc_rr_oc_hiv+BF53*VLOOKUP(AZ54,boc_trpr_oc,11,TRUE)*boc_rr_oc_modp+BG53*VLOOKUP(AZ54,boc_trpr_oc,11,TRUE)*boc_rr_oc_modv+BH53*VLOOKUP(AZ54,boc_trpr_oc,11,TRUE)*boc_rr_oc_lop+BI53*VLOOKUP(AZ54,boc_trpr_oc,11,TRUE)*boc_rr_oc_lov+BJ53*VLOOKUP(AZ54,boc_trpr_oc,11,TRUE)*boc_rr_oc_np</f>
        <v>7.6724123610990563E-5</v>
      </c>
      <c r="BM54" s="260">
        <f>BK53*(1-VLOOKUP(AZ54,boc_trpr_bc_death,20,TRUE))+BL53*(1-VLOOKUP(AZ54,boc_trpr_oc_death,20,TRUE))+BM53*(1-VLOOKUP(AZ54,mortt,2,FALSE)*boc_rr_death_pc)</f>
        <v>1.4258808353200628E-2</v>
      </c>
      <c r="BN54" s="260">
        <f>BN53+SUM(BA53:BJ53)*VLOOKUP(AZ54,mortt,2,FALSE)+BK53*VLOOKUP(AZ54,boc_trpr_bc_death,20,TRUE)+BL53*VLOOKUP(AZ54,boc_trpr_bc_death,20,TRUE)+BM53*VLOOKUP(AZ54,mortt,2,FALSE)*boc_rr_death_pc</f>
        <v>0.85043871340361787</v>
      </c>
      <c r="BO54" s="260">
        <f t="shared" si="41"/>
        <v>1.0000040370063488</v>
      </c>
      <c r="BP54" s="118">
        <f>(boc_cost_mast*SUM(BD54,BF54,BH54)*(boc_tr_mast_path+boc_tr_both_path)+SUM(BE54,BG54,BI54)*(boc_tr_mast_vus+boc_tr_both_vus)+BK54*boc_cost_bc+BL54*boc_cost_oc+BM54*boc_cost_pc+(BK54*VLOOKUP(AZ54,boc_trpr_bc_death,20,TRUE)+BL54*VLOOKUP(AZ54,boc_trpr_oc_death,TRUE)*boc_cost_death))/((1+discount)^AY54)</f>
        <v>144.01431990250649</v>
      </c>
      <c r="BQ54" s="35">
        <f t="shared" si="48"/>
        <v>3.3999030585349851E-2</v>
      </c>
      <c r="BR54" s="35">
        <f t="shared" si="49"/>
        <v>3.6193652024706736E-2</v>
      </c>
      <c r="BS54" s="35"/>
      <c r="BU54" s="33">
        <v>26</v>
      </c>
      <c r="BV54" t="str">
        <f>$M$90</f>
        <v>boc_rr_bc_both</v>
      </c>
      <c r="BW54" s="35">
        <f>$F$90</f>
        <v>4.0000000000000008E-2</v>
      </c>
      <c r="BX54" s="35">
        <f>$G$90</f>
        <v>0.06</v>
      </c>
      <c r="BY54" s="311">
        <v>-7.5182919205717553</v>
      </c>
      <c r="BZ54" s="311">
        <v>-7.5854206729882208</v>
      </c>
      <c r="CA54" s="311">
        <f t="shared" si="25"/>
        <v>6.7128752416465431E-2</v>
      </c>
      <c r="CD54" s="138">
        <v>49</v>
      </c>
      <c r="CE54" s="291">
        <v>2.9329999999999998E-3</v>
      </c>
    </row>
    <row r="55" spans="2:83" ht="15" customHeight="1" thickBot="1" x14ac:dyDescent="0.25">
      <c r="M55" s="249"/>
      <c r="Q55" s="282" t="s">
        <v>215</v>
      </c>
      <c r="R55" s="283"/>
      <c r="AD55" s="12">
        <v>49</v>
      </c>
      <c r="AE55" s="12">
        <f t="shared" si="44"/>
        <v>94</v>
      </c>
      <c r="AF55" s="260">
        <f>AF54*(1-VLOOKUP(AE55,boc_trpr_bc,11,TRUE)*boc_rr_bc_mast-VLOOKUP(AE55,boc_trpr_oc,11,TRUE)*boc_rr_oc_mast-VLOOKUP(AE55,mortt,2,FALSE))+SUM(AI54,AK54,AM54)*boc_tr_mast_path+SUM(AJ54,AL54,AN54)*boc_tr_mast_vus</f>
        <v>2.7897897989035353E-3</v>
      </c>
      <c r="AG55" s="260">
        <f>AG54*(1-VLOOKUP(AE55,boc_trpr_bc,11,TRUE)*boc_rr_bc_ooph-VLOOKUP(AE55,boc_trpr_oc,11,TRUE)*boc_rr_oc_ooph-VLOOKUP(AE55,mortt,2,FALSE))+SUM(AI54,AK54,AM54)*boc_tr_ooph_path+SUM(AJ54,AL54,AN54)*boc_tr_ooph_vus</f>
        <v>2.5830726095487102E-3</v>
      </c>
      <c r="AH55" s="260">
        <f>AH54*(1-VLOOKUP(AE55,boc_trpr_bc,11,TRUE)*boc_rr_bc_both-VLOOKUP(AE55,boc_trpr_oc,11,TRUE)*boc_rr_oc_both-VLOOKUP(AE55,mortt,2,FALSE))+SUM(AI54,AK54,AM54)*boc_tr_both_path+SUM(AJ54,AL54,AN54)*boc_tr_both_vus</f>
        <v>2.7810903731260933E-3</v>
      </c>
      <c r="AI55" s="289">
        <f>AI54*(1-VLOOKUP(AE55,boc_trpr_bc,11,TRUE)*boc_rr_bc_hip-VLOOKUP(AE55,boc_trpr_oc,11,TRUE)*boc_rr_oc_hip-boc_tr_mast_path-boc_tr_ooph_path-boc_tr_both_path-VLOOKUP(AE55,mortt,2,FALSE))</f>
        <v>-2.9699293234211028E-46</v>
      </c>
      <c r="AJ55" s="289">
        <f>AJ54*(1-VLOOKUP(AE55,boc_trpr_bc,11,TRUE)*boc_rr_bc_hiv-VLOOKUP(AE55,boc_trpr_oc,11,TRUE)*boc_rr_oc_hiv-boc_tr_mast_vus-boc_tr_ooph_vus-boc_tr_both_vus-VLOOKUP(AE55,mortt,2,FALSE))</f>
        <v>2.3933076872546619E-7</v>
      </c>
      <c r="AK55" s="289">
        <f>AK54*(1-VLOOKUP(AE55,boc_trpr_bc,11,TRUE)*boc_rr_bc_modp-VLOOKUP(AE55,boc_trpr_oc,11,TRUE)*boc_rr_oc_modp-boc_tr_mast_path-boc_tr_ooph_path-boc_tr_both_path-VLOOKUP(AE55,mortt,2,FALSE))</f>
        <v>1.562253902968569E-39</v>
      </c>
      <c r="AL55" s="289">
        <f>AL54*(1-VLOOKUP(AE55,boc_trpr_bc,11,TRUE)*boc_rr_bc_modv-VLOOKUP(AE55,boc_trpr_oc,11,TRUE)*boc_rr_oc_modv-boc_tr_mast_vus-boc_tr_ooph_vus-boc_tr_both_vus-VLOOKUP(AE55,mortt,2,FALSE))</f>
        <v>3.0430372681190052E-7</v>
      </c>
      <c r="AM55" s="289">
        <f>AM54*(1-VLOOKUP(AE55,boc_trpr_bc,11,TRUE)*boc_rr_bc_lop-VLOOKUP(AE55,boc_trpr_oc,11,TRUE)*boc_rr_oc_lop-boc_tr_mast_path-boc_tr_ooph_path-boc_tr_both_path-VLOOKUP(AE55,mortt,2,FALSE))</f>
        <v>1.8269435023062433E-38</v>
      </c>
      <c r="AN55" s="289">
        <f>AN54*(1-VLOOKUP(AE55,boc_trpr_bc,11,TRUE)*boc_rr_bc_lov-VLOOKUP(AE55,boc_trpr_oc,11,TRUE)*boc_rr_oc_lov-boc_tr_mast_vus-boc_tr_ooph_vus-boc_tr_both_vus-VLOOKUP(AE55,mortt,2,FALSE))</f>
        <v>6.6617843224876085E-8</v>
      </c>
      <c r="AO55" s="260">
        <f>AO54*(1-VLOOKUP(AE55,boc_trpr_bc,11,TRUE)*boc_rr_bc_np-VLOOKUP(AE55,boc_trpr_oc,11,TRUE)*boc_rr_oc_np-VLOOKUP(AE55,mortt,2,FALSE))</f>
        <v>0.10120405000151798</v>
      </c>
      <c r="AP55" s="260">
        <f>AF54*VLOOKUP(AE55,boc_trpr_bc,11,TRUE)*boc_rr_bc_mast+AG54*VLOOKUP(AE55,boc_trpr_bc,11,TRUE)*boc_rr_bc_ooph+AH54*VLOOKUP(AE55,boc_trpr_bc,11,TRUE)*boc_rr_bc_both+AI54*VLOOKUP(AE55,boc_trpr_bc,11,TRUE)*boc_rr_bc_hip+AJ54*VLOOKUP(AE55,boc_trpr_bc,11,TRUE)*boc_rr_bc_hiv+AK54*VLOOKUP(AE55,boc_trpr_bc,11,TRUE)*boc_rr_bc_modp+AL54*VLOOKUP(AE55,boc_trpr_bc,11,TRUE)*boc_rr_bc_modv+AM54*VLOOKUP(AE55,boc_trpr_bc,11,TRUE)*boc_rr_bc_lop+AN54*VLOOKUP(AE55,boc_trpr_bc,11,TRUE)*boc_rr_bc_lov+AO54*VLOOKUP(AE55,boc_trpr_bc,11,TRUE)*boc_rr_bc_np</f>
        <v>5.279577188478427E-4</v>
      </c>
      <c r="AQ55" s="260">
        <f>AF54*VLOOKUP(AE55,boc_trpr_oc,11,TRUE)*boc_rr_oc_mast+AG54*VLOOKUP(AE55,boc_trpr_oc,11,TRUE)*boc_rr_oc_ooph+AH54*VLOOKUP(AE55,boc_trpr_oc,11,TRUE)*boc_rr_oc_both+AI54*VLOOKUP(AE55,boc_trpr_oc,11,TRUE)*boc_rr_oc_hip+AJ54*VLOOKUP(AE55,boc_trpr_oc,11,TRUE)*boc_rr_oc_hiv+AK54*VLOOKUP(AE55,boc_trpr_oc,11,TRUE)*boc_rr_oc_modp+AL54*VLOOKUP(AE55,boc_trpr_oc,11,TRUE)*boc_rr_oc_modv+AM54*VLOOKUP(AE55,boc_trpr_oc,11,TRUE)*boc_rr_oc_lop+AN54*VLOOKUP(AE55,boc_trpr_oc,11,TRUE)*boc_rr_oc_lov+AO54*VLOOKUP(AE55,boc_trpr_oc,11,TRUE)*boc_rr_oc_np</f>
        <v>6.1319500045668758E-5</v>
      </c>
      <c r="AR55" s="260">
        <f>AP54*(1-VLOOKUP(AE55,boc_trpr_bc_death,20,TRUE))+AQ54*(1-VLOOKUP(AE55,boc_trpr_oc_death,20,TRUE))+AR54*(1-VLOOKUP(AE55,mortt,2,FALSE)*boc_rr_death_pc)</f>
        <v>1.0347065795029907E-2</v>
      </c>
      <c r="AS55" s="260">
        <f>AS54+SUM(AF54:AO54)*VLOOKUP(AE55,mortt,2,FALSE)+AP54*VLOOKUP(AE55,boc_trpr_bc_death,20,TRUE)+AQ54*VLOOKUP(AE55,boc_trpr_bc_death,20,TRUE)+AR54*VLOOKUP(AE55,mortt,2,FALSE)*boc_rr_death_pc</f>
        <v>0.87970894883141926</v>
      </c>
      <c r="AT55" s="260">
        <f t="shared" si="52"/>
        <v>1.0000039048807778</v>
      </c>
      <c r="AU55" s="118">
        <f>(boc_cost_mast*SUM(AI55,AK55,AM55)*(boc_tr_mast_path+boc_tr_both_path)+SUM(AJ55,AL55,AN55)*(boc_tr_mast_vus+boc_tr_both_vus)+AP55*boc_cost_bc+AQ55*boc_cost_oc+AR55*boc_cost_pc+(AP55*VLOOKUP(AE55,boc_trpr_bc_death,20,TRUE)+AQ55*VLOOKUP(AE55,boc_trpr_oc_death,TRUE)*boc_cost_death))/((1+discount)^AD55)</f>
        <v>109.21715532340754</v>
      </c>
      <c r="AV55" s="35">
        <f t="shared" si="45"/>
        <v>2.6586294643210637E-2</v>
      </c>
      <c r="AW55" s="35">
        <f t="shared" si="46"/>
        <v>2.8262417619111972E-2</v>
      </c>
      <c r="AY55" s="12">
        <v>49</v>
      </c>
      <c r="AZ55" s="12">
        <f t="shared" si="47"/>
        <v>94</v>
      </c>
      <c r="BA55" s="260">
        <f>BA54*(1-VLOOKUP(AZ55,boc_trpr_bc,11,TRUE)*boc_rr_bc_mast-VLOOKUP(AZ55,boc_trpr_oc,11,TRUE)*boc_rr_oc_mast-VLOOKUP(AZ55,mortt,2,FALSE))</f>
        <v>1.2678033305868965E-3</v>
      </c>
      <c r="BB55" s="260">
        <f>BB54*(1-VLOOKUP(AZ55,boc_trpr_bc,11,TRUE)*boc_rr_bc_ooph-VLOOKUP(AZ55,boc_trpr_oc,11,TRUE)*boc_rr_oc_ooph-VLOOKUP(AZ55,mortt,2,FALSE))</f>
        <v>1.196914526348891E-3</v>
      </c>
      <c r="BC55" s="260">
        <f>BC54*(1-VLOOKUP(AZ55,boc_trpr_bc,11,TRUE)*boc_rr_bc_both-VLOOKUP(AZ55,boc_trpr_oc,11,TRUE)*boc_rr_oc_both-VLOOKUP(AZ55,mortt,2,FALSE))</f>
        <v>1.2971984218805019E-3</v>
      </c>
      <c r="BD55" s="289">
        <f>BD54*(1-VLOOKUP(AZ55,boc_trpr_bc,11,TRUE)*boc_rr_bc_hip-VLOOKUP(AZ55,boc_trpr_oc,11,TRUE)*boc_rr_oc_hip-VLOOKUP(AZ55,mortt,2,FALSE))</f>
        <v>2.4037658971910575E-5</v>
      </c>
      <c r="BE55" s="289">
        <f>BE54*(1-VLOOKUP(AZ55,boc_trpr_bc,11,TRUE)*boc_rr_bc_hiv-VLOOKUP(AZ55,boc_trpr_oc,11,TRUE)*boc_rr_oc_hiv-VLOOKUP(AZ55,mortt,2,FALSE))</f>
        <v>1.095761946568137E-3</v>
      </c>
      <c r="BF55" s="289">
        <f>BF54*(1-VLOOKUP(AZ55,boc_trpr_bc,11,TRUE)*boc_rr_bc_modp-VLOOKUP(AZ55,boc_trpr_oc,11,TRUE)*boc_rr_oc_modp-VLOOKUP(AZ55,mortt,2,FALSE))</f>
        <v>2.2682367540261309E-4</v>
      </c>
      <c r="BG55" s="289">
        <f>BG54*(1-VLOOKUP(AZ55,boc_trpr_bc,11,TRUE)*boc_rr_bc_modv-VLOOKUP(AZ55,boc_trpr_oc,11,TRUE)*boc_rr_oc_modv-VLOOKUP(AZ55,mortt,2,FALSE))</f>
        <v>1.3932368404408425E-3</v>
      </c>
      <c r="BH55" s="289">
        <f>BH54*(1-VLOOKUP(AZ55,boc_trpr_bc,11,TRUE)*boc_rr_bc_lop-VLOOKUP(AZ55,boc_trpr_oc,11,TRUE)*boc_rr_oc_lop-VLOOKUP(AZ55,mortt,2,FALSE))</f>
        <v>9.8039591086369033E-5</v>
      </c>
      <c r="BI55" s="289">
        <f>BI54*(1-VLOOKUP(AZ55,boc_trpr_bc,11,TRUE)*boc_rr_bc_lov-VLOOKUP(AZ55,boc_trpr_oc,11,TRUE)*boc_rr_oc_lov-VLOOKUP(AZ55,mortt,2,FALSE))</f>
        <v>3.0500590441004096E-4</v>
      </c>
      <c r="BJ55" s="260">
        <f>BJ54*(1-VLOOKUP(AZ55,boc_trpr_bc,11,TRUE)*boc_rr_bc_np-VLOOKUP(AZ55,boc_trpr_oc,11,TRUE)*boc_rr_oc_np-VLOOKUP(AZ55,mortt,2,FALSE))</f>
        <v>0.10120405000151798</v>
      </c>
      <c r="BK55" s="260">
        <f>BA54*VLOOKUP(AZ55,boc_trpr_bc,11,TRUE)*boc_rr_bc_mast+BB54*VLOOKUP(AZ55,boc_trpr_bc,11,TRUE)*boc_rr_bc_ooph+BC54*VLOOKUP(AZ55,boc_trpr_bc,11,TRUE)*boc_rr_bc_both+BD54*VLOOKUP(AZ55,boc_trpr_bc,11,TRUE)*boc_rr_bc_hip+BE54*VLOOKUP(AZ55,boc_trpr_bc,11,TRUE)*boc_rr_bc_hiv+BF54*VLOOKUP(AZ55,boc_trpr_bc,11,TRUE)*boc_rr_bc_modp+BG54*VLOOKUP(AZ55,boc_trpr_bc,11,TRUE)*boc_rr_bc_modv+BH54*VLOOKUP(AZ55,boc_trpr_bc,11,TRUE)*boc_rr_bc_lop+BI54*VLOOKUP(AZ55,boc_trpr_bc,11,TRUE)*boc_rr_bc_lov+BJ54*VLOOKUP(AZ55,boc_trpr_bc,11,TRUE)*boc_rr_bc_np</f>
        <v>5.4767537114863598E-4</v>
      </c>
      <c r="BL55" s="260">
        <f>BA54*VLOOKUP(AZ55,boc_trpr_oc,11,TRUE)*boc_rr_oc_mast+BB54*VLOOKUP(AZ55,boc_trpr_oc,11,TRUE)*boc_rr_oc_ooph+BC54*VLOOKUP(AZ55,boc_trpr_oc,11,TRUE)*boc_rr_oc_both+BD54*VLOOKUP(AZ55,boc_trpr_oc,11,TRUE)*boc_rr_oc_hip+BE54*VLOOKUP(AZ55,boc_trpr_oc,11,TRUE)*boc_rr_oc_hiv+BF54*VLOOKUP(AZ55,boc_trpr_oc,11,TRUE)*boc_rr_oc_modp+BG54*VLOOKUP(AZ55,boc_trpr_oc,11,TRUE)*boc_rr_oc_modv+BH54*VLOOKUP(AZ55,boc_trpr_oc,11,TRUE)*boc_rr_oc_lop+BI54*VLOOKUP(AZ55,boc_trpr_oc,11,TRUE)*boc_rr_oc_lov+BJ54*VLOOKUP(AZ55,boc_trpr_oc,11,TRUE)*boc_rr_oc_np</f>
        <v>6.2958507761269868E-5</v>
      </c>
      <c r="BM55" s="260">
        <f>BK54*(1-VLOOKUP(AZ55,boc_trpr_bc_death,20,TRUE))+BL54*(1-VLOOKUP(AZ55,boc_trpr_oc_death,20,TRUE))+BM54*(1-VLOOKUP(AZ55,mortt,2,FALSE)*boc_rr_death_pc)</f>
        <v>1.0894517807333387E-2</v>
      </c>
      <c r="BN55" s="260">
        <f>BN54+SUM(BA54:BJ54)*VLOOKUP(AZ55,mortt,2,FALSE)+BK54*VLOOKUP(AZ55,boc_trpr_bc_death,20,TRUE)+BL54*VLOOKUP(AZ55,boc_trpr_bc_death,20,TRUE)+BM54*VLOOKUP(AZ55,mortt,2,FALSE)*boc_rr_death_pc</f>
        <v>0.88039006639387285</v>
      </c>
      <c r="BO55" s="260">
        <f t="shared" si="41"/>
        <v>1.0000040899773304</v>
      </c>
      <c r="BP55" s="118">
        <f>(boc_cost_mast*SUM(BD55,BF55,BH55)*(boc_tr_mast_path+boc_tr_both_path)+SUM(BE55,BG55,BI55)*(boc_tr_mast_vus+boc_tr_both_vus)+BK55*boc_cost_bc+BL55*boc_cost_oc+BM55*boc_cost_pc+(BK55*VLOOKUP(AZ55,boc_trpr_bc_death,20,TRUE)+BL55*VLOOKUP(AZ55,boc_trpr_oc_death,TRUE)*boc_cost_death))/((1+discount)^AY55)</f>
        <v>113.24517346581909</v>
      </c>
      <c r="BQ55" s="35">
        <f t="shared" si="48"/>
        <v>2.6410031754314219E-2</v>
      </c>
      <c r="BR55" s="35">
        <f t="shared" si="49"/>
        <v>2.8102388848802222E-2</v>
      </c>
      <c r="BS55" s="35"/>
      <c r="BU55" s="33">
        <v>63</v>
      </c>
      <c r="BV55" t="str">
        <f>$M$92</f>
        <v>boc_rr_bc_hip</v>
      </c>
      <c r="BW55" s="35">
        <f>$F$92</f>
        <v>12</v>
      </c>
      <c r="BX55" s="35">
        <f>$G$92</f>
        <v>18</v>
      </c>
      <c r="BY55" s="311">
        <v>-7.5237475559592895</v>
      </c>
      <c r="BZ55" s="311">
        <v>-7.5826481584235808</v>
      </c>
      <c r="CA55" s="311">
        <f t="shared" si="25"/>
        <v>5.8900602464291296E-2</v>
      </c>
      <c r="CD55" s="138">
        <v>50</v>
      </c>
      <c r="CE55" s="291">
        <v>3.215E-3</v>
      </c>
    </row>
    <row r="56" spans="2:83" ht="15" customHeight="1" x14ac:dyDescent="0.25">
      <c r="B56" s="94" t="s">
        <v>196</v>
      </c>
      <c r="M56" s="249"/>
      <c r="Q56" s="284" t="s">
        <v>214</v>
      </c>
      <c r="R56" s="256"/>
      <c r="S56" s="256"/>
      <c r="T56" s="256"/>
      <c r="U56" s="256"/>
      <c r="V56" s="256"/>
      <c r="W56" s="256"/>
      <c r="X56" s="256"/>
      <c r="Y56" s="256"/>
      <c r="Z56" s="256"/>
      <c r="AA56" s="256"/>
      <c r="AD56" s="12">
        <v>50</v>
      </c>
      <c r="AE56" s="12">
        <f t="shared" si="44"/>
        <v>95</v>
      </c>
      <c r="AF56" s="260">
        <f>AF55*(1-VLOOKUP(AE56,boc_trpr_bc,11,TRUE)*boc_rr_bc_mast-VLOOKUP(AE56,boc_trpr_oc,11,TRUE)*boc_rr_oc_mast-VLOOKUP(AE56,mortt,2,FALSE))+SUM(AI55,AK55,AM55)*boc_tr_mast_path+SUM(AJ55,AL55,AN55)*boc_tr_mast_vus</f>
        <v>2.1995149111312222E-3</v>
      </c>
      <c r="AG56" s="260">
        <f>AG55*(1-VLOOKUP(AE56,boc_trpr_bc,11,TRUE)*boc_rr_bc_ooph-VLOOKUP(AE56,boc_trpr_oc,11,TRUE)*boc_rr_oc_ooph-VLOOKUP(AE56,mortt,2,FALSE))+SUM(AI55,AK55,AM55)*boc_tr_ooph_path+SUM(AJ55,AL55,AN55)*boc_tr_ooph_vus</f>
        <v>2.0331937477189948E-3</v>
      </c>
      <c r="AH56" s="260">
        <f>AH55*(1-VLOOKUP(AE56,boc_trpr_bc,11,TRUE)*boc_rr_bc_both-VLOOKUP(AE56,boc_trpr_oc,11,TRUE)*boc_rr_oc_both-VLOOKUP(AE56,mortt,2,FALSE))+SUM(AI55,AK55,AM55)*boc_tr_both_path+SUM(AJ55,AL55,AN55)*boc_tr_both_vus</f>
        <v>2.1943269287021889E-3</v>
      </c>
      <c r="AI56" s="289">
        <f>AI55*(1-VLOOKUP(AE56,boc_trpr_bc,11,TRUE)*boc_rr_bc_hip-VLOOKUP(AE56,boc_trpr_oc,11,TRUE)*boc_rr_oc_hip-boc_tr_mast_path-boc_tr_ooph_path-boc_tr_both_path-VLOOKUP(AE56,mortt,2,FALSE))</f>
        <v>8.7816814068840302E-48</v>
      </c>
      <c r="AJ56" s="289">
        <f>AJ55*(1-VLOOKUP(AE56,boc_trpr_bc,11,TRUE)*boc_rr_bc_hiv-VLOOKUP(AE56,boc_trpr_oc,11,TRUE)*boc_rr_oc_hiv-boc_tr_mast_vus-boc_tr_ooph_vus-boc_tr_both_vus-VLOOKUP(AE56,mortt,2,FALSE))</f>
        <v>1.5179256885311812E-7</v>
      </c>
      <c r="AK56" s="289">
        <f>AK55*(1-VLOOKUP(AE56,boc_trpr_bc,11,TRUE)*boc_rr_bc_modp-VLOOKUP(AE56,boc_trpr_oc,11,TRUE)*boc_rr_oc_modp-boc_tr_mast_path-boc_tr_ooph_path-boc_tr_both_path-VLOOKUP(AE56,mortt,2,FALSE))</f>
        <v>2.5519597421903854E-41</v>
      </c>
      <c r="AL56" s="289">
        <f>AL55*(1-VLOOKUP(AE56,boc_trpr_bc,11,TRUE)*boc_rr_bc_modv-VLOOKUP(AE56,boc_trpr_oc,11,TRUE)*boc_rr_oc_modv-boc_tr_mast_vus-boc_tr_ooph_vus-boc_tr_both_vus-VLOOKUP(AE56,mortt,2,FALSE))</f>
        <v>1.9300086090201432E-7</v>
      </c>
      <c r="AM56" s="289">
        <f>AM55*(1-VLOOKUP(AE56,boc_trpr_bc,11,TRUE)*boc_rr_bc_lop-VLOOKUP(AE56,boc_trpr_oc,11,TRUE)*boc_rr_oc_lop-boc_tr_mast_path-boc_tr_ooph_path-boc_tr_both_path-VLOOKUP(AE56,mortt,2,FALSE))</f>
        <v>5.9195590315589726E-40</v>
      </c>
      <c r="AN56" s="289">
        <f>AN55*(1-VLOOKUP(AE56,boc_trpr_bc,11,TRUE)*boc_rr_bc_lov-VLOOKUP(AE56,boc_trpr_oc,11,TRUE)*boc_rr_oc_lov-boc_tr_mast_vus-boc_tr_ooph_vus-boc_tr_both_vus-VLOOKUP(AE56,mortt,2,FALSE))</f>
        <v>4.2251540027257043E-8</v>
      </c>
      <c r="AO56" s="260">
        <f>AO55*(1-VLOOKUP(AE56,boc_trpr_bc,11,TRUE)*boc_rr_bc_np-VLOOKUP(AE56,boc_trpr_oc,11,TRUE)*boc_rr_oc_np-VLOOKUP(AE56,mortt,2,FALSE))</f>
        <v>7.9414476273453286E-2</v>
      </c>
      <c r="AP56" s="260">
        <f>AF55*VLOOKUP(AE56,boc_trpr_bc,11,TRUE)*boc_rr_bc_mast+AG55*VLOOKUP(AE56,boc_trpr_bc,11,TRUE)*boc_rr_bc_ooph+AH55*VLOOKUP(AE56,boc_trpr_bc,11,TRUE)*boc_rr_bc_both+AI55*VLOOKUP(AE56,boc_trpr_bc,11,TRUE)*boc_rr_bc_hip+AJ55*VLOOKUP(AE56,boc_trpr_bc,11,TRUE)*boc_rr_bc_hiv+AK55*VLOOKUP(AE56,boc_trpr_bc,11,TRUE)*boc_rr_bc_modp+AL55*VLOOKUP(AE56,boc_trpr_bc,11,TRUE)*boc_rr_bc_modv+AM55*VLOOKUP(AE56,boc_trpr_bc,11,TRUE)*boc_rr_bc_lop+AN55*VLOOKUP(AE56,boc_trpr_bc,11,TRUE)*boc_rr_bc_lov+AO55*VLOOKUP(AE56,boc_trpr_bc,11,TRUE)*boc_rr_bc_np</f>
        <v>4.2416347483612547E-4</v>
      </c>
      <c r="AQ56" s="260">
        <f>AF55*VLOOKUP(AE56,boc_trpr_oc,11,TRUE)*boc_rr_oc_mast+AG55*VLOOKUP(AE56,boc_trpr_oc,11,TRUE)*boc_rr_oc_ooph+AH55*VLOOKUP(AE56,boc_trpr_oc,11,TRUE)*boc_rr_oc_both+AI55*VLOOKUP(AE56,boc_trpr_oc,11,TRUE)*boc_rr_oc_hip+AJ55*VLOOKUP(AE56,boc_trpr_oc,11,TRUE)*boc_rr_oc_hiv+AK55*VLOOKUP(AE56,boc_trpr_oc,11,TRUE)*boc_rr_oc_modp+AL55*VLOOKUP(AE56,boc_trpr_oc,11,TRUE)*boc_rr_oc_modv+AM55*VLOOKUP(AE56,boc_trpr_oc,11,TRUE)*boc_rr_oc_lop+AN55*VLOOKUP(AE56,boc_trpr_oc,11,TRUE)*boc_rr_oc_lov+AO55*VLOOKUP(AE56,boc_trpr_oc,11,TRUE)*boc_rr_oc_np</f>
        <v>4.9269226087855426E-5</v>
      </c>
      <c r="AR56" s="260">
        <f>AP55*(1-VLOOKUP(AE56,boc_trpr_bc_death,20,TRUE))+AQ55*(1-VLOOKUP(AE56,boc_trpr_oc_death,20,TRUE))+AR55*(1-VLOOKUP(AE56,mortt,2,FALSE)*boc_rr_death_pc)</f>
        <v>7.665285551428121E-3</v>
      </c>
      <c r="AS56" s="260">
        <f>AS55+SUM(AF55:AO55)*VLOOKUP(AE56,mortt,2,FALSE)+AP55*VLOOKUP(AE56,boc_trpr_bc_death,20,TRUE)+AQ55*VLOOKUP(AE56,boc_trpr_bc_death,20,TRUE)+AR55*VLOOKUP(AE56,mortt,2,FALSE)*boc_rr_death_pc</f>
        <v>0.90602333005794966</v>
      </c>
      <c r="AT56" s="260">
        <f t="shared" si="52"/>
        <v>1.0000039472162772</v>
      </c>
      <c r="AU56" s="118">
        <f>(boc_cost_mast*SUM(AI56,AK56,AM56)*(boc_tr_mast_path+boc_tr_both_path)+SUM(AJ56,AL56,AN56)*(boc_tr_mast_vus+boc_tr_both_vus)+AP56*boc_cost_bc+AQ56*boc_cost_oc+AR56*boc_cost_pc+(AP56*VLOOKUP(AE56,boc_trpr_bc_death,20,TRUE)+AQ56*VLOOKUP(AE56,boc_trpr_oc_death,TRUE)*boc_cost_death))/((1+discount)^AD56)</f>
        <v>84.053030510549107</v>
      </c>
      <c r="AV56" s="35">
        <f t="shared" si="45"/>
        <v>2.0174711454184927E-2</v>
      </c>
      <c r="AW56" s="35">
        <f t="shared" si="46"/>
        <v>2.1436743748846653E-2</v>
      </c>
      <c r="AY56" s="12">
        <v>50</v>
      </c>
      <c r="AZ56" s="12">
        <f t="shared" si="47"/>
        <v>95</v>
      </c>
      <c r="BA56" s="260">
        <f>BA55*(1-VLOOKUP(AZ56,boc_trpr_bc,11,TRUE)*boc_rr_bc_mast-VLOOKUP(AZ56,boc_trpr_oc,11,TRUE)*boc_rr_oc_mast-VLOOKUP(AZ56,mortt,2,FALSE))</f>
        <v>9.9954256306560756E-4</v>
      </c>
      <c r="BB56" s="260">
        <f>BB55*(1-VLOOKUP(AZ56,boc_trpr_bc,11,TRUE)*boc_rr_bc_ooph-VLOOKUP(AZ56,boc_trpr_oc,11,TRUE)*boc_rr_oc_ooph-VLOOKUP(AZ56,mortt,2,FALSE))</f>
        <v>9.4210383461009969E-4</v>
      </c>
      <c r="BC56" s="260">
        <f>BC55*(1-VLOOKUP(AZ56,boc_trpr_bc,11,TRUE)*boc_rr_bc_both-VLOOKUP(AZ56,boc_trpr_oc,11,TRUE)*boc_rr_oc_both-VLOOKUP(AZ56,mortt,2,FALSE))</f>
        <v>1.0234970699223558E-3</v>
      </c>
      <c r="BD56" s="289">
        <f>BD55*(1-VLOOKUP(AZ56,boc_trpr_bc,11,TRUE)*boc_rr_bc_hip-VLOOKUP(AZ56,boc_trpr_oc,11,TRUE)*boc_rr_oc_hip-VLOOKUP(AZ56,mortt,2,FALSE))</f>
        <v>1.7317482995680794E-5</v>
      </c>
      <c r="BE56" s="289">
        <f>BE55*(1-VLOOKUP(AZ56,boc_trpr_bc,11,TRUE)*boc_rr_bc_hiv-VLOOKUP(AZ56,boc_trpr_oc,11,TRUE)*boc_rr_oc_hiv-VLOOKUP(AZ56,mortt,2,FALSE))</f>
        <v>8.5933770307999055E-4</v>
      </c>
      <c r="BF56" s="289">
        <f>BF55*(1-VLOOKUP(AZ56,boc_trpr_bc,11,TRUE)*boc_rr_bc_modp-VLOOKUP(AZ56,boc_trpr_oc,11,TRUE)*boc_rr_oc_modp-VLOOKUP(AZ56,mortt,2,FALSE))</f>
        <v>1.7382294741180159E-4</v>
      </c>
      <c r="BG56" s="289">
        <f>BG55*(1-VLOOKUP(AZ56,boc_trpr_bc,11,TRUE)*boc_rr_bc_modv-VLOOKUP(AZ56,boc_trpr_oc,11,TRUE)*boc_rr_oc_modv-VLOOKUP(AZ56,mortt,2,FALSE))</f>
        <v>1.0926286955488906E-3</v>
      </c>
      <c r="BH56" s="289">
        <f>BH55*(1-VLOOKUP(AZ56,boc_trpr_bc,11,TRUE)*boc_rr_bc_lop-VLOOKUP(AZ56,boc_trpr_oc,11,TRUE)*boc_rr_oc_lop-VLOOKUP(AZ56,mortt,2,FALSE))</f>
        <v>7.670631670862041E-5</v>
      </c>
      <c r="BI56" s="289">
        <f>BI55*(1-VLOOKUP(AZ56,boc_trpr_bc,11,TRUE)*boc_rr_bc_lov-VLOOKUP(AZ56,boc_trpr_oc,11,TRUE)*boc_rr_oc_lov-VLOOKUP(AZ56,mortt,2,FALSE))</f>
        <v>2.3919709398784232E-4</v>
      </c>
      <c r="BJ56" s="260">
        <f>BJ55*(1-VLOOKUP(AZ56,boc_trpr_bc,11,TRUE)*boc_rr_bc_np-VLOOKUP(AZ56,boc_trpr_oc,11,TRUE)*boc_rr_oc_np-VLOOKUP(AZ56,mortt,2,FALSE))</f>
        <v>7.9414476273453286E-2</v>
      </c>
      <c r="BK56" s="260">
        <f>BA55*VLOOKUP(AZ56,boc_trpr_bc,11,TRUE)*boc_rr_bc_mast+BB55*VLOOKUP(AZ56,boc_trpr_bc,11,TRUE)*boc_rr_bc_ooph+BC55*VLOOKUP(AZ56,boc_trpr_bc,11,TRUE)*boc_rr_bc_both+BD55*VLOOKUP(AZ56,boc_trpr_bc,11,TRUE)*boc_rr_bc_hip+BE55*VLOOKUP(AZ56,boc_trpr_bc,11,TRUE)*boc_rr_bc_hiv+BF55*VLOOKUP(AZ56,boc_trpr_bc,11,TRUE)*boc_rr_bc_modp+BG55*VLOOKUP(AZ56,boc_trpr_bc,11,TRUE)*boc_rr_bc_modv+BH55*VLOOKUP(AZ56,boc_trpr_bc,11,TRUE)*boc_rr_bc_lop+BI55*VLOOKUP(AZ56,boc_trpr_bc,11,TRUE)*boc_rr_bc_lov+BJ55*VLOOKUP(AZ56,boc_trpr_bc,11,TRUE)*boc_rr_bc_np</f>
        <v>4.3974362554120828E-4</v>
      </c>
      <c r="BL56" s="260">
        <f>BA55*VLOOKUP(AZ56,boc_trpr_oc,11,TRUE)*boc_rr_oc_mast+BB55*VLOOKUP(AZ56,boc_trpr_oc,11,TRUE)*boc_rr_oc_ooph+BC55*VLOOKUP(AZ56,boc_trpr_oc,11,TRUE)*boc_rr_oc_both+BD55*VLOOKUP(AZ56,boc_trpr_oc,11,TRUE)*boc_rr_oc_hip+BE55*VLOOKUP(AZ56,boc_trpr_oc,11,TRUE)*boc_rr_oc_hiv+BF55*VLOOKUP(AZ56,boc_trpr_oc,11,TRUE)*boc_rr_oc_modp+BG55*VLOOKUP(AZ56,boc_trpr_oc,11,TRUE)*boc_rr_oc_modv+BH55*VLOOKUP(AZ56,boc_trpr_oc,11,TRUE)*boc_rr_oc_lop+BI55*VLOOKUP(AZ56,boc_trpr_oc,11,TRUE)*boc_rr_oc_lov+BJ55*VLOOKUP(AZ56,boc_trpr_oc,11,TRUE)*boc_rr_oc_np</f>
        <v>5.0553566811112161E-5</v>
      </c>
      <c r="BM56" s="260">
        <f>BK55*(1-VLOOKUP(AZ56,boc_trpr_bc_death,20,TRUE))+BL55*(1-VLOOKUP(AZ56,boc_trpr_oc_death,20,TRUE))+BM55*(1-VLOOKUP(AZ56,mortt,2,FALSE)*boc_rr_death_pc)</f>
        <v>8.0610368162465501E-3</v>
      </c>
      <c r="BN56" s="260">
        <f>BN55+SUM(BA55:BJ55)*VLOOKUP(AZ56,mortt,2,FALSE)+BK55*VLOOKUP(AZ56,boc_trpr_bc_death,20,TRUE)+BL55*VLOOKUP(AZ56,boc_trpr_bc_death,20,TRUE)+BM55*VLOOKUP(AZ56,mortt,2,FALSE)*boc_rr_death_pc</f>
        <v>0.90661416945503148</v>
      </c>
      <c r="BO56" s="260">
        <f t="shared" si="41"/>
        <v>1.0000041334444145</v>
      </c>
      <c r="BP56" s="118">
        <f>(boc_cost_mast*SUM(BD56,BF56,BH56)*(boc_tr_mast_path+boc_tr_both_path)+SUM(BE56,BG56,BI56)*(boc_tr_mast_vus+boc_tr_both_vus)+BK56*boc_cost_bc+BL56*boc_cost_oc+BM56*boc_cost_pc+(BK56*VLOOKUP(AZ56,boc_trpr_bc_death,20,TRUE)+BL56*VLOOKUP(AZ56,boc_trpr_oc_death,TRUE)*boc_cost_death))/((1+discount)^AY56)</f>
        <v>87.053076806524984</v>
      </c>
      <c r="BQ56" s="35">
        <f t="shared" si="48"/>
        <v>2.0029059286962143E-2</v>
      </c>
      <c r="BR56" s="35">
        <f t="shared" si="49"/>
        <v>2.1301969099353578E-2</v>
      </c>
      <c r="BS56" s="35"/>
      <c r="BU56" s="33">
        <v>42</v>
      </c>
      <c r="BV56" t="str">
        <f>$M$93</f>
        <v>boc_rr_bc_hiv</v>
      </c>
      <c r="BW56" s="35">
        <f>$F$93</f>
        <v>0.88000000000000012</v>
      </c>
      <c r="BX56" s="35">
        <f>$G$93</f>
        <v>1.32</v>
      </c>
      <c r="BY56" s="311">
        <v>-7.5249024033832939</v>
      </c>
      <c r="BZ56" s="311">
        <v>-7.5812741040799665</v>
      </c>
      <c r="CA56" s="311">
        <f t="shared" ref="CA56:CA87" si="57">ABS(BY56-BZ56)</f>
        <v>5.6371700696672633E-2</v>
      </c>
      <c r="CD56" s="138">
        <v>51</v>
      </c>
      <c r="CE56" s="291">
        <v>3.4940000000000001E-3</v>
      </c>
    </row>
    <row r="57" spans="2:83" ht="15" customHeight="1" x14ac:dyDescent="0.2">
      <c r="B57" s="38" t="s">
        <v>211</v>
      </c>
      <c r="M57" s="249"/>
      <c r="U57" s="9" t="s">
        <v>7</v>
      </c>
      <c r="V57" s="250">
        <f>boc_unk_int_mast</f>
        <v>0.01</v>
      </c>
      <c r="X57" s="261">
        <f>R63*T58*V57</f>
        <v>3.6921564632588055E-5</v>
      </c>
      <c r="AD57" s="12">
        <v>51</v>
      </c>
      <c r="AE57" s="12">
        <f t="shared" si="44"/>
        <v>96</v>
      </c>
      <c r="AF57" s="260">
        <f>AF56*(1-VLOOKUP(AE57,boc_trpr_bc,11,TRUE)*boc_rr_bc_mast-VLOOKUP(AE57,boc_trpr_oc,11,TRUE)*boc_rr_oc_mast-VLOOKUP(AE57,mortt,2,FALSE))+SUM(AI56,AK56,AM56)*boc_tr_mast_path+SUM(AJ56,AL56,AN56)*boc_tr_mast_vus</f>
        <v>1.6910285467693581E-3</v>
      </c>
      <c r="AG57" s="260">
        <f>AG56*(1-VLOOKUP(AE57,boc_trpr_bc,11,TRUE)*boc_rr_bc_ooph-VLOOKUP(AE57,boc_trpr_oc,11,TRUE)*boc_rr_oc_ooph-VLOOKUP(AE57,mortt,2,FALSE))+SUM(AI56,AK56,AM56)*boc_tr_ooph_path+SUM(AJ56,AL56,AN56)*boc_tr_ooph_vus</f>
        <v>1.5605268019714558E-3</v>
      </c>
      <c r="AH57" s="260">
        <f>AH56*(1-VLOOKUP(AE57,boc_trpr_bc,11,TRUE)*boc_rr_bc_both-VLOOKUP(AE57,boc_trpr_oc,11,TRUE)*boc_rr_oc_both-VLOOKUP(AE57,mortt,2,FALSE))+SUM(AI56,AK56,AM56)*boc_tr_both_path+SUM(AJ56,AL56,AN56)*boc_tr_both_vus</f>
        <v>1.6883581752191392E-3</v>
      </c>
      <c r="AI57" s="289">
        <f>AI56*(1-VLOOKUP(AE57,boc_trpr_bc,11,TRUE)*boc_rr_bc_hip-VLOOKUP(AE57,boc_trpr_oc,11,TRUE)*boc_rr_oc_hip-boc_tr_mast_path-boc_tr_ooph_path-boc_tr_both_path-VLOOKUP(AE57,mortt,2,FALSE))</f>
        <v>-4.3173955066201438E-49</v>
      </c>
      <c r="AJ57" s="289">
        <f>AJ56*(1-VLOOKUP(AE57,boc_trpr_bc,11,TRUE)*boc_rr_bc_hiv-VLOOKUP(AE57,boc_trpr_oc,11,TRUE)*boc_rr_oc_hiv-boc_tr_mast_vus-boc_tr_ooph_vus-boc_tr_both_vus-VLOOKUP(AE57,mortt,2,FALSE))</f>
        <v>9.3298176954717565E-8</v>
      </c>
      <c r="AK57" s="289">
        <f>AK56*(1-VLOOKUP(AE57,boc_trpr_bc,11,TRUE)*boc_rr_bc_modp-VLOOKUP(AE57,boc_trpr_oc,11,TRUE)*boc_rr_oc_modp-boc_tr_mast_path-boc_tr_ooph_path-boc_tr_both_path-VLOOKUP(AE57,mortt,2,FALSE))</f>
        <v>-8.3190948631924381E-44</v>
      </c>
      <c r="AL57" s="289">
        <f>AL56*(1-VLOOKUP(AE57,boc_trpr_bc,11,TRUE)*boc_rr_bc_modv-VLOOKUP(AE57,boc_trpr_oc,11,TRUE)*boc_rr_oc_modv-boc_tr_mast_vus-boc_tr_ooph_vus-boc_tr_both_vus-VLOOKUP(AE57,mortt,2,FALSE))</f>
        <v>1.1862654811694408E-7</v>
      </c>
      <c r="AM57" s="289">
        <f>AM56*(1-VLOOKUP(AE57,boc_trpr_bc,11,TRUE)*boc_rr_bc_lop-VLOOKUP(AE57,boc_trpr_oc,11,TRUE)*boc_rr_oc_lop-boc_tr_mast_path-boc_tr_ooph_path-boc_tr_both_path-VLOOKUP(AE57,mortt,2,FALSE))</f>
        <v>7.5808445299495738E-42</v>
      </c>
      <c r="AN57" s="289">
        <f>AN56*(1-VLOOKUP(AE57,boc_trpr_bc,11,TRUE)*boc_rr_bc_lov-VLOOKUP(AE57,boc_trpr_oc,11,TRUE)*boc_rr_oc_lov-boc_tr_mast_vus-boc_tr_ooph_vus-boc_tr_both_vus-VLOOKUP(AE57,mortt,2,FALSE))</f>
        <v>2.5969595796793077E-8</v>
      </c>
      <c r="AO57" s="260">
        <f>AO56*(1-VLOOKUP(AE57,boc_trpr_bc,11,TRUE)*boc_rr_bc_np-VLOOKUP(AE57,boc_trpr_oc,11,TRUE)*boc_rr_oc_np-VLOOKUP(AE57,mortt,2,FALSE))</f>
        <v>6.0760144689134189E-2</v>
      </c>
      <c r="AP57" s="260">
        <f>AF56*VLOOKUP(AE57,boc_trpr_bc,11,TRUE)*boc_rr_bc_mast+AG56*VLOOKUP(AE57,boc_trpr_bc,11,TRUE)*boc_rr_bc_ooph+AH56*VLOOKUP(AE57,boc_trpr_bc,11,TRUE)*boc_rr_bc_both+AI56*VLOOKUP(AE57,boc_trpr_bc,11,TRUE)*boc_rr_bc_hip+AJ56*VLOOKUP(AE57,boc_trpr_bc,11,TRUE)*boc_rr_bc_hiv+AK56*VLOOKUP(AE57,boc_trpr_bc,11,TRUE)*boc_rr_bc_modp+AL56*VLOOKUP(AE57,boc_trpr_bc,11,TRUE)*boc_rr_bc_modv+AM56*VLOOKUP(AE57,boc_trpr_bc,11,TRUE)*boc_rr_bc_lop+AN56*VLOOKUP(AE57,boc_trpr_bc,11,TRUE)*boc_rr_bc_lov+AO56*VLOOKUP(AE57,boc_trpr_bc,11,TRUE)*boc_rr_bc_np</f>
        <v>3.3285914740651659E-4</v>
      </c>
      <c r="AQ57" s="260">
        <f>AF56*VLOOKUP(AE57,boc_trpr_oc,11,TRUE)*boc_rr_oc_mast+AG56*VLOOKUP(AE57,boc_trpr_oc,11,TRUE)*boc_rr_oc_ooph+AH56*VLOOKUP(AE57,boc_trpr_oc,11,TRUE)*boc_rr_oc_both+AI56*VLOOKUP(AE57,boc_trpr_oc,11,TRUE)*boc_rr_oc_hip+AJ56*VLOOKUP(AE57,boc_trpr_oc,11,TRUE)*boc_rr_oc_hiv+AK56*VLOOKUP(AE57,boc_trpr_oc,11,TRUE)*boc_rr_oc_modp+AL56*VLOOKUP(AE57,boc_trpr_oc,11,TRUE)*boc_rr_oc_modv+AM56*VLOOKUP(AE57,boc_trpr_oc,11,TRUE)*boc_rr_oc_lop+AN56*VLOOKUP(AE57,boc_trpr_oc,11,TRUE)*boc_rr_oc_lov+AO56*VLOOKUP(AE57,boc_trpr_oc,11,TRUE)*boc_rr_oc_np</f>
        <v>3.8667597916551415E-5</v>
      </c>
      <c r="AR57" s="260">
        <f>AP56*(1-VLOOKUP(AE57,boc_trpr_bc_death,20,TRUE))+AQ56*(1-VLOOKUP(AE57,boc_trpr_oc_death,20,TRUE))+AR56*(1-VLOOKUP(AE57,mortt,2,FALSE)*boc_rr_death_pc)</f>
        <v>5.4901186668386837E-3</v>
      </c>
      <c r="AS57" s="260">
        <f>AS56+SUM(AF56:AO56)*VLOOKUP(AE57,mortt,2,FALSE)+AP56*VLOOKUP(AE57,boc_trpr_bc_death,20,TRUE)+AQ56*VLOOKUP(AE57,boc_trpr_bc_death,20,TRUE)+AR56*VLOOKUP(AE57,mortt,2,FALSE)*boc_rr_death_pc</f>
        <v>0.92844203971258943</v>
      </c>
      <c r="AT57" s="260">
        <f t="shared" si="52"/>
        <v>1.0000039812321662</v>
      </c>
      <c r="AU57" s="118">
        <f>(boc_cost_mast*SUM(AI57,AK57,AM57)*(boc_tr_mast_path+boc_tr_both_path)+SUM(AJ57,AL57,AN57)*(boc_tr_mast_vus+boc_tr_both_vus)+AP57*boc_cost_bc+AQ57*boc_cost_oc+AR57*boc_cost_pc+(AP57*VLOOKUP(AE57,boc_trpr_bc_death,20,TRUE)+AQ57*VLOOKUP(AE57,boc_trpr_oc_death,TRUE)*boc_cost_death))/((1+discount)^AD57)</f>
        <v>63.143778007206805</v>
      </c>
      <c r="AV57" s="35">
        <f t="shared" si="45"/>
        <v>1.49219903013943E-2</v>
      </c>
      <c r="AW57" s="35">
        <f t="shared" si="46"/>
        <v>1.5847453744536319E-2</v>
      </c>
      <c r="AY57" s="12">
        <v>51</v>
      </c>
      <c r="AZ57" s="12">
        <f t="shared" si="47"/>
        <v>96</v>
      </c>
      <c r="BA57" s="260">
        <f>BA56*(1-VLOOKUP(AZ57,boc_trpr_bc,11,TRUE)*boc_rr_bc_mast-VLOOKUP(AZ57,boc_trpr_oc,11,TRUE)*boc_rr_oc_mast-VLOOKUP(AZ57,mortt,2,FALSE))</f>
        <v>7.6845837957497678E-4</v>
      </c>
      <c r="BB57" s="260">
        <f>BB56*(1-VLOOKUP(AZ57,boc_trpr_bc,11,TRUE)*boc_rr_bc_ooph-VLOOKUP(AZ57,boc_trpr_oc,11,TRUE)*boc_rr_oc_ooph-VLOOKUP(AZ57,mortt,2,FALSE))</f>
        <v>7.2307917234694515E-4</v>
      </c>
      <c r="BC57" s="260">
        <f>BC56*(1-VLOOKUP(AZ57,boc_trpr_bc,11,TRUE)*boc_rr_bc_both-VLOOKUP(AZ57,boc_trpr_oc,11,TRUE)*boc_rr_oc_both-VLOOKUP(AZ57,mortt,2,FALSE))</f>
        <v>7.8748969250841405E-4</v>
      </c>
      <c r="BD57" s="289">
        <f>BD56*(1-VLOOKUP(AZ57,boc_trpr_bc,11,TRUE)*boc_rr_bc_hip-VLOOKUP(AZ57,boc_trpr_oc,11,TRUE)*boc_rr_oc_hip-VLOOKUP(AZ57,mortt,2,FALSE))</f>
        <v>1.213672149586279E-5</v>
      </c>
      <c r="BE57" s="289">
        <f>BE56*(1-VLOOKUP(AZ57,boc_trpr_bc,11,TRUE)*boc_rr_bc_hiv-VLOOKUP(AZ57,boc_trpr_oc,11,TRUE)*boc_rr_oc_hiv-VLOOKUP(AZ57,mortt,2,FALSE))</f>
        <v>6.5708620296003461E-4</v>
      </c>
      <c r="BF57" s="289">
        <f>BF56*(1-VLOOKUP(AZ57,boc_trpr_bc,11,TRUE)*boc_rr_bc_modp-VLOOKUP(AZ57,boc_trpr_oc,11,TRUE)*boc_rr_oc_modp-VLOOKUP(AZ57,mortt,2,FALSE))</f>
        <v>1.2980056776860197E-4</v>
      </c>
      <c r="BG57" s="289">
        <f>BG56*(1-VLOOKUP(AZ57,boc_trpr_bc,11,TRUE)*boc_rr_bc_modv-VLOOKUP(AZ57,boc_trpr_oc,11,TRUE)*boc_rr_oc_modv-VLOOKUP(AZ57,mortt,2,FALSE))</f>
        <v>8.354704305771237E-4</v>
      </c>
      <c r="BH57" s="289">
        <f>BH56*(1-VLOOKUP(AZ57,boc_trpr_bc,11,TRUE)*boc_rr_bc_lop-VLOOKUP(AZ57,boc_trpr_oc,11,TRUE)*boc_rr_oc_lop-VLOOKUP(AZ57,mortt,2,FALSE))</f>
        <v>5.8512071955926621E-5</v>
      </c>
      <c r="BI57" s="289">
        <f>BI56*(1-VLOOKUP(AZ57,boc_trpr_bc,11,TRUE)*boc_rr_bc_lov-VLOOKUP(AZ57,boc_trpr_oc,11,TRUE)*boc_rr_oc_lov-VLOOKUP(AZ57,mortt,2,FALSE))</f>
        <v>1.8290028435179171E-4</v>
      </c>
      <c r="BJ57" s="260">
        <f>BJ56*(1-VLOOKUP(AZ57,boc_trpr_bc,11,TRUE)*boc_rr_bc_np-VLOOKUP(AZ57,boc_trpr_oc,11,TRUE)*boc_rr_oc_np-VLOOKUP(AZ57,mortt,2,FALSE))</f>
        <v>6.0760144689134189E-2</v>
      </c>
      <c r="BK57" s="260">
        <f>BA56*VLOOKUP(AZ57,boc_trpr_bc,11,TRUE)*boc_rr_bc_mast+BB56*VLOOKUP(AZ57,boc_trpr_bc,11,TRUE)*boc_rr_bc_ooph+BC56*VLOOKUP(AZ57,boc_trpr_bc,11,TRUE)*boc_rr_bc_both+BD56*VLOOKUP(AZ57,boc_trpr_bc,11,TRUE)*boc_rr_bc_hip+BE56*VLOOKUP(AZ57,boc_trpr_bc,11,TRUE)*boc_rr_bc_hiv+BF56*VLOOKUP(AZ57,boc_trpr_bc,11,TRUE)*boc_rr_bc_modp+BG56*VLOOKUP(AZ57,boc_trpr_bc,11,TRUE)*boc_rr_bc_modv+BH56*VLOOKUP(AZ57,boc_trpr_bc,11,TRUE)*boc_rr_bc_lop+BI56*VLOOKUP(AZ57,boc_trpr_bc,11,TRUE)*boc_rr_bc_lov+BJ56*VLOOKUP(AZ57,boc_trpr_bc,11,TRUE)*boc_rr_bc_np</f>
        <v>3.4488600940688681E-4</v>
      </c>
      <c r="BL57" s="260">
        <f>BA56*VLOOKUP(AZ57,boc_trpr_oc,11,TRUE)*boc_rr_oc_mast+BB56*VLOOKUP(AZ57,boc_trpr_oc,11,TRUE)*boc_rr_oc_ooph+BC56*VLOOKUP(AZ57,boc_trpr_oc,11,TRUE)*boc_rr_oc_both+BD56*VLOOKUP(AZ57,boc_trpr_oc,11,TRUE)*boc_rr_oc_hip+BE56*VLOOKUP(AZ57,boc_trpr_oc,11,TRUE)*boc_rr_oc_hiv+BF56*VLOOKUP(AZ57,boc_trpr_oc,11,TRUE)*boc_rr_oc_modp+BG56*VLOOKUP(AZ57,boc_trpr_oc,11,TRUE)*boc_rr_oc_modv+BH56*VLOOKUP(AZ57,boc_trpr_oc,11,TRUE)*boc_rr_oc_lop+BI56*VLOOKUP(AZ57,boc_trpr_oc,11,TRUE)*boc_rr_oc_lov+BJ56*VLOOKUP(AZ57,boc_trpr_oc,11,TRUE)*boc_rr_oc_np</f>
        <v>3.9650565088984484E-5</v>
      </c>
      <c r="BM57" s="260">
        <f>BK56*(1-VLOOKUP(AZ57,boc_trpr_bc_death,20,TRUE))+BL56*(1-VLOOKUP(AZ57,boc_trpr_oc_death,20,TRUE))+BM56*(1-VLOOKUP(AZ57,mortt,2,FALSE)*boc_rr_death_pc)</f>
        <v>5.7659980274177708E-3</v>
      </c>
      <c r="BN57" s="260">
        <f>BN56+SUM(BA56:BJ56)*VLOOKUP(AZ57,mortt,2,FALSE)+BK56*VLOOKUP(AZ57,boc_trpr_bc_death,20,TRUE)+BL56*VLOOKUP(AZ57,boc_trpr_bc_death,20,TRUE)+BM56*VLOOKUP(AZ57,mortt,2,FALSE)*boc_rr_death_pc</f>
        <v>0.92893855553243543</v>
      </c>
      <c r="BO57" s="260">
        <f t="shared" si="41"/>
        <v>1.0000041683470229</v>
      </c>
      <c r="BP57" s="118">
        <f>(boc_cost_mast*SUM(BD57,BF57,BH57)*(boc_tr_mast_path+boc_tr_both_path)+SUM(BE57,BG57,BI57)*(boc_tr_mast_vus+boc_tr_both_vus)+BK57*boc_cost_bc+BL57*boc_cost_oc+BM57*boc_cost_pc+(BK57*VLOOKUP(AZ57,boc_trpr_bc_death,20,TRUE)+BL57*VLOOKUP(AZ57,boc_trpr_oc_death,TRUE)*boc_cost_death))/((1+discount)^AY57)</f>
        <v>65.322080421267614</v>
      </c>
      <c r="BQ57" s="35">
        <f t="shared" si="48"/>
        <v>1.4805096199739366E-2</v>
      </c>
      <c r="BR57" s="35">
        <f t="shared" si="49"/>
        <v>1.5737493770036817E-2</v>
      </c>
      <c r="BS57" s="35"/>
      <c r="BU57" s="33">
        <v>18</v>
      </c>
      <c r="BV57" t="str">
        <f>$M$95</f>
        <v>boc_rr_bc_modp</v>
      </c>
      <c r="BW57" s="35">
        <f>$F$95</f>
        <v>4</v>
      </c>
      <c r="BX57" s="35">
        <f>$G$95</f>
        <v>6</v>
      </c>
      <c r="BY57" s="311">
        <v>-7.5292950540610946</v>
      </c>
      <c r="BZ57" s="311">
        <v>-7.5771006603222304</v>
      </c>
      <c r="CA57" s="311">
        <f t="shared" si="57"/>
        <v>4.7805606261135836E-2</v>
      </c>
      <c r="CD57" s="138">
        <v>52</v>
      </c>
      <c r="CE57" s="291">
        <v>3.7829999999999999E-3</v>
      </c>
    </row>
    <row r="58" spans="2:83" ht="15" customHeight="1" x14ac:dyDescent="0.2">
      <c r="B58" s="37" t="s">
        <v>7</v>
      </c>
      <c r="C58" s="35">
        <f>IF(psa,J58,IF(owsa_low=L58,F58,IF(owsa_high=L58,G58,IF(ISNUMBER(D58),D58,E58))))</f>
        <v>5</v>
      </c>
      <c r="D58" s="158"/>
      <c r="E58" s="35">
        <v>5</v>
      </c>
      <c r="F58" s="35">
        <f>MAX(0,IF(ISNUMBER(D58),D58,E58)*(1-owsa_boc))</f>
        <v>4</v>
      </c>
      <c r="G58" s="35">
        <f>IF(ISNUMBER(D58),D58,E58)*(1+owsa_boc)</f>
        <v>6</v>
      </c>
      <c r="H58" s="69">
        <f>(LN(G58)-LN(F58))/(2*z)</f>
        <v>0.10343687723509756</v>
      </c>
      <c r="I58" s="48"/>
      <c r="J58" s="35">
        <f ca="1">_xlfn.LOGNORM.INV(RAND(),LN(IF(ISNUMBER(D58),D58,E58))-(H58^2)/2,H58)</f>
        <v>5.2220385460043532</v>
      </c>
      <c r="K58" s="12" t="s">
        <v>213</v>
      </c>
      <c r="L58" s="40">
        <v>9</v>
      </c>
      <c r="M58" s="247" t="s">
        <v>198</v>
      </c>
      <c r="N58" s="39" t="s">
        <v>48</v>
      </c>
      <c r="S58" s="9" t="s">
        <v>11</v>
      </c>
      <c r="T58" s="251">
        <f>boc_path_high_path</f>
        <v>9.4143645999999997E-2</v>
      </c>
      <c r="U58" s="9" t="s">
        <v>8</v>
      </c>
      <c r="V58" s="250">
        <f>boc_unk_int_ooph</f>
        <v>0.01</v>
      </c>
      <c r="Y58" s="261">
        <f>R63*T58*V58</f>
        <v>3.6921564632588055E-5</v>
      </c>
      <c r="AD58" s="12">
        <v>52</v>
      </c>
      <c r="AE58" s="12">
        <f t="shared" si="44"/>
        <v>97</v>
      </c>
      <c r="AF58" s="260">
        <f>AF57*(1-VLOOKUP(AE58,boc_trpr_bc,11,TRUE)*boc_rr_bc_mast-VLOOKUP(AE58,boc_trpr_oc,11,TRUE)*boc_rr_oc_mast-VLOOKUP(AE58,mortt,2,FALSE))+SUM(AI57,AK57,AM57)*boc_tr_mast_path+SUM(AJ57,AL57,AN57)*boc_tr_mast_vus</f>
        <v>1.265567617271114E-3</v>
      </c>
      <c r="AG58" s="260">
        <f>AG57*(1-VLOOKUP(AE58,boc_trpr_bc,11,TRUE)*boc_rr_bc_ooph-VLOOKUP(AE58,boc_trpr_oc,11,TRUE)*boc_rr_oc_ooph-VLOOKUP(AE58,mortt,2,FALSE))+SUM(AI57,AK57,AM57)*boc_tr_ooph_path+SUM(AJ57,AL57,AN57)*boc_tr_ooph_vus</f>
        <v>1.1658804839253518E-3</v>
      </c>
      <c r="AH58" s="260">
        <f>AH57*(1-VLOOKUP(AE58,boc_trpr_bc,11,TRUE)*boc_rr_bc_both-VLOOKUP(AE58,boc_trpr_oc,11,TRUE)*boc_rr_oc_both-VLOOKUP(AE58,mortt,2,FALSE))+SUM(AI57,AK57,AM57)*boc_tr_both_path+SUM(AJ57,AL57,AN57)*boc_tr_both_vus</f>
        <v>1.2645833771793955E-3</v>
      </c>
      <c r="AI58" s="289">
        <f>AI57*(1-VLOOKUP(AE58,boc_trpr_bc,11,TRUE)*boc_rr_bc_hip-VLOOKUP(AE58,boc_trpr_oc,11,TRUE)*boc_rr_oc_hip-boc_tr_mast_path-boc_tr_ooph_path-boc_tr_both_path-VLOOKUP(AE58,mortt,2,FALSE))</f>
        <v>3.0040288771255357E-50</v>
      </c>
      <c r="AJ58" s="289">
        <f>AJ57*(1-VLOOKUP(AE58,boc_trpr_bc,11,TRUE)*boc_rr_bc_hiv-VLOOKUP(AE58,boc_trpr_oc,11,TRUE)*boc_rr_oc_hiv-boc_tr_mast_vus-boc_tr_ooph_vus-boc_tr_both_vus-VLOOKUP(AE58,mortt,2,FALSE))</f>
        <v>5.5440257109902907E-8</v>
      </c>
      <c r="AK58" s="289">
        <f>AK57*(1-VLOOKUP(AE58,boc_trpr_bc,11,TRUE)*boc_rr_bc_modp-VLOOKUP(AE58,boc_trpr_oc,11,TRUE)*boc_rr_oc_modp-boc_tr_mast_path-boc_tr_ooph_path-boc_tr_both_path-VLOOKUP(AE58,mortt,2,FALSE))</f>
        <v>1.9696193191269546E-45</v>
      </c>
      <c r="AL58" s="289">
        <f>AL57*(1-VLOOKUP(AE58,boc_trpr_bc,11,TRUE)*boc_rr_bc_modv-VLOOKUP(AE58,boc_trpr_oc,11,TRUE)*boc_rr_oc_modv-boc_tr_mast_vus-boc_tr_ooph_vus-boc_tr_both_vus-VLOOKUP(AE58,mortt,2,FALSE))</f>
        <v>7.0491048617762974E-8</v>
      </c>
      <c r="AM58" s="289">
        <f>AM57*(1-VLOOKUP(AE58,boc_trpr_bc,11,TRUE)*boc_rr_bc_lop-VLOOKUP(AE58,boc_trpr_oc,11,TRUE)*boc_rr_oc_lop-boc_tr_mast_path-boc_tr_ooph_path-boc_tr_both_path-VLOOKUP(AE58,mortt,2,FALSE))</f>
        <v>-5.7686932620800435E-44</v>
      </c>
      <c r="AN58" s="289">
        <f>AN57*(1-VLOOKUP(AE58,boc_trpr_bc,11,TRUE)*boc_rr_bc_lov-VLOOKUP(AE58,boc_trpr_oc,11,TRUE)*boc_rr_oc_lov-boc_tr_mast_vus-boc_tr_ooph_vus-boc_tr_both_vus-VLOOKUP(AE58,mortt,2,FALSE))</f>
        <v>1.5431824232892062E-8</v>
      </c>
      <c r="AO58" s="260">
        <f>AO57*(1-VLOOKUP(AE58,boc_trpr_bc,11,TRUE)*boc_rr_bc_np-VLOOKUP(AE58,boc_trpr_oc,11,TRUE)*boc_rr_oc_np-VLOOKUP(AE58,mortt,2,FALSE))</f>
        <v>4.5247206203402668E-2</v>
      </c>
      <c r="AP58" s="260">
        <f>AF57*VLOOKUP(AE58,boc_trpr_bc,11,TRUE)*boc_rr_bc_mast+AG57*VLOOKUP(AE58,boc_trpr_bc,11,TRUE)*boc_rr_bc_ooph+AH57*VLOOKUP(AE58,boc_trpr_bc,11,TRUE)*boc_rr_bc_both+AI57*VLOOKUP(AE58,boc_trpr_bc,11,TRUE)*boc_rr_bc_hip+AJ57*VLOOKUP(AE58,boc_trpr_bc,11,TRUE)*boc_rr_bc_hiv+AK57*VLOOKUP(AE58,boc_trpr_bc,11,TRUE)*boc_rr_bc_modp+AL57*VLOOKUP(AE58,boc_trpr_bc,11,TRUE)*boc_rr_bc_modv+AM57*VLOOKUP(AE58,boc_trpr_bc,11,TRUE)*boc_rr_bc_lop+AN57*VLOOKUP(AE58,boc_trpr_bc,11,TRUE)*boc_rr_bc_lov+AO57*VLOOKUP(AE58,boc_trpr_bc,11,TRUE)*boc_rr_bc_np</f>
        <v>2.5468648479424767E-4</v>
      </c>
      <c r="AQ58" s="260">
        <f>AF57*VLOOKUP(AE58,boc_trpr_oc,11,TRUE)*boc_rr_oc_mast+AG57*VLOOKUP(AE58,boc_trpr_oc,11,TRUE)*boc_rr_oc_ooph+AH57*VLOOKUP(AE58,boc_trpr_oc,11,TRUE)*boc_rr_oc_both+AI57*VLOOKUP(AE58,boc_trpr_oc,11,TRUE)*boc_rr_oc_hip+AJ57*VLOOKUP(AE58,boc_trpr_oc,11,TRUE)*boc_rr_oc_hiv+AK57*VLOOKUP(AE58,boc_trpr_oc,11,TRUE)*boc_rr_oc_modp+AL57*VLOOKUP(AE58,boc_trpr_oc,11,TRUE)*boc_rr_oc_modv+AM57*VLOOKUP(AE58,boc_trpr_oc,11,TRUE)*boc_rr_oc_lop+AN57*VLOOKUP(AE58,boc_trpr_oc,11,TRUE)*boc_rr_oc_lov+AO57*VLOOKUP(AE58,boc_trpr_oc,11,TRUE)*boc_rr_oc_np</f>
        <v>2.9589536476754805E-5</v>
      </c>
      <c r="AR58" s="260">
        <f>AP57*(1-VLOOKUP(AE58,boc_trpr_bc_death,20,TRUE))+AQ57*(1-VLOOKUP(AE58,boc_trpr_oc_death,20,TRUE))+AR57*(1-VLOOKUP(AE58,mortt,2,FALSE)*boc_rr_death_pc)</f>
        <v>3.7964690327967404E-3</v>
      </c>
      <c r="AS58" s="260">
        <f>AS57+SUM(AF57:AO57)*VLOOKUP(AE58,mortt,2,FALSE)+AP57*VLOOKUP(AE58,boc_trpr_bc_death,20,TRUE)+AQ57*VLOOKUP(AE58,boc_trpr_bc_death,20,TRUE)+AR57*VLOOKUP(AE58,mortt,2,FALSE)*boc_rr_death_pc</f>
        <v>0.94697988382962528</v>
      </c>
      <c r="AT58" s="260">
        <f t="shared" si="52"/>
        <v>1.0000040079286014</v>
      </c>
      <c r="AU58" s="118">
        <f>(boc_cost_mast*SUM(AI58,AK58,AM58)*(boc_tr_mast_path+boc_tr_both_path)+SUM(AJ58,AL58,AN58)*(boc_tr_mast_vus+boc_tr_both_vus)+AP58*boc_cost_bc+AQ58*boc_cost_oc+AR58*boc_cost_pc+(AP58*VLOOKUP(AE58,boc_trpr_bc_death,20,TRUE)+AQ58*VLOOKUP(AE58,boc_trpr_oc_death,TRUE)*boc_cost_death))/((1+discount)^AD58)</f>
        <v>46.23823440813625</v>
      </c>
      <c r="AV58" s="35">
        <f t="shared" si="45"/>
        <v>1.0740024438135567E-2</v>
      </c>
      <c r="AW58" s="35">
        <f t="shared" si="46"/>
        <v>1.1400003647598918E-2</v>
      </c>
      <c r="AY58" s="12">
        <v>52</v>
      </c>
      <c r="AZ58" s="12">
        <f t="shared" si="47"/>
        <v>97</v>
      </c>
      <c r="BA58" s="260">
        <f>BA57*(1-VLOOKUP(AZ58,boc_trpr_bc,11,TRUE)*boc_rr_bc_mast-VLOOKUP(AZ58,boc_trpr_oc,11,TRUE)*boc_rr_oc_mast-VLOOKUP(AZ58,mortt,2,FALSE))</f>
        <v>5.7510968793192863E-4</v>
      </c>
      <c r="BB58" s="260">
        <f>BB57*(1-VLOOKUP(AZ58,boc_trpr_bc,11,TRUE)*boc_rr_bc_ooph-VLOOKUP(AZ58,boc_trpr_oc,11,TRUE)*boc_rr_oc_ooph-VLOOKUP(AZ58,mortt,2,FALSE))</f>
        <v>5.4021199346641359E-4</v>
      </c>
      <c r="BC58" s="260">
        <f>BC57*(1-VLOOKUP(AZ58,boc_trpr_bc,11,TRUE)*boc_rr_bc_both-VLOOKUP(AZ58,boc_trpr_oc,11,TRUE)*boc_rr_oc_both-VLOOKUP(AZ58,mortt,2,FALSE))</f>
        <v>5.8982567946562676E-4</v>
      </c>
      <c r="BD58" s="289">
        <f>BD57*(1-VLOOKUP(AZ58,boc_trpr_bc,11,TRUE)*boc_rr_bc_hip-VLOOKUP(AZ58,boc_trpr_oc,11,TRUE)*boc_rr_oc_hip-VLOOKUP(AZ58,mortt,2,FALSE))</f>
        <v>8.258072233390191E-6</v>
      </c>
      <c r="BE58" s="289">
        <f>BE57*(1-VLOOKUP(AZ58,boc_trpr_bc,11,TRUE)*boc_rr_bc_hiv-VLOOKUP(AZ58,boc_trpr_oc,11,TRUE)*boc_rr_oc_hiv-VLOOKUP(AZ58,mortt,2,FALSE))</f>
        <v>4.8902102110053611E-4</v>
      </c>
      <c r="BF58" s="289">
        <f>BF57*(1-VLOOKUP(AZ58,boc_trpr_bc,11,TRUE)*boc_rr_bc_modp-VLOOKUP(AZ58,boc_trpr_oc,11,TRUE)*boc_rr_oc_modp-VLOOKUP(AZ58,mortt,2,FALSE))</f>
        <v>9.4277282532439602E-5</v>
      </c>
      <c r="BG58" s="289">
        <f>BG57*(1-VLOOKUP(AZ58,boc_trpr_bc,11,TRUE)*boc_rr_bc_modv-VLOOKUP(AZ58,boc_trpr_oc,11,TRUE)*boc_rr_oc_modv-VLOOKUP(AZ58,mortt,2,FALSE))</f>
        <v>6.2177930569785411E-4</v>
      </c>
      <c r="BH58" s="289">
        <f>BH57*(1-VLOOKUP(AZ58,boc_trpr_bc,11,TRUE)*boc_rr_bc_lop-VLOOKUP(AZ58,boc_trpr_oc,11,TRUE)*boc_rr_oc_lop-VLOOKUP(AZ58,mortt,2,FALSE))</f>
        <v>4.3438802525751331E-5</v>
      </c>
      <c r="BI58" s="289">
        <f>BI57*(1-VLOOKUP(AZ58,boc_trpr_bc,11,TRUE)*boc_rr_bc_lov-VLOOKUP(AZ58,boc_trpr_oc,11,TRUE)*boc_rr_oc_lov-VLOOKUP(AZ58,mortt,2,FALSE))</f>
        <v>1.3611925408017072E-4</v>
      </c>
      <c r="BJ58" s="260">
        <f>BJ57*(1-VLOOKUP(AZ58,boc_trpr_bc,11,TRUE)*boc_rr_bc_np-VLOOKUP(AZ58,boc_trpr_oc,11,TRUE)*boc_rr_oc_np-VLOOKUP(AZ58,mortt,2,FALSE))</f>
        <v>4.5247206203402668E-2</v>
      </c>
      <c r="BK58" s="260">
        <f>BA57*VLOOKUP(AZ58,boc_trpr_bc,11,TRUE)*boc_rr_bc_mast+BB57*VLOOKUP(AZ58,boc_trpr_bc,11,TRUE)*boc_rr_bc_ooph+BC57*VLOOKUP(AZ58,boc_trpr_bc,11,TRUE)*boc_rr_bc_both+BD57*VLOOKUP(AZ58,boc_trpr_bc,11,TRUE)*boc_rr_bc_hip+BE57*VLOOKUP(AZ58,boc_trpr_bc,11,TRUE)*boc_rr_bc_hiv+BF57*VLOOKUP(AZ58,boc_trpr_bc,11,TRUE)*boc_rr_bc_modp+BG57*VLOOKUP(AZ58,boc_trpr_bc,11,TRUE)*boc_rr_bc_modv+BH57*VLOOKUP(AZ58,boc_trpr_bc,11,TRUE)*boc_rr_bc_lop+BI57*VLOOKUP(AZ58,boc_trpr_bc,11,TRUE)*boc_rr_bc_lov+BJ57*VLOOKUP(AZ58,boc_trpr_bc,11,TRUE)*boc_rr_bc_np</f>
        <v>2.6373987121960289E-4</v>
      </c>
      <c r="BL58" s="260">
        <f>BA57*VLOOKUP(AZ58,boc_trpr_oc,11,TRUE)*boc_rr_oc_mast+BB57*VLOOKUP(AZ58,boc_trpr_oc,11,TRUE)*boc_rr_oc_ooph+BC57*VLOOKUP(AZ58,boc_trpr_oc,11,TRUE)*boc_rr_oc_both+BD57*VLOOKUP(AZ58,boc_trpr_oc,11,TRUE)*boc_rr_oc_hip+BE57*VLOOKUP(AZ58,boc_trpr_oc,11,TRUE)*boc_rr_oc_hiv+BF57*VLOOKUP(AZ58,boc_trpr_oc,11,TRUE)*boc_rr_oc_modp+BG57*VLOOKUP(AZ58,boc_trpr_oc,11,TRUE)*boc_rr_oc_modv+BH57*VLOOKUP(AZ58,boc_trpr_oc,11,TRUE)*boc_rr_oc_lop+BI57*VLOOKUP(AZ58,boc_trpr_oc,11,TRUE)*boc_rr_oc_lov+BJ57*VLOOKUP(AZ58,boc_trpr_oc,11,TRUE)*boc_rr_oc_np</f>
        <v>3.0322969223044798E-5</v>
      </c>
      <c r="BM58" s="260">
        <f>BK57*(1-VLOOKUP(AZ58,boc_trpr_bc_death,20,TRUE))+BL57*(1-VLOOKUP(AZ58,boc_trpr_oc_death,20,TRUE))+BM57*(1-VLOOKUP(AZ58,mortt,2,FALSE)*boc_rr_death_pc)</f>
        <v>3.9815889075745991E-3</v>
      </c>
      <c r="BN58" s="260">
        <f>BN57+SUM(BA57:BJ57)*VLOOKUP(AZ58,mortt,2,FALSE)+BK57*VLOOKUP(AZ58,boc_trpr_bc_death,20,TRUE)+BL57*VLOOKUP(AZ58,boc_trpr_bc_death,20,TRUE)+BM57*VLOOKUP(AZ58,mortt,2,FALSE)*boc_rr_death_pc</f>
        <v>0.94738329667165311</v>
      </c>
      <c r="BO58" s="260">
        <f t="shared" si="41"/>
        <v>1.0000041957221071</v>
      </c>
      <c r="BP58" s="118">
        <f>(boc_cost_mast*SUM(BD58,BF58,BH58)*(boc_tr_mast_path+boc_tr_both_path)+SUM(BE58,BG58,BI58)*(boc_tr_mast_vus+boc_tr_both_vus)+BK58*boc_cost_bc+BL58*boc_cost_oc+BM58*boc_cost_pc+(BK58*VLOOKUP(AZ58,boc_trpr_bc_death,20,TRUE)+BL58*VLOOKUP(AZ58,boc_trpr_oc_death,TRUE)*boc_cost_death))/((1+discount)^AY58)</f>
        <v>47.778173670536624</v>
      </c>
      <c r="BQ58" s="35">
        <f t="shared" si="48"/>
        <v>1.064911481231055E-2</v>
      </c>
      <c r="BR58" s="35">
        <f t="shared" si="49"/>
        <v>1.1313264722775981E-2</v>
      </c>
      <c r="BS58" s="35"/>
      <c r="BU58" s="33">
        <v>10</v>
      </c>
      <c r="BV58" t="str">
        <f>$M$96</f>
        <v>boc_rr_bc_modv</v>
      </c>
      <c r="BW58" s="35">
        <f>$F$96</f>
        <v>0.88000000000000012</v>
      </c>
      <c r="BX58" s="35">
        <f>$G$96</f>
        <v>1.32</v>
      </c>
      <c r="BY58" s="311">
        <v>-7.5310037728004318</v>
      </c>
      <c r="BZ58" s="311">
        <v>-7.5753919415851669</v>
      </c>
      <c r="CA58" s="311">
        <f t="shared" si="57"/>
        <v>4.4388168784735171E-2</v>
      </c>
      <c r="CD58" s="138">
        <v>53</v>
      </c>
      <c r="CE58" s="291">
        <v>4.0889999999999998E-3</v>
      </c>
    </row>
    <row r="59" spans="2:83" ht="15" customHeight="1" x14ac:dyDescent="0.2">
      <c r="B59" s="37" t="s">
        <v>8</v>
      </c>
      <c r="C59" s="35">
        <f>IF(psa,J59,IF(owsa_low=L59,F59,IF(owsa_high=L59,G59,IF(ISNUMBER(D59),D59,E59))))</f>
        <v>3</v>
      </c>
      <c r="D59" s="158"/>
      <c r="E59" s="35">
        <v>3</v>
      </c>
      <c r="F59" s="35">
        <f>MAX(0,IF(ISNUMBER(D59),D59,E59)*(1-owsa_boc))</f>
        <v>2.4000000000000004</v>
      </c>
      <c r="G59" s="35">
        <f>IF(ISNUMBER(D59),D59,E59)*(1+owsa_boc)</f>
        <v>3.5999999999999996</v>
      </c>
      <c r="H59" s="69">
        <f t="shared" ref="H59:H60" si="58">(LN(G59)-LN(F59))/(2*z)</f>
        <v>0.10343687723509751</v>
      </c>
      <c r="I59" s="48"/>
      <c r="J59" s="35">
        <f ca="1">_xlfn.LOGNORM.INV(RAND(),LN(IF(ISNUMBER(D59),D59,E59))-(H59^2)/2,H59)</f>
        <v>3.1816748805809132</v>
      </c>
      <c r="K59" s="12" t="s">
        <v>213</v>
      </c>
      <c r="L59" s="40">
        <v>10</v>
      </c>
      <c r="M59" s="247" t="s">
        <v>199</v>
      </c>
      <c r="N59" s="39" t="s">
        <v>48</v>
      </c>
      <c r="S59" s="11"/>
      <c r="U59" s="9" t="s">
        <v>6</v>
      </c>
      <c r="V59" s="250">
        <f>boc_unk_int_both</f>
        <v>0.01</v>
      </c>
      <c r="Z59" s="261">
        <f>R63*T58*V59</f>
        <v>3.6921564632588055E-5</v>
      </c>
      <c r="AD59" s="12">
        <v>53</v>
      </c>
      <c r="AE59" s="12">
        <f t="shared" si="44"/>
        <v>98</v>
      </c>
      <c r="AF59" s="260">
        <f>AF58*(1-VLOOKUP(AE59,boc_trpr_bc,11,TRUE)*boc_rr_bc_mast-VLOOKUP(AE59,boc_trpr_oc,11,TRUE)*boc_rr_oc_mast-VLOOKUP(AE59,mortt,2,FALSE))+SUM(AI58,AK58,AM58)*boc_tr_mast_path+SUM(AJ58,AL58,AN58)*boc_tr_mast_vus</f>
        <v>9.2044941200362853E-4</v>
      </c>
      <c r="AG59" s="260">
        <f>AG58*(1-VLOOKUP(AE59,boc_trpr_bc,11,TRUE)*boc_rr_bc_ooph-VLOOKUP(AE59,boc_trpr_oc,11,TRUE)*boc_rr_oc_ooph-VLOOKUP(AE59,mortt,2,FALSE))+SUM(AI58,AK58,AM58)*boc_tr_ooph_path+SUM(AJ58,AL58,AN58)*boc_tr_ooph_vus</f>
        <v>8.4643789568788976E-4</v>
      </c>
      <c r="AH59" s="260">
        <f>AH58*(1-VLOOKUP(AE59,boc_trpr_bc,11,TRUE)*boc_rr_bc_both-VLOOKUP(AE59,boc_trpr_oc,11,TRUE)*boc_rr_oc_both-VLOOKUP(AE59,mortt,2,FALSE))+SUM(AI58,AK58,AM58)*boc_tr_both_path+SUM(AJ58,AL58,AN58)*boc_tr_both_vus</f>
        <v>9.2049325326491141E-4</v>
      </c>
      <c r="AI59" s="289">
        <f>AI58*(1-VLOOKUP(AE59,boc_trpr_bc,11,TRUE)*boc_rr_bc_hip-VLOOKUP(AE59,boc_trpr_oc,11,TRUE)*boc_rr_oc_hip-boc_tr_mast_path-boc_tr_ooph_path-boc_tr_both_path-VLOOKUP(AE59,mortt,2,FALSE))</f>
        <v>-2.7239829264336957E-51</v>
      </c>
      <c r="AJ59" s="289">
        <f>AJ58*(1-VLOOKUP(AE59,boc_trpr_bc,11,TRUE)*boc_rr_bc_hiv-VLOOKUP(AE59,boc_trpr_oc,11,TRUE)*boc_rr_oc_hiv-boc_tr_mast_vus-boc_tr_ooph_vus-boc_tr_both_vus-VLOOKUP(AE59,mortt,2,FALSE))</f>
        <v>3.1774396128078936E-8</v>
      </c>
      <c r="AK59" s="289">
        <f>AK58*(1-VLOOKUP(AE59,boc_trpr_bc,11,TRUE)*boc_rr_bc_modp-VLOOKUP(AE59,boc_trpr_oc,11,TRUE)*boc_rr_oc_modp-boc_tr_mast_path-boc_tr_ooph_path-boc_tr_both_path-VLOOKUP(AE59,mortt,2,FALSE))</f>
        <v>-8.8187508563455064E-47</v>
      </c>
      <c r="AL59" s="289">
        <f>AL58*(1-VLOOKUP(AE59,boc_trpr_bc,11,TRUE)*boc_rr_bc_modv-VLOOKUP(AE59,boc_trpr_oc,11,TRUE)*boc_rr_oc_modv-boc_tr_mast_vus-boc_tr_ooph_vus-boc_tr_both_vus-VLOOKUP(AE59,mortt,2,FALSE))</f>
        <v>4.0400434973170245E-8</v>
      </c>
      <c r="AM59" s="289">
        <f>AM58*(1-VLOOKUP(AE59,boc_trpr_bc,11,TRUE)*boc_rr_bc_lop-VLOOKUP(AE59,boc_trpr_oc,11,TRUE)*boc_rr_oc_lop-boc_tr_mast_path-boc_tr_ooph_path-boc_tr_both_path-VLOOKUP(AE59,mortt,2,FALSE))</f>
        <v>1.6560513938508533E-45</v>
      </c>
      <c r="AN59" s="289">
        <f>AN58*(1-VLOOKUP(AE59,boc_trpr_bc,11,TRUE)*boc_rr_bc_lov-VLOOKUP(AE59,boc_trpr_oc,11,TRUE)*boc_rr_oc_lov-boc_tr_mast_vus-boc_tr_ooph_vus-boc_tr_both_vus-VLOOKUP(AE59,mortt,2,FALSE))</f>
        <v>8.8444195917557318E-9</v>
      </c>
      <c r="AO59" s="260">
        <f>AO58*(1-VLOOKUP(AE59,boc_trpr_bc,11,TRUE)*boc_rr_bc_np-VLOOKUP(AE59,boc_trpr_oc,11,TRUE)*boc_rr_oc_np-VLOOKUP(AE59,mortt,2,FALSE))</f>
        <v>3.274031838560381E-2</v>
      </c>
      <c r="AP59" s="260">
        <f>AF58*VLOOKUP(AE59,boc_trpr_bc,11,TRUE)*boc_rr_bc_mast+AG58*VLOOKUP(AE59,boc_trpr_bc,11,TRUE)*boc_rr_bc_ooph+AH58*VLOOKUP(AE59,boc_trpr_bc,11,TRUE)*boc_rr_bc_both+AI58*VLOOKUP(AE59,boc_trpr_bc,11,TRUE)*boc_rr_bc_hip+AJ58*VLOOKUP(AE59,boc_trpr_bc,11,TRUE)*boc_rr_bc_hiv+AK58*VLOOKUP(AE59,boc_trpr_bc,11,TRUE)*boc_rr_bc_modp+AL58*VLOOKUP(AE59,boc_trpr_bc,11,TRUE)*boc_rr_bc_modv+AM58*VLOOKUP(AE59,boc_trpr_bc,11,TRUE)*boc_rr_bc_lop+AN58*VLOOKUP(AE59,boc_trpr_bc,11,TRUE)*boc_rr_bc_lov+AO58*VLOOKUP(AE59,boc_trpr_bc,11,TRUE)*boc_rr_bc_np</f>
        <v>1.8967323218234826E-4</v>
      </c>
      <c r="AQ59" s="260">
        <f>AF58*VLOOKUP(AE59,boc_trpr_oc,11,TRUE)*boc_rr_oc_mast+AG58*VLOOKUP(AE59,boc_trpr_oc,11,TRUE)*boc_rr_oc_ooph+AH58*VLOOKUP(AE59,boc_trpr_oc,11,TRUE)*boc_rr_oc_both+AI58*VLOOKUP(AE59,boc_trpr_oc,11,TRUE)*boc_rr_oc_hip+AJ58*VLOOKUP(AE59,boc_trpr_oc,11,TRUE)*boc_rr_oc_hiv+AK58*VLOOKUP(AE59,boc_trpr_oc,11,TRUE)*boc_rr_oc_modp+AL58*VLOOKUP(AE59,boc_trpr_oc,11,TRUE)*boc_rr_oc_modv+AM58*VLOOKUP(AE59,boc_trpr_oc,11,TRUE)*boc_rr_oc_lop+AN58*VLOOKUP(AE59,boc_trpr_oc,11,TRUE)*boc_rr_oc_lov+AO58*VLOOKUP(AE59,boc_trpr_oc,11,TRUE)*boc_rr_oc_np</f>
        <v>2.2038668170093037E-5</v>
      </c>
      <c r="AR59" s="260">
        <f>AP58*(1-VLOOKUP(AE59,boc_trpr_bc_death,20,TRUE))+AQ58*(1-VLOOKUP(AE59,boc_trpr_oc_death,20,TRUE))+AR58*(1-VLOOKUP(AE59,mortt,2,FALSE)*boc_rr_death_pc)</f>
        <v>2.5324782802854649E-3</v>
      </c>
      <c r="AS59" s="260">
        <f>AS58+SUM(AF58:AO58)*VLOOKUP(AE59,mortt,2,FALSE)+AP58*VLOOKUP(AE59,boc_trpr_bc_death,20,TRUE)+AQ58*VLOOKUP(AE59,boc_trpr_bc_death,20,TRUE)+AR58*VLOOKUP(AE59,mortt,2,FALSE)*boc_rr_death_pc</f>
        <v>0.96183205821101792</v>
      </c>
      <c r="AT59" s="260">
        <f t="shared" si="52"/>
        <v>1.0000040283574667</v>
      </c>
      <c r="AU59" s="118">
        <f>(boc_cost_mast*SUM(AI59,AK59,AM59)*(boc_tr_mast_path+boc_tr_both_path)+SUM(AJ59,AL59,AN59)*(boc_tr_mast_vus+boc_tr_both_vus)+AP59*boc_cost_bc+AQ59*boc_cost_oc+AR59*boc_cost_pc+(AP59*VLOOKUP(AE59,boc_trpr_bc_death,20,TRUE)+AQ59*VLOOKUP(AE59,boc_trpr_oc_death,TRUE)*boc_cost_death))/((1+discount)^AD59)</f>
        <v>32.958626374999639</v>
      </c>
      <c r="AV59" s="35">
        <f t="shared" si="45"/>
        <v>7.510494435576727E-3</v>
      </c>
      <c r="AW59" s="35">
        <f t="shared" si="46"/>
        <v>7.9675689747485175E-3</v>
      </c>
      <c r="AY59" s="12">
        <v>53</v>
      </c>
      <c r="AZ59" s="12">
        <f t="shared" si="47"/>
        <v>98</v>
      </c>
      <c r="BA59" s="260">
        <f>BA58*(1-VLOOKUP(AZ59,boc_trpr_bc,11,TRUE)*boc_rr_bc_mast-VLOOKUP(AZ59,boc_trpr_oc,11,TRUE)*boc_rr_oc_mast-VLOOKUP(AZ59,mortt,2,FALSE))</f>
        <v>4.1827501107422532E-4</v>
      </c>
      <c r="BB59" s="260">
        <f>BB58*(1-VLOOKUP(AZ59,boc_trpr_bc,11,TRUE)*boc_rr_bc_ooph-VLOOKUP(AZ59,boc_trpr_oc,11,TRUE)*boc_rr_oc_ooph-VLOOKUP(AZ59,mortt,2,FALSE))</f>
        <v>3.9219464685836175E-4</v>
      </c>
      <c r="BC59" s="260">
        <f>BC58*(1-VLOOKUP(AZ59,boc_trpr_bc,11,TRUE)*boc_rr_bc_both-VLOOKUP(AZ59,boc_trpr_oc,11,TRUE)*boc_rr_oc_both-VLOOKUP(AZ59,mortt,2,FALSE))</f>
        <v>4.2933222068857889E-4</v>
      </c>
      <c r="BD59" s="289">
        <f>BD58*(1-VLOOKUP(AZ59,boc_trpr_bc,11,TRUE)*boc_rr_bc_hip-VLOOKUP(AZ59,boc_trpr_oc,11,TRUE)*boc_rr_oc_hip-VLOOKUP(AZ59,mortt,2,FALSE))</f>
        <v>5.4447315541850272E-6</v>
      </c>
      <c r="BE59" s="289">
        <f>BE58*(1-VLOOKUP(AZ59,boc_trpr_bc,11,TRUE)*boc_rr_bc_hiv-VLOOKUP(AZ59,boc_trpr_oc,11,TRUE)*boc_rr_oc_hiv-VLOOKUP(AZ59,mortt,2,FALSE))</f>
        <v>3.5362507918813954E-4</v>
      </c>
      <c r="BF59" s="289">
        <f>BF58*(1-VLOOKUP(AZ59,boc_trpr_bc,11,TRUE)*boc_rr_bc_modp-VLOOKUP(AZ59,boc_trpr_oc,11,TRUE)*boc_rr_oc_modp-VLOOKUP(AZ59,mortt,2,FALSE))</f>
        <v>6.6486801708661968E-5</v>
      </c>
      <c r="BG59" s="289">
        <f>BG58*(1-VLOOKUP(AZ59,boc_trpr_bc,11,TRUE)*boc_rr_bc_modv-VLOOKUP(AZ59,boc_trpr_oc,11,TRUE)*boc_rr_oc_modv-VLOOKUP(AZ59,mortt,2,FALSE))</f>
        <v>4.4962638972067094E-4</v>
      </c>
      <c r="BH59" s="289">
        <f>BH58*(1-VLOOKUP(AZ59,boc_trpr_bc,11,TRUE)*boc_rr_bc_lop-VLOOKUP(AZ59,boc_trpr_oc,11,TRUE)*boc_rr_oc_lop-VLOOKUP(AZ59,mortt,2,FALSE))</f>
        <v>3.1332079627713668E-5</v>
      </c>
      <c r="BI59" s="289">
        <f>BI58*(1-VLOOKUP(AZ59,boc_trpr_bc,11,TRUE)*boc_rr_bc_lov-VLOOKUP(AZ59,boc_trpr_oc,11,TRUE)*boc_rr_oc_lov-VLOOKUP(AZ59,mortt,2,FALSE))</f>
        <v>9.843172364002512E-5</v>
      </c>
      <c r="BJ59" s="260">
        <f>BJ58*(1-VLOOKUP(AZ59,boc_trpr_bc,11,TRUE)*boc_rr_bc_np-VLOOKUP(AZ59,boc_trpr_oc,11,TRUE)*boc_rr_oc_np-VLOOKUP(AZ59,mortt,2,FALSE))</f>
        <v>3.274031838560381E-2</v>
      </c>
      <c r="BK59" s="260">
        <f>BA58*VLOOKUP(AZ59,boc_trpr_bc,11,TRUE)*boc_rr_bc_mast+BB58*VLOOKUP(AZ59,boc_trpr_bc,11,TRUE)*boc_rr_bc_ooph+BC58*VLOOKUP(AZ59,boc_trpr_bc,11,TRUE)*boc_rr_bc_both+BD58*VLOOKUP(AZ59,boc_trpr_bc,11,TRUE)*boc_rr_bc_hip+BE58*VLOOKUP(AZ59,boc_trpr_bc,11,TRUE)*boc_rr_bc_hiv+BF58*VLOOKUP(AZ59,boc_trpr_bc,11,TRUE)*boc_rr_bc_modp+BG58*VLOOKUP(AZ59,boc_trpr_bc,11,TRUE)*boc_rr_bc_modv+BH58*VLOOKUP(AZ59,boc_trpr_bc,11,TRUE)*boc_rr_bc_lop+BI58*VLOOKUP(AZ59,boc_trpr_bc,11,TRUE)*boc_rr_bc_lov+BJ58*VLOOKUP(AZ59,boc_trpr_bc,11,TRUE)*boc_rr_bc_np</f>
        <v>1.9630720507634482E-4</v>
      </c>
      <c r="BL59" s="260">
        <f>BA58*VLOOKUP(AZ59,boc_trpr_oc,11,TRUE)*boc_rr_oc_mast+BB58*VLOOKUP(AZ59,boc_trpr_oc,11,TRUE)*boc_rr_oc_ooph+BC58*VLOOKUP(AZ59,boc_trpr_oc,11,TRUE)*boc_rr_oc_both+BD58*VLOOKUP(AZ59,boc_trpr_oc,11,TRUE)*boc_rr_oc_hip+BE58*VLOOKUP(AZ59,boc_trpr_oc,11,TRUE)*boc_rr_oc_hiv+BF58*VLOOKUP(AZ59,boc_trpr_oc,11,TRUE)*boc_rr_oc_modp+BG58*VLOOKUP(AZ59,boc_trpr_oc,11,TRUE)*boc_rr_oc_modv+BH58*VLOOKUP(AZ59,boc_trpr_oc,11,TRUE)*boc_rr_oc_lop+BI58*VLOOKUP(AZ59,boc_trpr_oc,11,TRUE)*boc_rr_oc_lov+BJ58*VLOOKUP(AZ59,boc_trpr_oc,11,TRUE)*boc_rr_oc_np</f>
        <v>2.2571215453091489E-5</v>
      </c>
      <c r="BM59" s="260">
        <f>BK58*(1-VLOOKUP(AZ59,boc_trpr_bc_death,20,TRUE))+BL58*(1-VLOOKUP(AZ59,boc_trpr_oc_death,20,TRUE))+BM58*(1-VLOOKUP(AZ59,mortt,2,FALSE)*boc_rr_death_pc)</f>
        <v>2.6518942420108572E-3</v>
      </c>
      <c r="BN59" s="260">
        <f>BN58+SUM(BA58:BJ58)*VLOOKUP(AZ59,mortt,2,FALSE)+BK58*VLOOKUP(AZ59,boc_trpr_bc_death,20,TRUE)+BL58*VLOOKUP(AZ59,boc_trpr_bc_death,20,TRUE)+BM58*VLOOKUP(AZ59,mortt,2,FALSE)*boc_rr_death_pc</f>
        <v>0.96214837692513588</v>
      </c>
      <c r="BO59" s="260">
        <f t="shared" si="41"/>
        <v>1.0000042166573406</v>
      </c>
      <c r="BP59" s="118">
        <f>(boc_cost_mast*SUM(BD59,BF59,BH59)*(boc_tr_mast_path+boc_tr_both_path)+SUM(BE59,BG59,BI59)*(boc_tr_mast_vus+boc_tr_both_vus)+BK59*boc_cost_bc+BL59*boc_cost_oc+BM59*boc_cost_pc+(BK59*VLOOKUP(AZ59,boc_trpr_bc_death,20,TRUE)+BL59*VLOOKUP(AZ59,boc_trpr_oc_death,TRUE)*boc_cost_death))/((1+discount)^AY59)</f>
        <v>34.017350214377984</v>
      </c>
      <c r="BQ59" s="35">
        <f t="shared" si="48"/>
        <v>7.4421246089666345E-3</v>
      </c>
      <c r="BR59" s="35">
        <f t="shared" si="49"/>
        <v>7.9015373509666396E-3</v>
      </c>
      <c r="BS59" s="35"/>
      <c r="BU59" s="33">
        <v>37</v>
      </c>
      <c r="BV59" t="str">
        <f>$M$98</f>
        <v>boc_rr_bc_lop</v>
      </c>
      <c r="BW59" s="35">
        <f>$F$98</f>
        <v>1.2000000000000002</v>
      </c>
      <c r="BX59" s="35">
        <f>$G$98</f>
        <v>1.7999999999999998</v>
      </c>
      <c r="BY59" s="311">
        <v>-7.5400520070515995</v>
      </c>
      <c r="BZ59" s="311">
        <v>-7.5662000529564466</v>
      </c>
      <c r="CA59" s="311">
        <f t="shared" si="57"/>
        <v>2.6148045904847095E-2</v>
      </c>
      <c r="CD59" s="138">
        <v>54</v>
      </c>
      <c r="CE59" s="291">
        <v>4.4190000000000002E-3</v>
      </c>
    </row>
    <row r="60" spans="2:83" ht="15" customHeight="1" x14ac:dyDescent="0.2">
      <c r="B60" s="37" t="s">
        <v>6</v>
      </c>
      <c r="C60" s="35">
        <f>IF(psa,J60,IF(owsa_low=L60,F60,IF(owsa_high=L60,G60,IF(ISNUMBER(D60),D60,E60))))</f>
        <v>2</v>
      </c>
      <c r="D60" s="158"/>
      <c r="E60" s="35">
        <v>2</v>
      </c>
      <c r="F60" s="35">
        <f>MAX(0,IF(ISNUMBER(D60),D60,E60)*(1-owsa_boc))</f>
        <v>1.6</v>
      </c>
      <c r="G60" s="35">
        <f>IF(ISNUMBER(D60),D60,E60)*(1+owsa_boc)</f>
        <v>2.4</v>
      </c>
      <c r="H60" s="69">
        <f t="shared" si="58"/>
        <v>0.10343687723509752</v>
      </c>
      <c r="I60" s="48"/>
      <c r="J60" s="35">
        <f ca="1">_xlfn.LOGNORM.INV(RAND(),LN(IF(ISNUMBER(D60),D60,E60))-(H60^2)/2,H60)</f>
        <v>2.218863289534811</v>
      </c>
      <c r="K60" s="12" t="s">
        <v>213</v>
      </c>
      <c r="L60" s="40">
        <v>11</v>
      </c>
      <c r="M60" s="247" t="s">
        <v>200</v>
      </c>
      <c r="N60" s="39" t="s">
        <v>48</v>
      </c>
      <c r="S60" s="11"/>
      <c r="U60" s="9" t="s">
        <v>9</v>
      </c>
      <c r="V60" s="250">
        <f>1-SUM(V57,V58,V59)</f>
        <v>0.97</v>
      </c>
      <c r="X60" s="12"/>
      <c r="Y60" s="12"/>
      <c r="Z60" s="12"/>
      <c r="AA60" s="261">
        <f>R63*T58*V60</f>
        <v>3.5813917693610412E-3</v>
      </c>
      <c r="AD60" s="12">
        <v>54</v>
      </c>
      <c r="AE60" s="12">
        <f t="shared" si="44"/>
        <v>99</v>
      </c>
      <c r="AF60" s="260">
        <f>AF59*(1-VLOOKUP(AE60,boc_trpr_bc,11,TRUE)*boc_rr_bc_mast-VLOOKUP(AE60,boc_trpr_oc,11,TRUE)*boc_rr_oc_mast-VLOOKUP(AE60,mortt,2,FALSE))+SUM(AI59,AK59,AM59)*boc_tr_mast_path+SUM(AJ59,AL59,AN59)*boc_tr_mast_vus</f>
        <v>6.4954224656323003E-4</v>
      </c>
      <c r="AG60" s="260">
        <f>AG59*(1-VLOOKUP(AE60,boc_trpr_bc,11,TRUE)*boc_rr_bc_ooph-VLOOKUP(AE60,boc_trpr_oc,11,TRUE)*boc_rr_oc_ooph-VLOOKUP(AE60,mortt,2,FALSE))+SUM(AI59,AK59,AM59)*boc_tr_ooph_path+SUM(AJ59,AL59,AN59)*boc_tr_ooph_vus</f>
        <v>5.9621828834348866E-4</v>
      </c>
      <c r="AH60" s="260">
        <f>AH59*(1-VLOOKUP(AE60,boc_trpr_bc,11,TRUE)*boc_rr_bc_both-VLOOKUP(AE60,boc_trpr_oc,11,TRUE)*boc_rr_oc_both-VLOOKUP(AE60,mortt,2,FALSE))+SUM(AI59,AK59,AM59)*boc_tr_both_path+SUM(AJ59,AL59,AN59)*boc_tr_both_vus</f>
        <v>6.5012615363881402E-4</v>
      </c>
      <c r="AI60" s="289">
        <f>AI59*(1-VLOOKUP(AE60,boc_trpr_bc,11,TRUE)*boc_rr_bc_hip-VLOOKUP(AE60,boc_trpr_oc,11,TRUE)*boc_rr_oc_hip-boc_tr_mast_path-boc_tr_ooph_path-boc_tr_both_path-VLOOKUP(AE60,mortt,2,FALSE))</f>
        <v>3.0589961753340212E-52</v>
      </c>
      <c r="AJ60" s="289">
        <f>AJ59*(1-VLOOKUP(AE60,boc_trpr_bc,11,TRUE)*boc_rr_bc_hiv-VLOOKUP(AE60,boc_trpr_oc,11,TRUE)*boc_rr_oc_hiv-boc_tr_mast_vus-boc_tr_ooph_vus-boc_tr_both_vus-VLOOKUP(AE60,mortt,2,FALSE))</f>
        <v>1.7523820484115627E-8</v>
      </c>
      <c r="AK60" s="289">
        <f>AK59*(1-VLOOKUP(AE60,boc_trpr_bc,11,TRUE)*boc_rr_bc_modp-VLOOKUP(AE60,boc_trpr_oc,11,TRUE)*boc_rr_oc_modp-boc_tr_mast_path-boc_tr_ooph_path-boc_tr_both_path-VLOOKUP(AE60,mortt,2,FALSE))</f>
        <v>5.8551994749594744E-48</v>
      </c>
      <c r="AL60" s="289">
        <f>AL59*(1-VLOOKUP(AE60,boc_trpr_bc,11,TRUE)*boc_rr_bc_modv-VLOOKUP(AE60,boc_trpr_oc,11,TRUE)*boc_rr_oc_modv-boc_tr_mast_vus-boc_tr_ooph_vus-boc_tr_both_vus-VLOOKUP(AE60,mortt,2,FALSE))</f>
        <v>2.2281146338588989E-8</v>
      </c>
      <c r="AM60" s="289">
        <f>AM59*(1-VLOOKUP(AE60,boc_trpr_bc,11,TRUE)*boc_rr_bc_lop-VLOOKUP(AE60,boc_trpr_oc,11,TRUE)*boc_rr_oc_lop-boc_tr_mast_path-boc_tr_ooph_path-boc_tr_both_path-VLOOKUP(AE60,mortt,2,FALSE))</f>
        <v>-8.3346690964832839E-47</v>
      </c>
      <c r="AN60" s="289">
        <f>AN59*(1-VLOOKUP(AE60,boc_trpr_bc,11,TRUE)*boc_rr_bc_lov-VLOOKUP(AE60,boc_trpr_oc,11,TRUE)*boc_rr_oc_lov-boc_tr_mast_vus-boc_tr_ooph_vus-boc_tr_both_vus-VLOOKUP(AE60,mortt,2,FALSE))</f>
        <v>4.8777644927501938E-9</v>
      </c>
      <c r="AO60" s="260">
        <f>AO59*(1-VLOOKUP(AE60,boc_trpr_bc,11,TRUE)*boc_rr_bc_np-VLOOKUP(AE60,boc_trpr_oc,11,TRUE)*boc_rr_oc_np-VLOOKUP(AE60,mortt,2,FALSE))</f>
        <v>2.2982610734167304E-2</v>
      </c>
      <c r="AP60" s="260">
        <f>AF59*VLOOKUP(AE60,boc_trpr_bc,11,TRUE)*boc_rr_bc_mast+AG59*VLOOKUP(AE60,boc_trpr_bc,11,TRUE)*boc_rr_bc_ooph+AH59*VLOOKUP(AE60,boc_trpr_bc,11,TRUE)*boc_rr_bc_both+AI59*VLOOKUP(AE60,boc_trpr_bc,11,TRUE)*boc_rr_bc_hip+AJ59*VLOOKUP(AE60,boc_trpr_bc,11,TRUE)*boc_rr_bc_hiv+AK59*VLOOKUP(AE60,boc_trpr_bc,11,TRUE)*boc_rr_bc_modp+AL59*VLOOKUP(AE60,boc_trpr_bc,11,TRUE)*boc_rr_bc_modv+AM59*VLOOKUP(AE60,boc_trpr_bc,11,TRUE)*boc_rr_bc_lop+AN59*VLOOKUP(AE60,boc_trpr_bc,11,TRUE)*boc_rr_bc_lov+AO59*VLOOKUP(AE60,boc_trpr_bc,11,TRUE)*boc_rr_bc_np</f>
        <v>1.3725409636466395E-4</v>
      </c>
      <c r="AQ60" s="260">
        <f>AF59*VLOOKUP(AE60,boc_trpr_oc,11,TRUE)*boc_rr_oc_mast+AG59*VLOOKUP(AE60,boc_trpr_oc,11,TRUE)*boc_rr_oc_ooph+AH59*VLOOKUP(AE60,boc_trpr_oc,11,TRUE)*boc_rr_oc_both+AI59*VLOOKUP(AE60,boc_trpr_oc,11,TRUE)*boc_rr_oc_hip+AJ59*VLOOKUP(AE60,boc_trpr_oc,11,TRUE)*boc_rr_oc_hiv+AK59*VLOOKUP(AE60,boc_trpr_oc,11,TRUE)*boc_rr_oc_modp+AL59*VLOOKUP(AE60,boc_trpr_oc,11,TRUE)*boc_rr_oc_modv+AM59*VLOOKUP(AE60,boc_trpr_oc,11,TRUE)*boc_rr_oc_lop+AN59*VLOOKUP(AE60,boc_trpr_oc,11,TRUE)*boc_rr_oc_lov+AO59*VLOOKUP(AE60,boc_trpr_oc,11,TRUE)*boc_rr_oc_np</f>
        <v>1.5949727494658918E-5</v>
      </c>
      <c r="AR60" s="260">
        <f>AP59*(1-VLOOKUP(AE60,boc_trpr_bc_death,20,TRUE))+AQ59*(1-VLOOKUP(AE60,boc_trpr_oc_death,20,TRUE))+AR59*(1-VLOOKUP(AE60,mortt,2,FALSE)*boc_rr_death_pc)</f>
        <v>1.6292440354930052E-3</v>
      </c>
      <c r="AS60" s="260">
        <f>AS59+SUM(AF59:AO59)*VLOOKUP(AE60,mortt,2,FALSE)+AP59*VLOOKUP(AE60,boc_trpr_bc_death,20,TRUE)+AQ59*VLOOKUP(AE60,boc_trpr_bc_death,20,TRUE)+AR59*VLOOKUP(AE60,mortt,2,FALSE)*boc_rr_death_pc</f>
        <v>0.97334305360835249</v>
      </c>
      <c r="AT60" s="260">
        <f t="shared" si="52"/>
        <v>1.000004043573149</v>
      </c>
      <c r="AU60" s="118">
        <f>(boc_cost_mast*SUM(AI60,AK60,AM60)*(boc_tr_mast_path+boc_tr_both_path)+SUM(AJ60,AL60,AN60)*(boc_tr_mast_vus+boc_tr_both_vus)+AP60*boc_cost_bc+AQ60*boc_cost_oc+AR60*boc_cost_pc+(AP60*VLOOKUP(AE60,boc_trpr_bc_death,20,TRUE)+AQ60*VLOOKUP(AE60,boc_trpr_oc_death,TRUE)*boc_cost_death))/((1+discount)^AD60)</f>
        <v>22.838477287698712</v>
      </c>
      <c r="AV60" s="35">
        <f t="shared" si="45"/>
        <v>5.0955409167693757E-3</v>
      </c>
      <c r="AW60" s="35">
        <f t="shared" si="46"/>
        <v>5.4025682815496863E-3</v>
      </c>
      <c r="AY60" s="12">
        <v>54</v>
      </c>
      <c r="AZ60" s="12">
        <f t="shared" si="47"/>
        <v>99</v>
      </c>
      <c r="BA60" s="260">
        <f>BA59*(1-VLOOKUP(AZ60,boc_trpr_bc,11,TRUE)*boc_rr_bc_mast-VLOOKUP(AZ60,boc_trpr_oc,11,TRUE)*boc_rr_oc_mast-VLOOKUP(AZ60,mortt,2,FALSE))</f>
        <v>2.951662442443303E-4</v>
      </c>
      <c r="BB60" s="260">
        <f>BB59*(1-VLOOKUP(AZ60,boc_trpr_bc,11,TRUE)*boc_rr_bc_ooph-VLOOKUP(AZ60,boc_trpr_oc,11,TRUE)*boc_rr_oc_ooph-VLOOKUP(AZ60,mortt,2,FALSE))</f>
        <v>2.7625421011132577E-4</v>
      </c>
      <c r="BC60" s="260">
        <f>BC59*(1-VLOOKUP(AZ60,boc_trpr_bc,11,TRUE)*boc_rr_bc_both-VLOOKUP(AZ60,boc_trpr_oc,11,TRUE)*boc_rr_oc_both-VLOOKUP(AZ60,mortt,2,FALSE))</f>
        <v>3.0322695475575316E-4</v>
      </c>
      <c r="BD60" s="289">
        <f>BD59*(1-VLOOKUP(AZ60,boc_trpr_bc,11,TRUE)*boc_rr_bc_hip-VLOOKUP(AZ60,boc_trpr_oc,11,TRUE)*boc_rr_oc_hip-VLOOKUP(AZ60,mortt,2,FALSE))</f>
        <v>3.4721126379622635E-6</v>
      </c>
      <c r="BE60" s="289">
        <f>BE59*(1-VLOOKUP(AZ60,boc_trpr_bc,11,TRUE)*boc_rr_bc_hiv-VLOOKUP(AZ60,boc_trpr_oc,11,TRUE)*boc_rr_oc_hiv-VLOOKUP(AZ60,mortt,2,FALSE))</f>
        <v>2.4807067541562672E-4</v>
      </c>
      <c r="BF60" s="289">
        <f>BF59*(1-VLOOKUP(AZ60,boc_trpr_bc,11,TRUE)*boc_rr_bc_modp-VLOOKUP(AZ60,boc_trpr_oc,11,TRUE)*boc_rr_oc_modp-VLOOKUP(AZ60,mortt,2,FALSE))</f>
        <v>4.5450717738999893E-5</v>
      </c>
      <c r="BG60" s="289">
        <f>BG59*(1-VLOOKUP(AZ60,boc_trpr_bc,11,TRUE)*boc_rr_bc_modv-VLOOKUP(AZ60,boc_trpr_oc,11,TRUE)*boc_rr_oc_modv-VLOOKUP(AZ60,mortt,2,FALSE))</f>
        <v>3.1541632295642235E-4</v>
      </c>
      <c r="BH60" s="289">
        <f>BH59*(1-VLOOKUP(AZ60,boc_trpr_bc,11,TRUE)*boc_rr_bc_lop-VLOOKUP(AZ60,boc_trpr_oc,11,TRUE)*boc_rr_oc_lop-VLOOKUP(AZ60,mortt,2,FALSE))</f>
        <v>2.1922161100541237E-5</v>
      </c>
      <c r="BI60" s="289">
        <f>BI59*(1-VLOOKUP(AZ60,boc_trpr_bc,11,TRUE)*boc_rr_bc_lov-VLOOKUP(AZ60,boc_trpr_oc,11,TRUE)*boc_rr_oc_lov-VLOOKUP(AZ60,mortt,2,FALSE))</f>
        <v>6.905060077120321E-5</v>
      </c>
      <c r="BJ60" s="260">
        <f>BJ59*(1-VLOOKUP(AZ60,boc_trpr_bc,11,TRUE)*boc_rr_bc_np-VLOOKUP(AZ60,boc_trpr_oc,11,TRUE)*boc_rr_oc_np-VLOOKUP(AZ60,mortt,2,FALSE))</f>
        <v>2.2982610734167304E-2</v>
      </c>
      <c r="BK60" s="260">
        <f>BA59*VLOOKUP(AZ60,boc_trpr_bc,11,TRUE)*boc_rr_bc_mast+BB59*VLOOKUP(AZ60,boc_trpr_bc,11,TRUE)*boc_rr_bc_ooph+BC59*VLOOKUP(AZ60,boc_trpr_bc,11,TRUE)*boc_rr_bc_both+BD59*VLOOKUP(AZ60,boc_trpr_bc,11,TRUE)*boc_rr_bc_hip+BE59*VLOOKUP(AZ60,boc_trpr_bc,11,TRUE)*boc_rr_bc_hiv+BF59*VLOOKUP(AZ60,boc_trpr_bc,11,TRUE)*boc_rr_bc_modp+BG59*VLOOKUP(AZ60,boc_trpr_bc,11,TRUE)*boc_rr_bc_modv+BH59*VLOOKUP(AZ60,boc_trpr_bc,11,TRUE)*boc_rr_bc_lop+BI59*VLOOKUP(AZ60,boc_trpr_bc,11,TRUE)*boc_rr_bc_lov+BJ59*VLOOKUP(AZ60,boc_trpr_bc,11,TRUE)*boc_rr_bc_np</f>
        <v>1.4197793001873065E-4</v>
      </c>
      <c r="BL60" s="260">
        <f>BA59*VLOOKUP(AZ60,boc_trpr_oc,11,TRUE)*boc_rr_oc_mast+BB59*VLOOKUP(AZ60,boc_trpr_oc,11,TRUE)*boc_rr_oc_ooph+BC59*VLOOKUP(AZ60,boc_trpr_oc,11,TRUE)*boc_rr_oc_both+BD59*VLOOKUP(AZ60,boc_trpr_oc,11,TRUE)*boc_rr_oc_hip+BE59*VLOOKUP(AZ60,boc_trpr_oc,11,TRUE)*boc_rr_oc_hiv+BF59*VLOOKUP(AZ60,boc_trpr_oc,11,TRUE)*boc_rr_oc_modp+BG59*VLOOKUP(AZ60,boc_trpr_oc,11,TRUE)*boc_rr_oc_modv+BH59*VLOOKUP(AZ60,boc_trpr_oc,11,TRUE)*boc_rr_oc_lop+BI59*VLOOKUP(AZ60,boc_trpr_oc,11,TRUE)*boc_rr_oc_lov+BJ59*VLOOKUP(AZ60,boc_trpr_oc,11,TRUE)*boc_rr_oc_np</f>
        <v>1.6325369622650362E-5</v>
      </c>
      <c r="BM60" s="260">
        <f>BK59*(1-VLOOKUP(AZ60,boc_trpr_bc_death,20,TRUE))+BL59*(1-VLOOKUP(AZ60,boc_trpr_oc_death,20,TRUE))+BM59*(1-VLOOKUP(AZ60,mortt,2,FALSE)*boc_rr_death_pc)</f>
        <v>1.7032556090034294E-3</v>
      </c>
      <c r="BN60" s="260">
        <f>BN59+SUM(BA59:BJ59)*VLOOKUP(AZ60,mortt,2,FALSE)+BK59*VLOOKUP(AZ60,boc_trpr_bc_death,20,TRUE)+BL59*VLOOKUP(AZ60,boc_trpr_bc_death,20,TRUE)+BM59*VLOOKUP(AZ60,mortt,2,FALSE)*boc_rr_death_pc</f>
        <v>0.97358203259815357</v>
      </c>
      <c r="BO60" s="260">
        <f t="shared" si="41"/>
        <v>1.0000042322406979</v>
      </c>
      <c r="BP60" s="118">
        <f>(boc_cost_mast*SUM(BD60,BF60,BH60)*(boc_tr_mast_path+boc_tr_both_path)+SUM(BE60,BG60,BI60)*(boc_tr_mast_vus+boc_tr_both_vus)+BK60*boc_cost_bc+BL60*boc_cost_oc+BM60*boc_cost_pc+(BK60*VLOOKUP(AZ60,boc_trpr_bc_death,20,TRUE)+BL60*VLOOKUP(AZ60,boc_trpr_oc_death,TRUE)*boc_cost_death))/((1+discount)^AY60)</f>
        <v>23.545626108813863</v>
      </c>
      <c r="BQ60" s="35">
        <f t="shared" si="48"/>
        <v>5.0459102180688328E-3</v>
      </c>
      <c r="BR60" s="35">
        <f t="shared" si="49"/>
        <v>5.3541343652530838E-3</v>
      </c>
      <c r="BS60" s="35"/>
      <c r="BU60" s="33">
        <v>65</v>
      </c>
      <c r="BV60" t="str">
        <f>$M$99</f>
        <v>boc_rr_bc_lov</v>
      </c>
      <c r="BW60" s="35">
        <f>$F$99</f>
        <v>0.88000000000000012</v>
      </c>
      <c r="BX60" s="35">
        <f>$G$99</f>
        <v>1.32</v>
      </c>
      <c r="BY60" s="311">
        <v>-7.5407539963516683</v>
      </c>
      <c r="BZ60" s="311">
        <v>-7.5656417180357494</v>
      </c>
      <c r="CA60" s="311">
        <f t="shared" si="57"/>
        <v>2.4887721684081043E-2</v>
      </c>
      <c r="CD60" s="138">
        <v>55</v>
      </c>
      <c r="CE60" s="291">
        <v>4.7739999999999996E-3</v>
      </c>
    </row>
    <row r="61" spans="2:83" ht="15" customHeight="1" x14ac:dyDescent="0.2">
      <c r="B61" s="38" t="s">
        <v>212</v>
      </c>
      <c r="H61" s="259"/>
      <c r="L61" s="40"/>
      <c r="M61" s="249"/>
      <c r="S61" s="11"/>
      <c r="AD61" s="12">
        <v>55</v>
      </c>
      <c r="AE61" s="12">
        <f t="shared" si="44"/>
        <v>100</v>
      </c>
      <c r="AF61" s="260">
        <f>AF60*(1-VLOOKUP(AE61,boc_trpr_bc,11,TRUE)*boc_rr_bc_mast-VLOOKUP(AE61,boc_trpr_oc,11,TRUE)*boc_rr_oc_mast-VLOOKUP(AE61,mortt,2,FALSE))+SUM(AI60,AK60,AM60)*boc_tr_mast_path+SUM(AJ60,AL60,AN60)*boc_tr_mast_vus</f>
        <v>-5.1662460185413409E-7</v>
      </c>
      <c r="AG61" s="260">
        <f>AG60*(1-VLOOKUP(AE61,boc_trpr_bc,11,TRUE)*boc_rr_bc_ooph-VLOOKUP(AE61,boc_trpr_oc,11,TRUE)*boc_rr_oc_ooph-VLOOKUP(AE61,mortt,2,FALSE))+SUM(AI60,AK60,AM60)*boc_tr_ooph_path+SUM(AJ60,AL60,AN60)*boc_tr_ooph_vus</f>
        <v>-1.0839491909282124E-6</v>
      </c>
      <c r="AH61" s="260">
        <f>AH60*(1-VLOOKUP(AE61,boc_trpr_bc,11,TRUE)*boc_rr_bc_both-VLOOKUP(AE61,boc_trpr_oc,11,TRUE)*boc_rr_oc_both-VLOOKUP(AE61,mortt,2,FALSE))+SUM(AI60,AK60,AM60)*boc_tr_both_path+SUM(AJ60,AL60,AN60)*boc_tr_both_vus</f>
        <v>-1.566558661386186E-7</v>
      </c>
      <c r="AI61" s="289">
        <f>AI60*(1-VLOOKUP(AE61,boc_trpr_bc,11,TRUE)*boc_rr_bc_hip-VLOOKUP(AE61,boc_trpr_oc,11,TRUE)*boc_rr_oc_hip-boc_tr_mast_path-boc_tr_ooph_path-boc_tr_both_path-VLOOKUP(AE61,mortt,2,FALSE))</f>
        <v>-2.4725102797414934E-52</v>
      </c>
      <c r="AJ61" s="289">
        <f>AJ60*(1-VLOOKUP(AE61,boc_trpr_bc,11,TRUE)*boc_rr_bc_hiv-VLOOKUP(AE61,boc_trpr_oc,11,TRUE)*boc_rr_oc_hiv-boc_tr_mast_vus-boc_tr_ooph_vus-boc_tr_both_vus-VLOOKUP(AE61,mortt,2,FALSE))</f>
        <v>-2.7034611808424541E-9</v>
      </c>
      <c r="AK61" s="289">
        <f>AK60*(1-VLOOKUP(AE61,boc_trpr_bc,11,TRUE)*boc_rr_bc_modp-VLOOKUP(AE61,boc_trpr_oc,11,TRUE)*boc_rr_oc_modp-boc_tr_mast_path-boc_tr_ooph_path-boc_tr_both_path-VLOOKUP(AE61,mortt,2,FALSE))</f>
        <v>-4.5051369492518858E-48</v>
      </c>
      <c r="AL61" s="289">
        <f>AL60*(1-VLOOKUP(AE61,boc_trpr_bc,11,TRUE)*boc_rr_bc_modv-VLOOKUP(AE61,boc_trpr_oc,11,TRUE)*boc_rr_oc_modv-boc_tr_mast_vus-boc_tr_ooph_vus-boc_tr_both_vus-VLOOKUP(AE61,mortt,2,FALSE))</f>
        <v>-3.4373905077175438E-9</v>
      </c>
      <c r="AM61" s="289">
        <f>AM60*(1-VLOOKUP(AE61,boc_trpr_bc,11,TRUE)*boc_rr_bc_lop-VLOOKUP(AE61,boc_trpr_oc,11,TRUE)*boc_rr_oc_lop-boc_tr_mast_path-boc_tr_ooph_path-boc_tr_both_path-VLOOKUP(AE61,mortt,2,FALSE))</f>
        <v>6.2995721463356089E-47</v>
      </c>
      <c r="AN61" s="289">
        <f>AN60*(1-VLOOKUP(AE61,boc_trpr_bc,11,TRUE)*boc_rr_bc_lov-VLOOKUP(AE61,boc_trpr_oc,11,TRUE)*boc_rr_oc_lov-boc_tr_mast_vus-boc_tr_ooph_vus-boc_tr_both_vus-VLOOKUP(AE61,mortt,2,FALSE))</f>
        <v>-7.525098175591892E-10</v>
      </c>
      <c r="AO61" s="260">
        <f>AO60*(1-VLOOKUP(AE61,boc_trpr_bc,11,TRUE)*boc_rr_bc_np-VLOOKUP(AE61,boc_trpr_oc,11,TRUE)*boc_rr_oc_np-VLOOKUP(AE61,mortt,2,FALSE))</f>
        <v>-8.9287515891760139E-5</v>
      </c>
      <c r="AP61" s="260">
        <f>AF60*VLOOKUP(AE61,boc_trpr_bc,11,TRUE)*boc_rr_bc_mast+AG60*VLOOKUP(AE61,boc_trpr_bc,11,TRUE)*boc_rr_bc_ooph+AH60*VLOOKUP(AE61,boc_trpr_bc,11,TRUE)*boc_rr_bc_both+AI60*VLOOKUP(AE61,boc_trpr_bc,11,TRUE)*boc_rr_bc_hip+AJ60*VLOOKUP(AE61,boc_trpr_bc,11,TRUE)*boc_rr_bc_hiv+AK60*VLOOKUP(AE61,boc_trpr_bc,11,TRUE)*boc_rr_bc_modp+AL60*VLOOKUP(AE61,boc_trpr_bc,11,TRUE)*boc_rr_bc_modv+AM60*VLOOKUP(AE61,boc_trpr_bc,11,TRUE)*boc_rr_bc_lop+AN60*VLOOKUP(AE61,boc_trpr_bc,11,TRUE)*boc_rr_bc_lov+AO60*VLOOKUP(AE61,boc_trpr_bc,11,TRUE)*boc_rr_bc_np</f>
        <v>8.0186898798638009E-5</v>
      </c>
      <c r="AQ61" s="260">
        <f>AF60*VLOOKUP(AE61,boc_trpr_oc,11,TRUE)*boc_rr_oc_mast+AG60*VLOOKUP(AE61,boc_trpr_oc,11,TRUE)*boc_rr_oc_ooph+AH60*VLOOKUP(AE61,boc_trpr_oc,11,TRUE)*boc_rr_oc_both+AI60*VLOOKUP(AE61,boc_trpr_oc,11,TRUE)*boc_rr_oc_hip+AJ60*VLOOKUP(AE61,boc_trpr_oc,11,TRUE)*boc_rr_oc_hiv+AK60*VLOOKUP(AE61,boc_trpr_oc,11,TRUE)*boc_rr_oc_modp+AL60*VLOOKUP(AE61,boc_trpr_oc,11,TRUE)*boc_rr_oc_modv+AM60*VLOOKUP(AE61,boc_trpr_oc,11,TRUE)*boc_rr_oc_lop+AN60*VLOOKUP(AE61,boc_trpr_oc,11,TRUE)*boc_rr_oc_lov+AO60*VLOOKUP(AE61,boc_trpr_oc,11,TRUE)*boc_rr_oc_np</f>
        <v>1.0864740113549278E-5</v>
      </c>
      <c r="AR61" s="260">
        <f>AP60*(1-VLOOKUP(AE61,boc_trpr_bc_death,20,TRUE))+AQ60*(1-VLOOKUP(AE61,boc_trpr_oc_death,20,TRUE))+AR60*(1-VLOOKUP(AE61,mortt,2,FALSE)*boc_rr_death_pc)</f>
        <v>-6.6167016006186757E-4</v>
      </c>
      <c r="AS61" s="260">
        <f>AS60+SUM(AF60:AO60)*VLOOKUP(AE61,mortt,2,FALSE)+AP60*VLOOKUP(AE61,boc_trpr_bc_death,20,TRUE)+AQ60*VLOOKUP(AE61,boc_trpr_bc_death,20,TRUE)+AR60*VLOOKUP(AE61,mortt,2,FALSE)*boc_rr_death_pc</f>
        <v>1.0006657336155542</v>
      </c>
      <c r="AT61" s="260">
        <f t="shared" si="52"/>
        <v>1.0000040634554923</v>
      </c>
      <c r="AU61" s="118">
        <f>(boc_cost_mast*SUM(AI61,AK61,AM61)*(boc_tr_mast_path+boc_tr_both_path)+SUM(AJ61,AL61,AN61)*(boc_tr_mast_vus+boc_tr_both_vus)+AP61*boc_cost_bc+AQ61*boc_cost_oc+AR61*boc_cost_pc+(AP61*VLOOKUP(AE61,boc_trpr_bc_death,20,TRUE)+AQ61*VLOOKUP(AE61,boc_trpr_oc_death,TRUE)*boc_cost_death))/((1+discount)^AD61)</f>
        <v>14.445329149095519</v>
      </c>
      <c r="AV61" s="35">
        <f t="shared" si="45"/>
        <v>-1.1335310303633158E-4</v>
      </c>
      <c r="AW61" s="35">
        <f t="shared" si="46"/>
        <v>-1.3099452004362654E-4</v>
      </c>
      <c r="AY61" s="12">
        <v>55</v>
      </c>
      <c r="AZ61" s="12">
        <f t="shared" si="47"/>
        <v>100</v>
      </c>
      <c r="BA61" s="260">
        <f>BA60*(1-VLOOKUP(AZ61,boc_trpr_bc,11,TRUE)*boc_rr_bc_mast-VLOOKUP(AZ61,boc_trpr_oc,11,TRUE)*boc_rr_oc_mast-VLOOKUP(AZ61,mortt,2,FALSE))</f>
        <v>-2.3578079166225083E-7</v>
      </c>
      <c r="BB61" s="260">
        <f>BB60*(1-VLOOKUP(AZ61,boc_trpr_bc,11,TRUE)*boc_rr_bc_ooph-VLOOKUP(AZ61,boc_trpr_oc,11,TRUE)*boc_rr_oc_ooph-VLOOKUP(AZ61,mortt,2,FALSE))</f>
        <v>-5.0327660697330466E-7</v>
      </c>
      <c r="BC61" s="260">
        <f>BC60*(1-VLOOKUP(AZ61,boc_trpr_bc,11,TRUE)*boc_rr_bc_both-VLOOKUP(AZ61,boc_trpr_oc,11,TRUE)*boc_rr_oc_both-VLOOKUP(AZ61,mortt,2,FALSE))</f>
        <v>-7.4108280972115508E-8</v>
      </c>
      <c r="BD61" s="289">
        <f>BD60*(1-VLOOKUP(AZ61,boc_trpr_bc,11,TRUE)*boc_rr_bc_hip-VLOOKUP(AZ61,boc_trpr_oc,11,TRUE)*boc_rr_oc_hip-VLOOKUP(AZ61,mortt,2,FALSE))</f>
        <v>-2.023375298345555E-7</v>
      </c>
      <c r="BE61" s="289">
        <f>BE60*(1-VLOOKUP(AZ61,boc_trpr_bc,11,TRUE)*boc_rr_bc_hiv-VLOOKUP(AZ61,boc_trpr_oc,11,TRUE)*boc_rr_oc_hiv-VLOOKUP(AZ61,mortt,2,FALSE))</f>
        <v>-1.0601309003844535E-6</v>
      </c>
      <c r="BF61" s="289">
        <f>BF60*(1-VLOOKUP(AZ61,boc_trpr_bc,11,TRUE)*boc_rr_bc_modp-VLOOKUP(AZ61,boc_trpr_oc,11,TRUE)*boc_rr_oc_modp-VLOOKUP(AZ61,mortt,2,FALSE))</f>
        <v>-8.8288091578293263E-7</v>
      </c>
      <c r="BG61" s="289">
        <f>BG60*(1-VLOOKUP(AZ61,boc_trpr_bc,11,TRUE)*boc_rr_bc_modv-VLOOKUP(AZ61,boc_trpr_oc,11,TRUE)*boc_rr_oc_modv-VLOOKUP(AZ61,mortt,2,FALSE))</f>
        <v>-1.3479327610629864E-6</v>
      </c>
      <c r="BH61" s="289">
        <f>BH60*(1-VLOOKUP(AZ61,boc_trpr_bc,11,TRUE)*boc_rr_bc_lop-VLOOKUP(AZ61,boc_trpr_oc,11,TRUE)*boc_rr_oc_lop-VLOOKUP(AZ61,mortt,2,FALSE))</f>
        <v>-1.2775149853208487E-7</v>
      </c>
      <c r="BI61" s="289">
        <f>BI60*(1-VLOOKUP(AZ61,boc_trpr_bc,11,TRUE)*boc_rr_bc_lov-VLOOKUP(AZ61,boc_trpr_oc,11,TRUE)*boc_rr_oc_lov-VLOOKUP(AZ61,mortt,2,FALSE))</f>
        <v>-2.9508798428115959E-7</v>
      </c>
      <c r="BJ61" s="260">
        <f>BJ60*(1-VLOOKUP(AZ61,boc_trpr_bc,11,TRUE)*boc_rr_bc_np-VLOOKUP(AZ61,boc_trpr_oc,11,TRUE)*boc_rr_oc_np-VLOOKUP(AZ61,mortt,2,FALSE))</f>
        <v>-8.9287515891760139E-5</v>
      </c>
      <c r="BK61" s="260">
        <f>BA60*VLOOKUP(AZ61,boc_trpr_bc,11,TRUE)*boc_rr_bc_mast+BB60*VLOOKUP(AZ61,boc_trpr_bc,11,TRUE)*boc_rr_bc_ooph+BC60*VLOOKUP(AZ61,boc_trpr_bc,11,TRUE)*boc_rr_bc_both+BD60*VLOOKUP(AZ61,boc_trpr_bc,11,TRUE)*boc_rr_bc_hip+BE60*VLOOKUP(AZ61,boc_trpr_bc,11,TRUE)*boc_rr_bc_hiv+BF60*VLOOKUP(AZ61,boc_trpr_bc,11,TRUE)*boc_rr_bc_modp+BG60*VLOOKUP(AZ61,boc_trpr_bc,11,TRUE)*boc_rr_bc_modv+BH60*VLOOKUP(AZ61,boc_trpr_bc,11,TRUE)*boc_rr_bc_lop+BI60*VLOOKUP(AZ61,boc_trpr_bc,11,TRUE)*boc_rr_bc_lov+BJ60*VLOOKUP(AZ61,boc_trpr_bc,11,TRUE)*boc_rr_bc_np</f>
        <v>8.290273960756344E-5</v>
      </c>
      <c r="BL61" s="260">
        <f>BA60*VLOOKUP(AZ61,boc_trpr_oc,11,TRUE)*boc_rr_oc_mast+BB60*VLOOKUP(AZ61,boc_trpr_oc,11,TRUE)*boc_rr_oc_ooph+BC60*VLOOKUP(AZ61,boc_trpr_oc,11,TRUE)*boc_rr_oc_both+BD60*VLOOKUP(AZ61,boc_trpr_oc,11,TRUE)*boc_rr_oc_hip+BE60*VLOOKUP(AZ61,boc_trpr_oc,11,TRUE)*boc_rr_oc_hiv+BF60*VLOOKUP(AZ61,boc_trpr_oc,11,TRUE)*boc_rr_oc_modp+BG60*VLOOKUP(AZ61,boc_trpr_oc,11,TRUE)*boc_rr_oc_modv+BH60*VLOOKUP(AZ61,boc_trpr_oc,11,TRUE)*boc_rr_oc_lop+BI60*VLOOKUP(AZ61,boc_trpr_oc,11,TRUE)*boc_rr_oc_lov+BJ60*VLOOKUP(AZ61,boc_trpr_oc,11,TRUE)*boc_rr_oc_np</f>
        <v>1.1114063553682515E-5</v>
      </c>
      <c r="BM61" s="260">
        <f>BK60*(1-VLOOKUP(AZ61,boc_trpr_bc_death,20,TRUE))+BL60*(1-VLOOKUP(AZ61,boc_trpr_oc_death,20,TRUE))+BM60*(1-VLOOKUP(AZ61,mortt,2,FALSE)*boc_rr_death_pc)</f>
        <v>-6.9358505140478942E-4</v>
      </c>
      <c r="BN61" s="260">
        <f>BN60+SUM(BA60:BJ60)*VLOOKUP(AZ61,mortt,2,FALSE)+BK60*VLOOKUP(AZ61,boc_trpr_bc_death,20,TRUE)+BL60*VLOOKUP(AZ61,boc_trpr_bc_death,20,TRUE)+BM60*VLOOKUP(AZ61,mortt,2,FALSE)*boc_rr_death_pc</f>
        <v>1.0006978376427078</v>
      </c>
      <c r="BO61" s="260">
        <f t="shared" si="41"/>
        <v>1.0000042525913031</v>
      </c>
      <c r="BP61" s="118">
        <f>(boc_cost_mast*SUM(BD61,BF61,BH61)*(boc_tr_mast_path+boc_tr_both_path)+SUM(BE61,BG61,BI61)*(boc_tr_mast_vus+boc_tr_both_vus)+BK61*boc_cost_bc+BL61*boc_cost_oc+BM61*boc_cost_pc+(BK61*VLOOKUP(AZ61,boc_trpr_bc_death,20,TRUE)+BL61*VLOOKUP(AZ61,boc_trpr_oc_death,TRUE)*boc_cost_death))/((1+discount)^AY61)</f>
        <v>14.762916136387194</v>
      </c>
      <c r="BQ61" s="35">
        <f t="shared" si="48"/>
        <v>-1.1876121354375048E-4</v>
      </c>
      <c r="BR61" s="35">
        <f t="shared" si="49"/>
        <v>-1.3731153863814509E-4</v>
      </c>
      <c r="BS61" s="35"/>
      <c r="BU61" s="33">
        <v>44</v>
      </c>
      <c r="BV61" t="str">
        <f>$M$100</f>
        <v>boc_rr_bc_np</v>
      </c>
      <c r="BW61" s="35">
        <f>$F$100</f>
        <v>0.8</v>
      </c>
      <c r="BX61" s="35">
        <f>$G$100</f>
        <v>1.2</v>
      </c>
      <c r="BY61" s="311">
        <v>-7.5413880468481693</v>
      </c>
      <c r="BZ61" s="311">
        <v>-7.5649618931452096</v>
      </c>
      <c r="CA61" s="311">
        <f t="shared" si="57"/>
        <v>2.3573846297040291E-2</v>
      </c>
      <c r="CD61" s="138">
        <v>56</v>
      </c>
      <c r="CE61" s="291">
        <v>5.1450000000000003E-3</v>
      </c>
    </row>
    <row r="62" spans="2:83" ht="15" customHeight="1" x14ac:dyDescent="0.2">
      <c r="B62" s="37" t="s">
        <v>7</v>
      </c>
      <c r="C62" s="35">
        <f>IF(psa,J62,IF(owsa_low=L62,F62,IF(owsa_high=L62,G62,IF(ISNUMBER(D62),D62,E62))))</f>
        <v>3</v>
      </c>
      <c r="D62" s="158"/>
      <c r="E62" s="35">
        <v>3</v>
      </c>
      <c r="F62" s="35">
        <f>MAX(0,IF(ISNUMBER(D62),D62,E62)*(1-owsa_boc))</f>
        <v>2.4000000000000004</v>
      </c>
      <c r="G62" s="35">
        <f>IF(ISNUMBER(D62),D62,E62)*(1+owsa_boc)</f>
        <v>3.5999999999999996</v>
      </c>
      <c r="H62" s="69">
        <f t="shared" ref="H62:H64" si="59">(LN(G62)-LN(F62))/(2*z)</f>
        <v>0.10343687723509751</v>
      </c>
      <c r="I62" s="48"/>
      <c r="J62" s="35">
        <f ca="1">_xlfn.LOGNORM.INV(RAND(),LN(IF(ISNUMBER(D62),D62,E62))-(H62^2)/2,H62)</f>
        <v>2.9474787841082826</v>
      </c>
      <c r="K62" s="12" t="s">
        <v>213</v>
      </c>
      <c r="L62" s="40">
        <v>12</v>
      </c>
      <c r="M62" s="247" t="s">
        <v>201</v>
      </c>
      <c r="N62" s="39" t="s">
        <v>48</v>
      </c>
      <c r="S62" s="11"/>
      <c r="U62" s="9" t="s">
        <v>7</v>
      </c>
      <c r="V62" s="250">
        <f>boc_unk_int_mast</f>
        <v>0.01</v>
      </c>
      <c r="X62" s="261">
        <f>R63*T63*V62</f>
        <v>1.0634450704658667E-4</v>
      </c>
      <c r="AD62" s="12">
        <v>56</v>
      </c>
      <c r="AE62" s="12">
        <f t="shared" si="44"/>
        <v>101</v>
      </c>
      <c r="AF62" s="260" t="e">
        <f>AF61*(1-VLOOKUP(AE62,boc_trpr_bc,11,TRUE)*boc_rr_bc_mast-VLOOKUP(AE62,boc_trpr_oc,11,TRUE)*boc_rr_oc_mast-VLOOKUP(AE62,mortt,2,FALSE))+SUM(AI61,AK61,AM61)*boc_tr_mast_path+SUM(AJ61,AL61,AN61)*boc_tr_mast_vus</f>
        <v>#N/A</v>
      </c>
      <c r="AG62" s="260" t="e">
        <f>AG61*(1-VLOOKUP(AE62,boc_trpr_bc,11,TRUE)*boc_rr_bc_ooph-VLOOKUP(AE62,boc_trpr_oc,11,TRUE)*boc_rr_oc_ooph-VLOOKUP(AE62,mortt,2,FALSE))+SUM(AI61,AK61,AM61)*boc_tr_ooph_path+SUM(AJ61,AL61,AN61)*boc_tr_ooph_vus</f>
        <v>#N/A</v>
      </c>
      <c r="AH62" s="260" t="e">
        <f>AH61*(1-VLOOKUP(AE62,boc_trpr_bc,11,TRUE)*boc_rr_bc_both-VLOOKUP(AE62,boc_trpr_oc,11,TRUE)*boc_rr_oc_both-VLOOKUP(AE62,mortt,2,FALSE))+SUM(AI61,AK61,AM61)*boc_tr_both_path+SUM(AJ61,AL61,AN61)*boc_tr_both_vus</f>
        <v>#N/A</v>
      </c>
      <c r="AI62" s="289" t="e">
        <f>AI61*(1-VLOOKUP(AE62,boc_trpr_bc,11,TRUE)*boc_rr_bc_hip-VLOOKUP(AE62,boc_trpr_oc,11,TRUE)*boc_rr_oc_hip-boc_tr_mast_path-boc_tr_ooph_path-boc_tr_both_path-VLOOKUP(AE62,mortt,2,FALSE))</f>
        <v>#N/A</v>
      </c>
      <c r="AJ62" s="289" t="e">
        <f>AJ61*(1-VLOOKUP(AE62,boc_trpr_bc,11,TRUE)*boc_rr_bc_hiv-VLOOKUP(AE62,boc_trpr_oc,11,TRUE)*boc_rr_oc_hiv-boc_tr_mast_vus-boc_tr_ooph_vus-boc_tr_both_vus-VLOOKUP(AE62,mortt,2,FALSE))</f>
        <v>#N/A</v>
      </c>
      <c r="AK62" s="289" t="e">
        <f>AK61*(1-VLOOKUP(AE62,boc_trpr_bc,11,TRUE)*boc_rr_bc_modp-VLOOKUP(AE62,boc_trpr_oc,11,TRUE)*boc_rr_oc_modp-boc_tr_mast_path-boc_tr_ooph_path-boc_tr_both_path-VLOOKUP(AE62,mortt,2,FALSE))</f>
        <v>#N/A</v>
      </c>
      <c r="AL62" s="289" t="e">
        <f>AL61*(1-VLOOKUP(AE62,boc_trpr_bc,11,TRUE)*boc_rr_bc_modv-VLOOKUP(AE62,boc_trpr_oc,11,TRUE)*boc_rr_oc_modv-boc_tr_mast_vus-boc_tr_ooph_vus-boc_tr_both_vus-VLOOKUP(AE62,mortt,2,FALSE))</f>
        <v>#N/A</v>
      </c>
      <c r="AM62" s="289" t="e">
        <f>AM61*(1-VLOOKUP(AE62,boc_trpr_bc,11,TRUE)*boc_rr_bc_lop-VLOOKUP(AE62,boc_trpr_oc,11,TRUE)*boc_rr_oc_lop-boc_tr_mast_path-boc_tr_ooph_path-boc_tr_both_path-VLOOKUP(AE62,mortt,2,FALSE))</f>
        <v>#N/A</v>
      </c>
      <c r="AN62" s="289" t="e">
        <f>AN61*(1-VLOOKUP(AE62,boc_trpr_bc,11,TRUE)*boc_rr_bc_lov-VLOOKUP(AE62,boc_trpr_oc,11,TRUE)*boc_rr_oc_lov-boc_tr_mast_vus-boc_tr_ooph_vus-boc_tr_both_vus-VLOOKUP(AE62,mortt,2,FALSE))</f>
        <v>#N/A</v>
      </c>
      <c r="AO62" s="260" t="e">
        <f>AO61*(1-VLOOKUP(AE62,boc_trpr_bc,11,TRUE)*boc_rr_bc_np-VLOOKUP(AE62,boc_trpr_oc,11,TRUE)*boc_rr_oc_np-VLOOKUP(AE62,mortt,2,FALSE))</f>
        <v>#N/A</v>
      </c>
      <c r="AP62" s="260">
        <f>AF61*VLOOKUP(AE62,boc_trpr_bc,11,TRUE)*boc_rr_bc_mast+AG61*VLOOKUP(AE62,boc_trpr_bc,11,TRUE)*boc_rr_bc_ooph+AH61*VLOOKUP(AE62,boc_trpr_bc,11,TRUE)*boc_rr_bc_both+AI61*VLOOKUP(AE62,boc_trpr_bc,11,TRUE)*boc_rr_bc_hip+AJ61*VLOOKUP(AE62,boc_trpr_bc,11,TRUE)*boc_rr_bc_hiv+AK61*VLOOKUP(AE62,boc_trpr_bc,11,TRUE)*boc_rr_bc_modp+AL61*VLOOKUP(AE62,boc_trpr_bc,11,TRUE)*boc_rr_bc_modv+AM61*VLOOKUP(AE62,boc_trpr_bc,11,TRUE)*boc_rr_bc_lop+AN61*VLOOKUP(AE62,boc_trpr_bc,11,TRUE)*boc_rr_bc_lov+AO61*VLOOKUP(AE62,boc_trpr_bc,11,TRUE)*boc_rr_bc_np</f>
        <v>-3.083021341812679E-7</v>
      </c>
      <c r="AQ62" s="260">
        <f>AF61*VLOOKUP(AE62,boc_trpr_oc,11,TRUE)*boc_rr_oc_mast+AG61*VLOOKUP(AE62,boc_trpr_oc,11,TRUE)*boc_rr_oc_ooph+AH61*VLOOKUP(AE62,boc_trpr_oc,11,TRUE)*boc_rr_oc_both+AI61*VLOOKUP(AE62,boc_trpr_oc,11,TRUE)*boc_rr_oc_hip+AJ61*VLOOKUP(AE62,boc_trpr_oc,11,TRUE)*boc_rr_oc_hiv+AK61*VLOOKUP(AE62,boc_trpr_oc,11,TRUE)*boc_rr_oc_modp+AL61*VLOOKUP(AE62,boc_trpr_oc,11,TRUE)*boc_rr_oc_modv+AM61*VLOOKUP(AE62,boc_trpr_oc,11,TRUE)*boc_rr_oc_lop+AN61*VLOOKUP(AE62,boc_trpr_oc,11,TRUE)*boc_rr_oc_lov+AO61*VLOOKUP(AE62,boc_trpr_oc,11,TRUE)*boc_rr_oc_np</f>
        <v>-4.103530355991633E-8</v>
      </c>
      <c r="AR62" s="260" t="e">
        <f>AP61*(1-VLOOKUP(AE62,boc_trpr_bc_death,20,TRUE))+AQ61*(1-VLOOKUP(AE62,boc_trpr_oc_death,20,TRUE))+AR61*(1-VLOOKUP(AE62,mortt,2,FALSE)*boc_rr_death_pc)</f>
        <v>#N/A</v>
      </c>
      <c r="AS62" s="260" t="e">
        <f>AS61+SUM(AF61:AO61)*VLOOKUP(AE62,mortt,2,FALSE)+AP61*VLOOKUP(AE62,boc_trpr_bc_death,20,TRUE)+AQ61*VLOOKUP(AE62,boc_trpr_bc_death,20,TRUE)+AR61*VLOOKUP(AE62,mortt,2,FALSE)*boc_rr_death_pc</f>
        <v>#N/A</v>
      </c>
      <c r="AT62" s="260" t="e">
        <f t="shared" si="52"/>
        <v>#N/A</v>
      </c>
      <c r="AU62" s="118" t="e">
        <f>(boc_cost_mast*SUM(AI62,AK62,AM62)*(boc_tr_mast_path+boc_tr_both_path)+SUM(AJ62,AL62,AN62)*(boc_tr_mast_vus+boc_tr_both_vus)+AP62*boc_cost_bc+AQ62*boc_cost_oc+AR62*boc_cost_pc+(AP62*VLOOKUP(AE62,boc_trpr_bc_death,20,TRUE)+AQ62*VLOOKUP(AE62,boc_trpr_oc_death,TRUE)*boc_cost_death))/((1+discount)^AD62)</f>
        <v>#N/A</v>
      </c>
      <c r="AV62" s="35" t="e">
        <f t="shared" si="45"/>
        <v>#N/A</v>
      </c>
      <c r="AW62" s="35" t="e">
        <f t="shared" si="46"/>
        <v>#N/A</v>
      </c>
      <c r="AY62" s="12">
        <v>56</v>
      </c>
      <c r="AZ62" s="12">
        <f t="shared" si="47"/>
        <v>101</v>
      </c>
      <c r="BA62" s="260" t="e">
        <f>BA61*(1-VLOOKUP(AZ62,boc_trpr_bc,11,TRUE)*boc_rr_bc_mast-VLOOKUP(AZ62,boc_trpr_oc,11,TRUE)*boc_rr_oc_mast-VLOOKUP(AZ62,mortt,2,FALSE))</f>
        <v>#N/A</v>
      </c>
      <c r="BB62" s="260" t="e">
        <f>BB61*(1-VLOOKUP(AZ62,boc_trpr_bc,11,TRUE)*boc_rr_bc_ooph-VLOOKUP(AZ62,boc_trpr_oc,11,TRUE)*boc_rr_oc_ooph-VLOOKUP(AZ62,mortt,2,FALSE))</f>
        <v>#N/A</v>
      </c>
      <c r="BC62" s="260" t="e">
        <f>BC61*(1-VLOOKUP(AZ62,boc_trpr_bc,11,TRUE)*boc_rr_bc_both-VLOOKUP(AZ62,boc_trpr_oc,11,TRUE)*boc_rr_oc_both-VLOOKUP(AZ62,mortt,2,FALSE))</f>
        <v>#N/A</v>
      </c>
      <c r="BD62" s="289" t="e">
        <f>BD61*(1-VLOOKUP(AZ62,boc_trpr_bc,11,TRUE)*boc_rr_bc_hip-VLOOKUP(AZ62,boc_trpr_oc,11,TRUE)*boc_rr_oc_hip-VLOOKUP(AZ62,mortt,2,FALSE))</f>
        <v>#N/A</v>
      </c>
      <c r="BE62" s="289" t="e">
        <f>BE61*(1-VLOOKUP(AZ62,boc_trpr_bc,11,TRUE)*boc_rr_bc_hiv-VLOOKUP(AZ62,boc_trpr_oc,11,TRUE)*boc_rr_oc_hiv-VLOOKUP(AZ62,mortt,2,FALSE))</f>
        <v>#N/A</v>
      </c>
      <c r="BF62" s="289" t="e">
        <f>BF61*(1-VLOOKUP(AZ62,boc_trpr_bc,11,TRUE)*boc_rr_bc_modp-VLOOKUP(AZ62,boc_trpr_oc,11,TRUE)*boc_rr_oc_modp-VLOOKUP(AZ62,mortt,2,FALSE))</f>
        <v>#N/A</v>
      </c>
      <c r="BG62" s="289" t="e">
        <f>BG61*(1-VLOOKUP(AZ62,boc_trpr_bc,11,TRUE)*boc_rr_bc_modv-VLOOKUP(AZ62,boc_trpr_oc,11,TRUE)*boc_rr_oc_modv-VLOOKUP(AZ62,mortt,2,FALSE))</f>
        <v>#N/A</v>
      </c>
      <c r="BH62" s="289" t="e">
        <f>BH61*(1-VLOOKUP(AZ62,boc_trpr_bc,11,TRUE)*boc_rr_bc_lop-VLOOKUP(AZ62,boc_trpr_oc,11,TRUE)*boc_rr_oc_lop-VLOOKUP(AZ62,mortt,2,FALSE))</f>
        <v>#N/A</v>
      </c>
      <c r="BI62" s="289" t="e">
        <f>BI61*(1-VLOOKUP(AZ62,boc_trpr_bc,11,TRUE)*boc_rr_bc_lov-VLOOKUP(AZ62,boc_trpr_oc,11,TRUE)*boc_rr_oc_lov-VLOOKUP(AZ62,mortt,2,FALSE))</f>
        <v>#N/A</v>
      </c>
      <c r="BJ62" s="260" t="e">
        <f>BJ61*(1-VLOOKUP(AZ62,boc_trpr_bc,11,TRUE)*boc_rr_bc_np-VLOOKUP(AZ62,boc_trpr_oc,11,TRUE)*boc_rr_oc_np-VLOOKUP(AZ62,mortt,2,FALSE))</f>
        <v>#N/A</v>
      </c>
      <c r="BK62" s="260">
        <f>BA61*VLOOKUP(AZ62,boc_trpr_bc,11,TRUE)*boc_rr_bc_mast+BB61*VLOOKUP(AZ62,boc_trpr_bc,11,TRUE)*boc_rr_bc_ooph+BC61*VLOOKUP(AZ62,boc_trpr_bc,11,TRUE)*boc_rr_bc_both+BD61*VLOOKUP(AZ62,boc_trpr_bc,11,TRUE)*boc_rr_bc_hip+BE61*VLOOKUP(AZ62,boc_trpr_bc,11,TRUE)*boc_rr_bc_hiv+BF61*VLOOKUP(AZ62,boc_trpr_bc,11,TRUE)*boc_rr_bc_modp+BG61*VLOOKUP(AZ62,boc_trpr_bc,11,TRUE)*boc_rr_bc_modv+BH61*VLOOKUP(AZ62,boc_trpr_bc,11,TRUE)*boc_rr_bc_lop+BI61*VLOOKUP(AZ62,boc_trpr_bc,11,TRUE)*boc_rr_bc_lov+BJ61*VLOOKUP(AZ62,boc_trpr_bc,11,TRUE)*boc_rr_bc_np</f>
        <v>-3.4354863746875688E-7</v>
      </c>
      <c r="BL62" s="260">
        <f>BA61*VLOOKUP(AZ62,boc_trpr_oc,11,TRUE)*boc_rr_oc_mast+BB61*VLOOKUP(AZ62,boc_trpr_oc,11,TRUE)*boc_rr_oc_ooph+BC61*VLOOKUP(AZ62,boc_trpr_oc,11,TRUE)*boc_rr_oc_both+BD61*VLOOKUP(AZ62,boc_trpr_oc,11,TRUE)*boc_rr_oc_hip+BE61*VLOOKUP(AZ62,boc_trpr_oc,11,TRUE)*boc_rr_oc_hiv+BF61*VLOOKUP(AZ62,boc_trpr_oc,11,TRUE)*boc_rr_oc_modp+BG61*VLOOKUP(AZ62,boc_trpr_oc,11,TRUE)*boc_rr_oc_modv+BH61*VLOOKUP(AZ62,boc_trpr_oc,11,TRUE)*boc_rr_oc_lop+BI61*VLOOKUP(AZ62,boc_trpr_oc,11,TRUE)*boc_rr_oc_lov+BJ61*VLOOKUP(AZ62,boc_trpr_oc,11,TRUE)*boc_rr_oc_np</f>
        <v>-4.5694570217811864E-8</v>
      </c>
      <c r="BM62" s="260" t="e">
        <f>BK61*(1-VLOOKUP(AZ62,boc_trpr_bc_death,20,TRUE))+BL61*(1-VLOOKUP(AZ62,boc_trpr_oc_death,20,TRUE))+BM61*(1-VLOOKUP(AZ62,mortt,2,FALSE)*boc_rr_death_pc)</f>
        <v>#N/A</v>
      </c>
      <c r="BN62" s="260" t="e">
        <f>BN61+SUM(BA61:BJ61)*VLOOKUP(AZ62,mortt,2,FALSE)+BK61*VLOOKUP(AZ62,boc_trpr_bc_death,20,TRUE)+BL61*VLOOKUP(AZ62,boc_trpr_bc_death,20,TRUE)+BM61*VLOOKUP(AZ62,mortt,2,FALSE)*boc_rr_death_pc</f>
        <v>#N/A</v>
      </c>
      <c r="BO62" s="260" t="e">
        <f t="shared" si="41"/>
        <v>#N/A</v>
      </c>
      <c r="BP62" s="118" t="e">
        <f>(boc_cost_mast*SUM(BD62,BF62,BH62)*(boc_tr_mast_path+boc_tr_both_path)+SUM(BE62,BG62,BI62)*(boc_tr_mast_vus+boc_tr_both_vus)+BK62*boc_cost_bc+BL62*boc_cost_oc+BM62*boc_cost_pc+(BK62*VLOOKUP(AZ62,boc_trpr_bc_death,20,TRUE)+BL62*VLOOKUP(AZ62,boc_trpr_oc_death,TRUE)*boc_cost_death))/((1+discount)^AY62)</f>
        <v>#N/A</v>
      </c>
      <c r="BQ62" s="35" t="e">
        <f t="shared" si="48"/>
        <v>#N/A</v>
      </c>
      <c r="BR62" s="35" t="e">
        <f t="shared" si="49"/>
        <v>#N/A</v>
      </c>
      <c r="BS62" s="35"/>
      <c r="BU62" s="33">
        <v>27</v>
      </c>
      <c r="BV62" t="str">
        <f>$M$103</f>
        <v>boc_rr_oc_mast</v>
      </c>
      <c r="BW62" s="35">
        <f>$F$103</f>
        <v>0.8</v>
      </c>
      <c r="BX62" s="35">
        <f>$G$103</f>
        <v>1.2</v>
      </c>
      <c r="BY62" s="311">
        <v>-7.5415216933006377</v>
      </c>
      <c r="BZ62" s="311">
        <v>-7.5645031004169141</v>
      </c>
      <c r="CA62" s="311">
        <f t="shared" si="57"/>
        <v>2.2981407116276387E-2</v>
      </c>
      <c r="CD62" s="138">
        <v>57</v>
      </c>
      <c r="CE62" s="291">
        <v>5.5209999999999999E-3</v>
      </c>
    </row>
    <row r="63" spans="2:83" ht="15" customHeight="1" x14ac:dyDescent="0.2">
      <c r="B63" s="37" t="s">
        <v>8</v>
      </c>
      <c r="C63" s="35">
        <f>IF(psa,J63,IF(owsa_low=L63,F63,IF(owsa_high=L63,G63,IF(ISNUMBER(D63),D63,E63))))</f>
        <v>2</v>
      </c>
      <c r="D63" s="158"/>
      <c r="E63" s="35">
        <v>2</v>
      </c>
      <c r="F63" s="35">
        <f>MAX(0,IF(ISNUMBER(D63),D63,E63)*(1-owsa_boc))</f>
        <v>1.6</v>
      </c>
      <c r="G63" s="35">
        <f>IF(ISNUMBER(D63),D63,E63)*(1+owsa_boc)</f>
        <v>2.4</v>
      </c>
      <c r="H63" s="69">
        <f t="shared" si="59"/>
        <v>0.10343687723509752</v>
      </c>
      <c r="I63" s="48"/>
      <c r="J63" s="35">
        <f ca="1">_xlfn.LOGNORM.INV(RAND(),LN(IF(ISNUMBER(D63),D63,E63))-(H63^2)/2,H63)</f>
        <v>1.9164467247276413</v>
      </c>
      <c r="K63" s="12" t="s">
        <v>213</v>
      </c>
      <c r="L63" s="40">
        <v>13</v>
      </c>
      <c r="M63" s="247" t="s">
        <v>202</v>
      </c>
      <c r="N63" s="39" t="s">
        <v>48</v>
      </c>
      <c r="Q63" s="9" t="s">
        <v>10</v>
      </c>
      <c r="R63" s="263">
        <f>$L$7*boc_find_high</f>
        <v>3.9218328800000007E-2</v>
      </c>
      <c r="S63" s="9" t="s">
        <v>12</v>
      </c>
      <c r="T63" s="251">
        <f>boc_path_high_vus</f>
        <v>0.27116022099999998</v>
      </c>
      <c r="U63" s="9" t="s">
        <v>8</v>
      </c>
      <c r="V63" s="250">
        <f>boc_unk_int_ooph</f>
        <v>0.01</v>
      </c>
      <c r="Y63" s="261">
        <f>R63*T63*V63</f>
        <v>1.0634450704658667E-4</v>
      </c>
      <c r="AD63" s="12">
        <v>57</v>
      </c>
      <c r="AE63" s="12">
        <f t="shared" si="44"/>
        <v>102</v>
      </c>
      <c r="AF63" s="260" t="e">
        <f>AF62*(1-VLOOKUP(AE63,boc_trpr_bc,11,TRUE)*boc_rr_bc_mast-VLOOKUP(AE63,boc_trpr_oc,11,TRUE)*boc_rr_oc_mast-VLOOKUP(AE63,mortt,2,FALSE))+SUM(AI62,AK62,AM62)*boc_tr_mast_path+SUM(AJ62,AL62,AN62)*boc_tr_mast_vus</f>
        <v>#N/A</v>
      </c>
      <c r="AG63" s="260" t="e">
        <f>AG62*(1-VLOOKUP(AE63,boc_trpr_bc,11,TRUE)*boc_rr_bc_ooph-VLOOKUP(AE63,boc_trpr_oc,11,TRUE)*boc_rr_oc_ooph-VLOOKUP(AE63,mortt,2,FALSE))+SUM(AI62,AK62,AM62)*boc_tr_ooph_path+SUM(AJ62,AL62,AN62)*boc_tr_ooph_vus</f>
        <v>#N/A</v>
      </c>
      <c r="AH63" s="260" t="e">
        <f>AH62*(1-VLOOKUP(AE63,boc_trpr_bc,11,TRUE)*boc_rr_bc_both-VLOOKUP(AE63,boc_trpr_oc,11,TRUE)*boc_rr_oc_both-VLOOKUP(AE63,mortt,2,FALSE))+SUM(AI62,AK62,AM62)*boc_tr_both_path+SUM(AJ62,AL62,AN62)*boc_tr_both_vus</f>
        <v>#N/A</v>
      </c>
      <c r="AI63" s="289" t="e">
        <f>AI62*(1-VLOOKUP(AE63,boc_trpr_bc,11,TRUE)*boc_rr_bc_hip-VLOOKUP(AE63,boc_trpr_oc,11,TRUE)*boc_rr_oc_hip-boc_tr_mast_path-boc_tr_ooph_path-boc_tr_both_path-VLOOKUP(AE63,mortt,2,FALSE))</f>
        <v>#N/A</v>
      </c>
      <c r="AJ63" s="289" t="e">
        <f>AJ62*(1-VLOOKUP(AE63,boc_trpr_bc,11,TRUE)*boc_rr_bc_hiv-VLOOKUP(AE63,boc_trpr_oc,11,TRUE)*boc_rr_oc_hiv-boc_tr_mast_vus-boc_tr_ooph_vus-boc_tr_both_vus-VLOOKUP(AE63,mortt,2,FALSE))</f>
        <v>#N/A</v>
      </c>
      <c r="AK63" s="289" t="e">
        <f>AK62*(1-VLOOKUP(AE63,boc_trpr_bc,11,TRUE)*boc_rr_bc_modp-VLOOKUP(AE63,boc_trpr_oc,11,TRUE)*boc_rr_oc_modp-boc_tr_mast_path-boc_tr_ooph_path-boc_tr_both_path-VLOOKUP(AE63,mortt,2,FALSE))</f>
        <v>#N/A</v>
      </c>
      <c r="AL63" s="289" t="e">
        <f>AL62*(1-VLOOKUP(AE63,boc_trpr_bc,11,TRUE)*boc_rr_bc_modv-VLOOKUP(AE63,boc_trpr_oc,11,TRUE)*boc_rr_oc_modv-boc_tr_mast_vus-boc_tr_ooph_vus-boc_tr_both_vus-VLOOKUP(AE63,mortt,2,FALSE))</f>
        <v>#N/A</v>
      </c>
      <c r="AM63" s="289" t="e">
        <f>AM62*(1-VLOOKUP(AE63,boc_trpr_bc,11,TRUE)*boc_rr_bc_lop-VLOOKUP(AE63,boc_trpr_oc,11,TRUE)*boc_rr_oc_lop-boc_tr_mast_path-boc_tr_ooph_path-boc_tr_both_path-VLOOKUP(AE63,mortt,2,FALSE))</f>
        <v>#N/A</v>
      </c>
      <c r="AN63" s="289" t="e">
        <f>AN62*(1-VLOOKUP(AE63,boc_trpr_bc,11,TRUE)*boc_rr_bc_lov-VLOOKUP(AE63,boc_trpr_oc,11,TRUE)*boc_rr_oc_lov-boc_tr_mast_vus-boc_tr_ooph_vus-boc_tr_both_vus-VLOOKUP(AE63,mortt,2,FALSE))</f>
        <v>#N/A</v>
      </c>
      <c r="AO63" s="260" t="e">
        <f>AO62*(1-VLOOKUP(AE63,boc_trpr_bc,11,TRUE)*boc_rr_bc_np-VLOOKUP(AE63,boc_trpr_oc,11,TRUE)*boc_rr_oc_np-VLOOKUP(AE63,mortt,2,FALSE))</f>
        <v>#N/A</v>
      </c>
      <c r="AP63" s="260" t="e">
        <f>AF62*VLOOKUP(AE63,boc_trpr_bc,11,TRUE)*boc_rr_bc_mast+AG62*VLOOKUP(AE63,boc_trpr_bc,11,TRUE)*boc_rr_bc_ooph+AH62*VLOOKUP(AE63,boc_trpr_bc,11,TRUE)*boc_rr_bc_both+AI62*VLOOKUP(AE63,boc_trpr_bc,11,TRUE)*boc_rr_bc_hip+AJ62*VLOOKUP(AE63,boc_trpr_bc,11,TRUE)*boc_rr_bc_hiv+AK62*VLOOKUP(AE63,boc_trpr_bc,11,TRUE)*boc_rr_bc_modp+AL62*VLOOKUP(AE63,boc_trpr_bc,11,TRUE)*boc_rr_bc_modv+AM62*VLOOKUP(AE63,boc_trpr_bc,11,TRUE)*boc_rr_bc_lop+AN62*VLOOKUP(AE63,boc_trpr_bc,11,TRUE)*boc_rr_bc_lov+AO62*VLOOKUP(AE63,boc_trpr_bc,11,TRUE)*boc_rr_bc_np</f>
        <v>#N/A</v>
      </c>
      <c r="AQ63" s="260" t="e">
        <f>AF62*VLOOKUP(AE63,boc_trpr_oc,11,TRUE)*boc_rr_oc_mast+AG62*VLOOKUP(AE63,boc_trpr_oc,11,TRUE)*boc_rr_oc_ooph+AH62*VLOOKUP(AE63,boc_trpr_oc,11,TRUE)*boc_rr_oc_both+AI62*VLOOKUP(AE63,boc_trpr_oc,11,TRUE)*boc_rr_oc_hip+AJ62*VLOOKUP(AE63,boc_trpr_oc,11,TRUE)*boc_rr_oc_hiv+AK62*VLOOKUP(AE63,boc_trpr_oc,11,TRUE)*boc_rr_oc_modp+AL62*VLOOKUP(AE63,boc_trpr_oc,11,TRUE)*boc_rr_oc_modv+AM62*VLOOKUP(AE63,boc_trpr_oc,11,TRUE)*boc_rr_oc_lop+AN62*VLOOKUP(AE63,boc_trpr_oc,11,TRUE)*boc_rr_oc_lov+AO62*VLOOKUP(AE63,boc_trpr_oc,11,TRUE)*boc_rr_oc_np</f>
        <v>#N/A</v>
      </c>
      <c r="AR63" s="260" t="e">
        <f>AP62*(1-VLOOKUP(AE63,boc_trpr_bc_death,20,TRUE))+AQ62*(1-VLOOKUP(AE63,boc_trpr_oc_death,20,TRUE))+AR62*(1-VLOOKUP(AE63,mortt,2,FALSE)*boc_rr_death_pc)</f>
        <v>#N/A</v>
      </c>
      <c r="AS63" s="260" t="e">
        <f>AS62+SUM(AF62:AO62)*VLOOKUP(AE63,mortt,2,FALSE)+AP62*VLOOKUP(AE63,boc_trpr_bc_death,20,TRUE)+AQ62*VLOOKUP(AE63,boc_trpr_bc_death,20,TRUE)+AR62*VLOOKUP(AE63,mortt,2,FALSE)*boc_rr_death_pc</f>
        <v>#N/A</v>
      </c>
      <c r="AT63" s="260" t="e">
        <f t="shared" si="52"/>
        <v>#N/A</v>
      </c>
      <c r="AU63" s="118" t="e">
        <f>(boc_cost_mast*SUM(AI63,AK63,AM63)*(boc_tr_mast_path+boc_tr_both_path)+SUM(AJ63,AL63,AN63)*(boc_tr_mast_vus+boc_tr_both_vus)+AP63*boc_cost_bc+AQ63*boc_cost_oc+AR63*boc_cost_pc+(AP63*VLOOKUP(AE63,boc_trpr_bc_death,20,TRUE)+AQ63*VLOOKUP(AE63,boc_trpr_oc_death,TRUE)*boc_cost_death))/((1+discount)^AD63)</f>
        <v>#N/A</v>
      </c>
      <c r="AV63" s="35" t="e">
        <f t="shared" si="45"/>
        <v>#N/A</v>
      </c>
      <c r="AW63" s="35" t="e">
        <f t="shared" si="46"/>
        <v>#N/A</v>
      </c>
      <c r="AY63" s="12">
        <v>57</v>
      </c>
      <c r="AZ63" s="12">
        <f t="shared" si="47"/>
        <v>102</v>
      </c>
      <c r="BA63" s="260" t="e">
        <f>BA62*(1-VLOOKUP(AZ63,boc_trpr_bc,11,TRUE)*boc_rr_bc_mast-VLOOKUP(AZ63,boc_trpr_oc,11,TRUE)*boc_rr_oc_mast-VLOOKUP(AZ63,mortt,2,FALSE))</f>
        <v>#N/A</v>
      </c>
      <c r="BB63" s="260" t="e">
        <f>BB62*(1-VLOOKUP(AZ63,boc_trpr_bc,11,TRUE)*boc_rr_bc_ooph-VLOOKUP(AZ63,boc_trpr_oc,11,TRUE)*boc_rr_oc_ooph-VLOOKUP(AZ63,mortt,2,FALSE))</f>
        <v>#N/A</v>
      </c>
      <c r="BC63" s="260" t="e">
        <f>BC62*(1-VLOOKUP(AZ63,boc_trpr_bc,11,TRUE)*boc_rr_bc_both-VLOOKUP(AZ63,boc_trpr_oc,11,TRUE)*boc_rr_oc_both-VLOOKUP(AZ63,mortt,2,FALSE))</f>
        <v>#N/A</v>
      </c>
      <c r="BD63" s="289" t="e">
        <f>BD62*(1-VLOOKUP(AZ63,boc_trpr_bc,11,TRUE)*boc_rr_bc_hip-VLOOKUP(AZ63,boc_trpr_oc,11,TRUE)*boc_rr_oc_hip-VLOOKUP(AZ63,mortt,2,FALSE))</f>
        <v>#N/A</v>
      </c>
      <c r="BE63" s="289" t="e">
        <f>BE62*(1-VLOOKUP(AZ63,boc_trpr_bc,11,TRUE)*boc_rr_bc_hiv-VLOOKUP(AZ63,boc_trpr_oc,11,TRUE)*boc_rr_oc_hiv-VLOOKUP(AZ63,mortt,2,FALSE))</f>
        <v>#N/A</v>
      </c>
      <c r="BF63" s="289" t="e">
        <f>BF62*(1-VLOOKUP(AZ63,boc_trpr_bc,11,TRUE)*boc_rr_bc_modp-VLOOKUP(AZ63,boc_trpr_oc,11,TRUE)*boc_rr_oc_modp-VLOOKUP(AZ63,mortt,2,FALSE))</f>
        <v>#N/A</v>
      </c>
      <c r="BG63" s="289" t="e">
        <f>BG62*(1-VLOOKUP(AZ63,boc_trpr_bc,11,TRUE)*boc_rr_bc_modv-VLOOKUP(AZ63,boc_trpr_oc,11,TRUE)*boc_rr_oc_modv-VLOOKUP(AZ63,mortt,2,FALSE))</f>
        <v>#N/A</v>
      </c>
      <c r="BH63" s="289" t="e">
        <f>BH62*(1-VLOOKUP(AZ63,boc_trpr_bc,11,TRUE)*boc_rr_bc_lop-VLOOKUP(AZ63,boc_trpr_oc,11,TRUE)*boc_rr_oc_lop-VLOOKUP(AZ63,mortt,2,FALSE))</f>
        <v>#N/A</v>
      </c>
      <c r="BI63" s="289" t="e">
        <f>BI62*(1-VLOOKUP(AZ63,boc_trpr_bc,11,TRUE)*boc_rr_bc_lov-VLOOKUP(AZ63,boc_trpr_oc,11,TRUE)*boc_rr_oc_lov-VLOOKUP(AZ63,mortt,2,FALSE))</f>
        <v>#N/A</v>
      </c>
      <c r="BJ63" s="260" t="e">
        <f>BJ62*(1-VLOOKUP(AZ63,boc_trpr_bc,11,TRUE)*boc_rr_bc_np-VLOOKUP(AZ63,boc_trpr_oc,11,TRUE)*boc_rr_oc_np-VLOOKUP(AZ63,mortt,2,FALSE))</f>
        <v>#N/A</v>
      </c>
      <c r="BK63" s="260" t="e">
        <f>BA62*VLOOKUP(AZ63,boc_trpr_bc,11,TRUE)*boc_rr_bc_mast+BB62*VLOOKUP(AZ63,boc_trpr_bc,11,TRUE)*boc_rr_bc_ooph+BC62*VLOOKUP(AZ63,boc_trpr_bc,11,TRUE)*boc_rr_bc_both+BD62*VLOOKUP(AZ63,boc_trpr_bc,11,TRUE)*boc_rr_bc_hip+BE62*VLOOKUP(AZ63,boc_trpr_bc,11,TRUE)*boc_rr_bc_hiv+BF62*VLOOKUP(AZ63,boc_trpr_bc,11,TRUE)*boc_rr_bc_modp+BG62*VLOOKUP(AZ63,boc_trpr_bc,11,TRUE)*boc_rr_bc_modv+BH62*VLOOKUP(AZ63,boc_trpr_bc,11,TRUE)*boc_rr_bc_lop+BI62*VLOOKUP(AZ63,boc_trpr_bc,11,TRUE)*boc_rr_bc_lov+BJ62*VLOOKUP(AZ63,boc_trpr_bc,11,TRUE)*boc_rr_bc_np</f>
        <v>#N/A</v>
      </c>
      <c r="BL63" s="260" t="e">
        <f>BA62*VLOOKUP(AZ63,boc_trpr_oc,11,TRUE)*boc_rr_oc_mast+BB62*VLOOKUP(AZ63,boc_trpr_oc,11,TRUE)*boc_rr_oc_ooph+BC62*VLOOKUP(AZ63,boc_trpr_oc,11,TRUE)*boc_rr_oc_both+BD62*VLOOKUP(AZ63,boc_trpr_oc,11,TRUE)*boc_rr_oc_hip+BE62*VLOOKUP(AZ63,boc_trpr_oc,11,TRUE)*boc_rr_oc_hiv+BF62*VLOOKUP(AZ63,boc_trpr_oc,11,TRUE)*boc_rr_oc_modp+BG62*VLOOKUP(AZ63,boc_trpr_oc,11,TRUE)*boc_rr_oc_modv+BH62*VLOOKUP(AZ63,boc_trpr_oc,11,TRUE)*boc_rr_oc_lop+BI62*VLOOKUP(AZ63,boc_trpr_oc,11,TRUE)*boc_rr_oc_lov+BJ62*VLOOKUP(AZ63,boc_trpr_oc,11,TRUE)*boc_rr_oc_np</f>
        <v>#N/A</v>
      </c>
      <c r="BM63" s="260" t="e">
        <f>BK62*(1-VLOOKUP(AZ63,boc_trpr_bc_death,20,TRUE))+BL62*(1-VLOOKUP(AZ63,boc_trpr_oc_death,20,TRUE))+BM62*(1-VLOOKUP(AZ63,mortt,2,FALSE)*boc_rr_death_pc)</f>
        <v>#N/A</v>
      </c>
      <c r="BN63" s="260" t="e">
        <f>BN62+SUM(BA62:BJ62)*VLOOKUP(AZ63,mortt,2,FALSE)+BK62*VLOOKUP(AZ63,boc_trpr_bc_death,20,TRUE)+BL62*VLOOKUP(AZ63,boc_trpr_bc_death,20,TRUE)+BM62*VLOOKUP(AZ63,mortt,2,FALSE)*boc_rr_death_pc</f>
        <v>#N/A</v>
      </c>
      <c r="BO63" s="260" t="e">
        <f t="shared" si="41"/>
        <v>#N/A</v>
      </c>
      <c r="BP63" s="118" t="e">
        <f>(boc_cost_mast*SUM(BD63,BF63,BH63)*(boc_tr_mast_path+boc_tr_both_path)+SUM(BE63,BG63,BI63)*(boc_tr_mast_vus+boc_tr_both_vus)+BK63*boc_cost_bc+BL63*boc_cost_oc+BM63*boc_cost_pc+(BK63*VLOOKUP(AZ63,boc_trpr_bc_death,20,TRUE)+BL63*VLOOKUP(AZ63,boc_trpr_oc_death,TRUE)*boc_cost_death))/((1+discount)^AY63)</f>
        <v>#N/A</v>
      </c>
      <c r="BQ63" s="35" t="e">
        <f t="shared" si="48"/>
        <v>#N/A</v>
      </c>
      <c r="BR63" s="35" t="e">
        <f t="shared" si="49"/>
        <v>#N/A</v>
      </c>
      <c r="BS63" s="35"/>
      <c r="BU63" s="33">
        <v>39</v>
      </c>
      <c r="BV63" t="str">
        <f>$M$104</f>
        <v>boc_rr_oc_ooph</v>
      </c>
      <c r="BW63" s="35">
        <f>$F$104</f>
        <v>0.128</v>
      </c>
      <c r="BX63" s="35">
        <f>$G$104</f>
        <v>0.192</v>
      </c>
      <c r="BY63" s="311">
        <v>-7.5646874889439459</v>
      </c>
      <c r="BZ63" s="311">
        <v>-7.541714108067481</v>
      </c>
      <c r="CA63" s="311">
        <f t="shared" si="57"/>
        <v>2.2973380876464944E-2</v>
      </c>
      <c r="CD63" s="138">
        <v>58</v>
      </c>
      <c r="CE63" s="291">
        <v>5.8999999999999999E-3</v>
      </c>
    </row>
    <row r="64" spans="2:83" ht="15" customHeight="1" x14ac:dyDescent="0.2">
      <c r="B64" s="37" t="s">
        <v>6</v>
      </c>
      <c r="C64" s="35">
        <f>IF(psa,J64,IF(owsa_low=L64,F64,IF(owsa_high=L64,G64,IF(ISNUMBER(D64),D64,E64))))</f>
        <v>1.5</v>
      </c>
      <c r="D64" s="158"/>
      <c r="E64" s="35">
        <v>1.5</v>
      </c>
      <c r="F64" s="35">
        <f>MAX(0,IF(ISNUMBER(D64),D64,E64)*(1-owsa_boc))</f>
        <v>1.2000000000000002</v>
      </c>
      <c r="G64" s="35">
        <f>IF(ISNUMBER(D64),D64,E64)*(1+owsa_boc)</f>
        <v>1.7999999999999998</v>
      </c>
      <c r="H64" s="69">
        <f t="shared" si="59"/>
        <v>0.10343687723509751</v>
      </c>
      <c r="I64" s="48"/>
      <c r="J64" s="35">
        <f ca="1">_xlfn.LOGNORM.INV(RAND(),LN(IF(ISNUMBER(D64),D64,E64))-(H64^2)/2,H64)</f>
        <v>1.4937582074881066</v>
      </c>
      <c r="K64" s="12" t="s">
        <v>213</v>
      </c>
      <c r="L64" s="40">
        <v>14</v>
      </c>
      <c r="M64" s="247" t="s">
        <v>203</v>
      </c>
      <c r="N64" s="39" t="s">
        <v>48</v>
      </c>
      <c r="Q64" s="11"/>
      <c r="S64" s="11"/>
      <c r="U64" s="9" t="s">
        <v>6</v>
      </c>
      <c r="V64" s="250">
        <f>boc_unk_int_both</f>
        <v>0.01</v>
      </c>
      <c r="Z64" s="261">
        <f>R63*T63*V64</f>
        <v>1.0634450704658667E-4</v>
      </c>
      <c r="AD64" s="12">
        <v>58</v>
      </c>
      <c r="AE64" s="12">
        <f t="shared" si="44"/>
        <v>103</v>
      </c>
      <c r="AF64" s="260" t="e">
        <f>AF63*(1-VLOOKUP(AE64,boc_trpr_bc,11,TRUE)*boc_rr_bc_mast-VLOOKUP(AE64,boc_trpr_oc,11,TRUE)*boc_rr_oc_mast-VLOOKUP(AE64,mortt,2,FALSE))+SUM(AI63,AK63,AM63)*boc_tr_mast_path+SUM(AJ63,AL63,AN63)*boc_tr_mast_vus</f>
        <v>#N/A</v>
      </c>
      <c r="AG64" s="260" t="e">
        <f>AG63*(1-VLOOKUP(AE64,boc_trpr_bc,11,TRUE)*boc_rr_bc_ooph-VLOOKUP(AE64,boc_trpr_oc,11,TRUE)*boc_rr_oc_ooph-VLOOKUP(AE64,mortt,2,FALSE))+SUM(AI63,AK63,AM63)*boc_tr_ooph_path+SUM(AJ63,AL63,AN63)*boc_tr_ooph_vus</f>
        <v>#N/A</v>
      </c>
      <c r="AH64" s="260" t="e">
        <f>AH63*(1-VLOOKUP(AE64,boc_trpr_bc,11,TRUE)*boc_rr_bc_both-VLOOKUP(AE64,boc_trpr_oc,11,TRUE)*boc_rr_oc_both-VLOOKUP(AE64,mortt,2,FALSE))+SUM(AI63,AK63,AM63)*boc_tr_both_path+SUM(AJ63,AL63,AN63)*boc_tr_both_vus</f>
        <v>#N/A</v>
      </c>
      <c r="AI64" s="289" t="e">
        <f>AI63*(1-VLOOKUP(AE64,boc_trpr_bc,11,TRUE)*boc_rr_bc_hip-VLOOKUP(AE64,boc_trpr_oc,11,TRUE)*boc_rr_oc_hip-boc_tr_mast_path-boc_tr_ooph_path-boc_tr_both_path-VLOOKUP(AE64,mortt,2,FALSE))</f>
        <v>#N/A</v>
      </c>
      <c r="AJ64" s="289" t="e">
        <f>AJ63*(1-VLOOKUP(AE64,boc_trpr_bc,11,TRUE)*boc_rr_bc_hiv-VLOOKUP(AE64,boc_trpr_oc,11,TRUE)*boc_rr_oc_hiv-boc_tr_mast_vus-boc_tr_ooph_vus-boc_tr_both_vus-VLOOKUP(AE64,mortt,2,FALSE))</f>
        <v>#N/A</v>
      </c>
      <c r="AK64" s="289" t="e">
        <f>AK63*(1-VLOOKUP(AE64,boc_trpr_bc,11,TRUE)*boc_rr_bc_modp-VLOOKUP(AE64,boc_trpr_oc,11,TRUE)*boc_rr_oc_modp-boc_tr_mast_path-boc_tr_ooph_path-boc_tr_both_path-VLOOKUP(AE64,mortt,2,FALSE))</f>
        <v>#N/A</v>
      </c>
      <c r="AL64" s="289" t="e">
        <f>AL63*(1-VLOOKUP(AE64,boc_trpr_bc,11,TRUE)*boc_rr_bc_modv-VLOOKUP(AE64,boc_trpr_oc,11,TRUE)*boc_rr_oc_modv-boc_tr_mast_vus-boc_tr_ooph_vus-boc_tr_both_vus-VLOOKUP(AE64,mortt,2,FALSE))</f>
        <v>#N/A</v>
      </c>
      <c r="AM64" s="289" t="e">
        <f>AM63*(1-VLOOKUP(AE64,boc_trpr_bc,11,TRUE)*boc_rr_bc_lop-VLOOKUP(AE64,boc_trpr_oc,11,TRUE)*boc_rr_oc_lop-boc_tr_mast_path-boc_tr_ooph_path-boc_tr_both_path-VLOOKUP(AE64,mortt,2,FALSE))</f>
        <v>#N/A</v>
      </c>
      <c r="AN64" s="289" t="e">
        <f>AN63*(1-VLOOKUP(AE64,boc_trpr_bc,11,TRUE)*boc_rr_bc_lov-VLOOKUP(AE64,boc_trpr_oc,11,TRUE)*boc_rr_oc_lov-boc_tr_mast_vus-boc_tr_ooph_vus-boc_tr_both_vus-VLOOKUP(AE64,mortt,2,FALSE))</f>
        <v>#N/A</v>
      </c>
      <c r="AO64" s="260" t="e">
        <f>AO63*(1-VLOOKUP(AE64,boc_trpr_bc,11,TRUE)*boc_rr_bc_np-VLOOKUP(AE64,boc_trpr_oc,11,TRUE)*boc_rr_oc_np-VLOOKUP(AE64,mortt,2,FALSE))</f>
        <v>#N/A</v>
      </c>
      <c r="AP64" s="260" t="e">
        <f>AF63*VLOOKUP(AE64,boc_trpr_bc,11,TRUE)*boc_rr_bc_mast+AG63*VLOOKUP(AE64,boc_trpr_bc,11,TRUE)*boc_rr_bc_ooph+AH63*VLOOKUP(AE64,boc_trpr_bc,11,TRUE)*boc_rr_bc_both+AI63*VLOOKUP(AE64,boc_trpr_bc,11,TRUE)*boc_rr_bc_hip+AJ63*VLOOKUP(AE64,boc_trpr_bc,11,TRUE)*boc_rr_bc_hiv+AK63*VLOOKUP(AE64,boc_trpr_bc,11,TRUE)*boc_rr_bc_modp+AL63*VLOOKUP(AE64,boc_trpr_bc,11,TRUE)*boc_rr_bc_modv+AM63*VLOOKUP(AE64,boc_trpr_bc,11,TRUE)*boc_rr_bc_lop+AN63*VLOOKUP(AE64,boc_trpr_bc,11,TRUE)*boc_rr_bc_lov+AO63*VLOOKUP(AE64,boc_trpr_bc,11,TRUE)*boc_rr_bc_np</f>
        <v>#N/A</v>
      </c>
      <c r="AQ64" s="260" t="e">
        <f>AF63*VLOOKUP(AE64,boc_trpr_oc,11,TRUE)*boc_rr_oc_mast+AG63*VLOOKUP(AE64,boc_trpr_oc,11,TRUE)*boc_rr_oc_ooph+AH63*VLOOKUP(AE64,boc_trpr_oc,11,TRUE)*boc_rr_oc_both+AI63*VLOOKUP(AE64,boc_trpr_oc,11,TRUE)*boc_rr_oc_hip+AJ63*VLOOKUP(AE64,boc_trpr_oc,11,TRUE)*boc_rr_oc_hiv+AK63*VLOOKUP(AE64,boc_trpr_oc,11,TRUE)*boc_rr_oc_modp+AL63*VLOOKUP(AE64,boc_trpr_oc,11,TRUE)*boc_rr_oc_modv+AM63*VLOOKUP(AE64,boc_trpr_oc,11,TRUE)*boc_rr_oc_lop+AN63*VLOOKUP(AE64,boc_trpr_oc,11,TRUE)*boc_rr_oc_lov+AO63*VLOOKUP(AE64,boc_trpr_oc,11,TRUE)*boc_rr_oc_np</f>
        <v>#N/A</v>
      </c>
      <c r="AR64" s="260" t="e">
        <f>AP63*(1-VLOOKUP(AE64,boc_trpr_bc_death,20,TRUE))+AQ63*(1-VLOOKUP(AE64,boc_trpr_oc_death,20,TRUE))+AR63*(1-VLOOKUP(AE64,mortt,2,FALSE)*boc_rr_death_pc)</f>
        <v>#N/A</v>
      </c>
      <c r="AS64" s="260" t="e">
        <f>AS63+SUM(AF63:AO63)*VLOOKUP(AE64,mortt,2,FALSE)+AP63*VLOOKUP(AE64,boc_trpr_bc_death,20,TRUE)+AQ63*VLOOKUP(AE64,boc_trpr_bc_death,20,TRUE)+AR63*VLOOKUP(AE64,mortt,2,FALSE)*boc_rr_death_pc</f>
        <v>#N/A</v>
      </c>
      <c r="AT64" s="260" t="e">
        <f t="shared" si="52"/>
        <v>#N/A</v>
      </c>
      <c r="AU64" s="118" t="e">
        <f>(boc_cost_mast*SUM(AI64,AK64,AM64)*(boc_tr_mast_path+boc_tr_both_path)+SUM(AJ64,AL64,AN64)*(boc_tr_mast_vus+boc_tr_both_vus)+AP64*boc_cost_bc+AQ64*boc_cost_oc+AR64*boc_cost_pc+(AP64*VLOOKUP(AE64,boc_trpr_bc_death,20,TRUE)+AQ64*VLOOKUP(AE64,boc_trpr_oc_death,TRUE)*boc_cost_death))/((1+discount)^AD64)</f>
        <v>#N/A</v>
      </c>
      <c r="AV64" s="35" t="e">
        <f t="shared" si="45"/>
        <v>#N/A</v>
      </c>
      <c r="AW64" s="35" t="e">
        <f t="shared" si="46"/>
        <v>#N/A</v>
      </c>
      <c r="AY64" s="12">
        <v>58</v>
      </c>
      <c r="AZ64" s="12">
        <f t="shared" si="47"/>
        <v>103</v>
      </c>
      <c r="BA64" s="260" t="e">
        <f>BA63*(1-VLOOKUP(AZ64,boc_trpr_bc,11,TRUE)*boc_rr_bc_mast-VLOOKUP(AZ64,boc_trpr_oc,11,TRUE)*boc_rr_oc_mast-VLOOKUP(AZ64,mortt,2,FALSE))</f>
        <v>#N/A</v>
      </c>
      <c r="BB64" s="260" t="e">
        <f>BB63*(1-VLOOKUP(AZ64,boc_trpr_bc,11,TRUE)*boc_rr_bc_ooph-VLOOKUP(AZ64,boc_trpr_oc,11,TRUE)*boc_rr_oc_ooph-VLOOKUP(AZ64,mortt,2,FALSE))</f>
        <v>#N/A</v>
      </c>
      <c r="BC64" s="260" t="e">
        <f>BC63*(1-VLOOKUP(AZ64,boc_trpr_bc,11,TRUE)*boc_rr_bc_both-VLOOKUP(AZ64,boc_trpr_oc,11,TRUE)*boc_rr_oc_both-VLOOKUP(AZ64,mortt,2,FALSE))</f>
        <v>#N/A</v>
      </c>
      <c r="BD64" s="289" t="e">
        <f>BD63*(1-VLOOKUP(AZ64,boc_trpr_bc,11,TRUE)*boc_rr_bc_hip-VLOOKUP(AZ64,boc_trpr_oc,11,TRUE)*boc_rr_oc_hip-VLOOKUP(AZ64,mortt,2,FALSE))</f>
        <v>#N/A</v>
      </c>
      <c r="BE64" s="289" t="e">
        <f>BE63*(1-VLOOKUP(AZ64,boc_trpr_bc,11,TRUE)*boc_rr_bc_hiv-VLOOKUP(AZ64,boc_trpr_oc,11,TRUE)*boc_rr_oc_hiv-VLOOKUP(AZ64,mortt,2,FALSE))</f>
        <v>#N/A</v>
      </c>
      <c r="BF64" s="289" t="e">
        <f>BF63*(1-VLOOKUP(AZ64,boc_trpr_bc,11,TRUE)*boc_rr_bc_modp-VLOOKUP(AZ64,boc_trpr_oc,11,TRUE)*boc_rr_oc_modp-VLOOKUP(AZ64,mortt,2,FALSE))</f>
        <v>#N/A</v>
      </c>
      <c r="BG64" s="289" t="e">
        <f>BG63*(1-VLOOKUP(AZ64,boc_trpr_bc,11,TRUE)*boc_rr_bc_modv-VLOOKUP(AZ64,boc_trpr_oc,11,TRUE)*boc_rr_oc_modv-VLOOKUP(AZ64,mortt,2,FALSE))</f>
        <v>#N/A</v>
      </c>
      <c r="BH64" s="289" t="e">
        <f>BH63*(1-VLOOKUP(AZ64,boc_trpr_bc,11,TRUE)*boc_rr_bc_lop-VLOOKUP(AZ64,boc_trpr_oc,11,TRUE)*boc_rr_oc_lop-VLOOKUP(AZ64,mortt,2,FALSE))</f>
        <v>#N/A</v>
      </c>
      <c r="BI64" s="289" t="e">
        <f>BI63*(1-VLOOKUP(AZ64,boc_trpr_bc,11,TRUE)*boc_rr_bc_lov-VLOOKUP(AZ64,boc_trpr_oc,11,TRUE)*boc_rr_oc_lov-VLOOKUP(AZ64,mortt,2,FALSE))</f>
        <v>#N/A</v>
      </c>
      <c r="BJ64" s="260" t="e">
        <f>BJ63*(1-VLOOKUP(AZ64,boc_trpr_bc,11,TRUE)*boc_rr_bc_np-VLOOKUP(AZ64,boc_trpr_oc,11,TRUE)*boc_rr_oc_np-VLOOKUP(AZ64,mortt,2,FALSE))</f>
        <v>#N/A</v>
      </c>
      <c r="BK64" s="260" t="e">
        <f>BA63*VLOOKUP(AZ64,boc_trpr_bc,11,TRUE)*boc_rr_bc_mast+BB63*VLOOKUP(AZ64,boc_trpr_bc,11,TRUE)*boc_rr_bc_ooph+BC63*VLOOKUP(AZ64,boc_trpr_bc,11,TRUE)*boc_rr_bc_both+BD63*VLOOKUP(AZ64,boc_trpr_bc,11,TRUE)*boc_rr_bc_hip+BE63*VLOOKUP(AZ64,boc_trpr_bc,11,TRUE)*boc_rr_bc_hiv+BF63*VLOOKUP(AZ64,boc_trpr_bc,11,TRUE)*boc_rr_bc_modp+BG63*VLOOKUP(AZ64,boc_trpr_bc,11,TRUE)*boc_rr_bc_modv+BH63*VLOOKUP(AZ64,boc_trpr_bc,11,TRUE)*boc_rr_bc_lop+BI63*VLOOKUP(AZ64,boc_trpr_bc,11,TRUE)*boc_rr_bc_lov+BJ63*VLOOKUP(AZ64,boc_trpr_bc,11,TRUE)*boc_rr_bc_np</f>
        <v>#N/A</v>
      </c>
      <c r="BL64" s="260" t="e">
        <f>BA63*VLOOKUP(AZ64,boc_trpr_oc,11,TRUE)*boc_rr_oc_mast+BB63*VLOOKUP(AZ64,boc_trpr_oc,11,TRUE)*boc_rr_oc_ooph+BC63*VLOOKUP(AZ64,boc_trpr_oc,11,TRUE)*boc_rr_oc_both+BD63*VLOOKUP(AZ64,boc_trpr_oc,11,TRUE)*boc_rr_oc_hip+BE63*VLOOKUP(AZ64,boc_trpr_oc,11,TRUE)*boc_rr_oc_hiv+BF63*VLOOKUP(AZ64,boc_trpr_oc,11,TRUE)*boc_rr_oc_modp+BG63*VLOOKUP(AZ64,boc_trpr_oc,11,TRUE)*boc_rr_oc_modv+BH63*VLOOKUP(AZ64,boc_trpr_oc,11,TRUE)*boc_rr_oc_lop+BI63*VLOOKUP(AZ64,boc_trpr_oc,11,TRUE)*boc_rr_oc_lov+BJ63*VLOOKUP(AZ64,boc_trpr_oc,11,TRUE)*boc_rr_oc_np</f>
        <v>#N/A</v>
      </c>
      <c r="BM64" s="260" t="e">
        <f>BK63*(1-VLOOKUP(AZ64,boc_trpr_bc_death,20,TRUE))+BL63*(1-VLOOKUP(AZ64,boc_trpr_oc_death,20,TRUE))+BM63*(1-VLOOKUP(AZ64,mortt,2,FALSE)*boc_rr_death_pc)</f>
        <v>#N/A</v>
      </c>
      <c r="BN64" s="260" t="e">
        <f>BN63+SUM(BA63:BJ63)*VLOOKUP(AZ64,mortt,2,FALSE)+BK63*VLOOKUP(AZ64,boc_trpr_bc_death,20,TRUE)+BL63*VLOOKUP(AZ64,boc_trpr_bc_death,20,TRUE)+BM63*VLOOKUP(AZ64,mortt,2,FALSE)*boc_rr_death_pc</f>
        <v>#N/A</v>
      </c>
      <c r="BO64" s="260" t="e">
        <f t="shared" si="41"/>
        <v>#N/A</v>
      </c>
      <c r="BP64" s="118" t="e">
        <f>(boc_cost_mast*SUM(BD64,BF64,BH64)*(boc_tr_mast_path+boc_tr_both_path)+SUM(BE64,BG64,BI64)*(boc_tr_mast_vus+boc_tr_both_vus)+BK64*boc_cost_bc+BL64*boc_cost_oc+BM64*boc_cost_pc+(BK64*VLOOKUP(AZ64,boc_trpr_bc_death,20,TRUE)+BL64*VLOOKUP(AZ64,boc_trpr_oc_death,TRUE)*boc_cost_death))/((1+discount)^AY64)</f>
        <v>#N/A</v>
      </c>
      <c r="BQ64" s="35" t="e">
        <f t="shared" si="48"/>
        <v>#N/A</v>
      </c>
      <c r="BR64" s="35" t="e">
        <f t="shared" si="49"/>
        <v>#N/A</v>
      </c>
      <c r="BS64" s="35"/>
      <c r="BU64" s="33">
        <v>43</v>
      </c>
      <c r="BV64" t="str">
        <f>$M$105</f>
        <v>boc_rr_oc_both</v>
      </c>
      <c r="BW64" s="35">
        <f>$F$105</f>
        <v>0.128</v>
      </c>
      <c r="BX64" s="35">
        <f>$G$105</f>
        <v>0.192</v>
      </c>
      <c r="BY64" s="311">
        <v>-7.5437395535541327</v>
      </c>
      <c r="BZ64" s="311">
        <v>-7.5626405940474797</v>
      </c>
      <c r="CA64" s="311">
        <f t="shared" si="57"/>
        <v>1.8901040493346954E-2</v>
      </c>
      <c r="CD64" s="138">
        <v>59</v>
      </c>
      <c r="CE64" s="291">
        <v>6.2919999999999998E-3</v>
      </c>
    </row>
    <row r="65" spans="2:83" ht="15" customHeight="1" x14ac:dyDescent="0.2">
      <c r="B65" s="38" t="s">
        <v>216</v>
      </c>
      <c r="H65" s="259"/>
      <c r="M65" s="249"/>
      <c r="Q65" s="11"/>
      <c r="S65" s="11"/>
      <c r="U65" s="9" t="s">
        <v>9</v>
      </c>
      <c r="V65" s="250">
        <f>1-SUM(V62,V63,V64)</f>
        <v>0.97</v>
      </c>
      <c r="AA65" s="261">
        <f>R63*T63*V65</f>
        <v>1.0315417183518907E-2</v>
      </c>
      <c r="AD65" s="12">
        <v>59</v>
      </c>
      <c r="AE65" s="12">
        <f t="shared" si="44"/>
        <v>104</v>
      </c>
      <c r="AF65" s="260" t="e">
        <f>AF64*(1-VLOOKUP(AE65,boc_trpr_bc,11,TRUE)*boc_rr_bc_mast-VLOOKUP(AE65,boc_trpr_oc,11,TRUE)*boc_rr_oc_mast-VLOOKUP(AE65,mortt,2,FALSE))+SUM(AI64,AK64,AM64)*boc_tr_mast_path+SUM(AJ64,AL64,AN64)*boc_tr_mast_vus</f>
        <v>#N/A</v>
      </c>
      <c r="AG65" s="260" t="e">
        <f>AG64*(1-VLOOKUP(AE65,boc_trpr_bc,11,TRUE)*boc_rr_bc_ooph-VLOOKUP(AE65,boc_trpr_oc,11,TRUE)*boc_rr_oc_ooph-VLOOKUP(AE65,mortt,2,FALSE))+SUM(AI64,AK64,AM64)*boc_tr_ooph_path+SUM(AJ64,AL64,AN64)*boc_tr_ooph_vus</f>
        <v>#N/A</v>
      </c>
      <c r="AH65" s="260" t="e">
        <f>AH64*(1-VLOOKUP(AE65,boc_trpr_bc,11,TRUE)*boc_rr_bc_both-VLOOKUP(AE65,boc_trpr_oc,11,TRUE)*boc_rr_oc_both-VLOOKUP(AE65,mortt,2,FALSE))+SUM(AI64,AK64,AM64)*boc_tr_both_path+SUM(AJ64,AL64,AN64)*boc_tr_both_vus</f>
        <v>#N/A</v>
      </c>
      <c r="AI65" s="289" t="e">
        <f>AI64*(1-VLOOKUP(AE65,boc_trpr_bc,11,TRUE)*boc_rr_bc_hip-VLOOKUP(AE65,boc_trpr_oc,11,TRUE)*boc_rr_oc_hip-boc_tr_mast_path-boc_tr_ooph_path-boc_tr_both_path-VLOOKUP(AE65,mortt,2,FALSE))</f>
        <v>#N/A</v>
      </c>
      <c r="AJ65" s="289" t="e">
        <f>AJ64*(1-VLOOKUP(AE65,boc_trpr_bc,11,TRUE)*boc_rr_bc_hiv-VLOOKUP(AE65,boc_trpr_oc,11,TRUE)*boc_rr_oc_hiv-boc_tr_mast_vus-boc_tr_ooph_vus-boc_tr_both_vus-VLOOKUP(AE65,mortt,2,FALSE))</f>
        <v>#N/A</v>
      </c>
      <c r="AK65" s="289" t="e">
        <f>AK64*(1-VLOOKUP(AE65,boc_trpr_bc,11,TRUE)*boc_rr_bc_modp-VLOOKUP(AE65,boc_trpr_oc,11,TRUE)*boc_rr_oc_modp-boc_tr_mast_path-boc_tr_ooph_path-boc_tr_both_path-VLOOKUP(AE65,mortt,2,FALSE))</f>
        <v>#N/A</v>
      </c>
      <c r="AL65" s="289" t="e">
        <f>AL64*(1-VLOOKUP(AE65,boc_trpr_bc,11,TRUE)*boc_rr_bc_modv-VLOOKUP(AE65,boc_trpr_oc,11,TRUE)*boc_rr_oc_modv-boc_tr_mast_vus-boc_tr_ooph_vus-boc_tr_both_vus-VLOOKUP(AE65,mortt,2,FALSE))</f>
        <v>#N/A</v>
      </c>
      <c r="AM65" s="289" t="e">
        <f>AM64*(1-VLOOKUP(AE65,boc_trpr_bc,11,TRUE)*boc_rr_bc_lop-VLOOKUP(AE65,boc_trpr_oc,11,TRUE)*boc_rr_oc_lop-boc_tr_mast_path-boc_tr_ooph_path-boc_tr_both_path-VLOOKUP(AE65,mortt,2,FALSE))</f>
        <v>#N/A</v>
      </c>
      <c r="AN65" s="289" t="e">
        <f>AN64*(1-VLOOKUP(AE65,boc_trpr_bc,11,TRUE)*boc_rr_bc_lov-VLOOKUP(AE65,boc_trpr_oc,11,TRUE)*boc_rr_oc_lov-boc_tr_mast_vus-boc_tr_ooph_vus-boc_tr_both_vus-VLOOKUP(AE65,mortt,2,FALSE))</f>
        <v>#N/A</v>
      </c>
      <c r="AO65" s="260" t="e">
        <f>AO64*(1-VLOOKUP(AE65,boc_trpr_bc,11,TRUE)*boc_rr_bc_np-VLOOKUP(AE65,boc_trpr_oc,11,TRUE)*boc_rr_oc_np-VLOOKUP(AE65,mortt,2,FALSE))</f>
        <v>#N/A</v>
      </c>
      <c r="AP65" s="260" t="e">
        <f>AF64*VLOOKUP(AE65,boc_trpr_bc,11,TRUE)*boc_rr_bc_mast+AG64*VLOOKUP(AE65,boc_trpr_bc,11,TRUE)*boc_rr_bc_ooph+AH64*VLOOKUP(AE65,boc_trpr_bc,11,TRUE)*boc_rr_bc_both+AI64*VLOOKUP(AE65,boc_trpr_bc,11,TRUE)*boc_rr_bc_hip+AJ64*VLOOKUP(AE65,boc_trpr_bc,11,TRUE)*boc_rr_bc_hiv+AK64*VLOOKUP(AE65,boc_trpr_bc,11,TRUE)*boc_rr_bc_modp+AL64*VLOOKUP(AE65,boc_trpr_bc,11,TRUE)*boc_rr_bc_modv+AM64*VLOOKUP(AE65,boc_trpr_bc,11,TRUE)*boc_rr_bc_lop+AN64*VLOOKUP(AE65,boc_trpr_bc,11,TRUE)*boc_rr_bc_lov+AO64*VLOOKUP(AE65,boc_trpr_bc,11,TRUE)*boc_rr_bc_np</f>
        <v>#N/A</v>
      </c>
      <c r="AQ65" s="260" t="e">
        <f>AF64*VLOOKUP(AE65,boc_trpr_oc,11,TRUE)*boc_rr_oc_mast+AG64*VLOOKUP(AE65,boc_trpr_oc,11,TRUE)*boc_rr_oc_ooph+AH64*VLOOKUP(AE65,boc_trpr_oc,11,TRUE)*boc_rr_oc_both+AI64*VLOOKUP(AE65,boc_trpr_oc,11,TRUE)*boc_rr_oc_hip+AJ64*VLOOKUP(AE65,boc_trpr_oc,11,TRUE)*boc_rr_oc_hiv+AK64*VLOOKUP(AE65,boc_trpr_oc,11,TRUE)*boc_rr_oc_modp+AL64*VLOOKUP(AE65,boc_trpr_oc,11,TRUE)*boc_rr_oc_modv+AM64*VLOOKUP(AE65,boc_trpr_oc,11,TRUE)*boc_rr_oc_lop+AN64*VLOOKUP(AE65,boc_trpr_oc,11,TRUE)*boc_rr_oc_lov+AO64*VLOOKUP(AE65,boc_trpr_oc,11,TRUE)*boc_rr_oc_np</f>
        <v>#N/A</v>
      </c>
      <c r="AR65" s="260" t="e">
        <f>AP64*(1-VLOOKUP(AE65,boc_trpr_bc_death,20,TRUE))+AQ64*(1-VLOOKUP(AE65,boc_trpr_oc_death,20,TRUE))+AR64*(1-VLOOKUP(AE65,mortt,2,FALSE)*boc_rr_death_pc)</f>
        <v>#N/A</v>
      </c>
      <c r="AS65" s="260" t="e">
        <f>AS64+SUM(AF64:AO64)*VLOOKUP(AE65,mortt,2,FALSE)+AP64*VLOOKUP(AE65,boc_trpr_bc_death,20,TRUE)+AQ64*VLOOKUP(AE65,boc_trpr_bc_death,20,TRUE)+AR64*VLOOKUP(AE65,mortt,2,FALSE)*boc_rr_death_pc</f>
        <v>#N/A</v>
      </c>
      <c r="AT65" s="260" t="e">
        <f t="shared" si="52"/>
        <v>#N/A</v>
      </c>
      <c r="AU65" s="118" t="e">
        <f>(boc_cost_mast*SUM(AI65,AK65,AM65)*(boc_tr_mast_path+boc_tr_both_path)+SUM(AJ65,AL65,AN65)*(boc_tr_mast_vus+boc_tr_both_vus)+AP65*boc_cost_bc+AQ65*boc_cost_oc+AR65*boc_cost_pc+(AP65*VLOOKUP(AE65,boc_trpr_bc_death,20,TRUE)+AQ65*VLOOKUP(AE65,boc_trpr_oc_death,TRUE)*boc_cost_death))/((1+discount)^AD65)</f>
        <v>#N/A</v>
      </c>
      <c r="AV65" s="35" t="e">
        <f t="shared" si="45"/>
        <v>#N/A</v>
      </c>
      <c r="AW65" s="35" t="e">
        <f t="shared" si="46"/>
        <v>#N/A</v>
      </c>
      <c r="AY65" s="12">
        <v>59</v>
      </c>
      <c r="AZ65" s="12">
        <f t="shared" si="47"/>
        <v>104</v>
      </c>
      <c r="BA65" s="260" t="e">
        <f>BA64*(1-VLOOKUP(AZ65,boc_trpr_bc,11,TRUE)*boc_rr_bc_mast-VLOOKUP(AZ65,boc_trpr_oc,11,TRUE)*boc_rr_oc_mast-VLOOKUP(AZ65,mortt,2,FALSE))</f>
        <v>#N/A</v>
      </c>
      <c r="BB65" s="260" t="e">
        <f>BB64*(1-VLOOKUP(AZ65,boc_trpr_bc,11,TRUE)*boc_rr_bc_ooph-VLOOKUP(AZ65,boc_trpr_oc,11,TRUE)*boc_rr_oc_ooph-VLOOKUP(AZ65,mortt,2,FALSE))</f>
        <v>#N/A</v>
      </c>
      <c r="BC65" s="260" t="e">
        <f>BC64*(1-VLOOKUP(AZ65,boc_trpr_bc,11,TRUE)*boc_rr_bc_both-VLOOKUP(AZ65,boc_trpr_oc,11,TRUE)*boc_rr_oc_both-VLOOKUP(AZ65,mortt,2,FALSE))</f>
        <v>#N/A</v>
      </c>
      <c r="BD65" s="289" t="e">
        <f>BD64*(1-VLOOKUP(AZ65,boc_trpr_bc,11,TRUE)*boc_rr_bc_hip-VLOOKUP(AZ65,boc_trpr_oc,11,TRUE)*boc_rr_oc_hip-VLOOKUP(AZ65,mortt,2,FALSE))</f>
        <v>#N/A</v>
      </c>
      <c r="BE65" s="289" t="e">
        <f>BE64*(1-VLOOKUP(AZ65,boc_trpr_bc,11,TRUE)*boc_rr_bc_hiv-VLOOKUP(AZ65,boc_trpr_oc,11,TRUE)*boc_rr_oc_hiv-VLOOKUP(AZ65,mortt,2,FALSE))</f>
        <v>#N/A</v>
      </c>
      <c r="BF65" s="289" t="e">
        <f>BF64*(1-VLOOKUP(AZ65,boc_trpr_bc,11,TRUE)*boc_rr_bc_modp-VLOOKUP(AZ65,boc_trpr_oc,11,TRUE)*boc_rr_oc_modp-VLOOKUP(AZ65,mortt,2,FALSE))</f>
        <v>#N/A</v>
      </c>
      <c r="BG65" s="289" t="e">
        <f>BG64*(1-VLOOKUP(AZ65,boc_trpr_bc,11,TRUE)*boc_rr_bc_modv-VLOOKUP(AZ65,boc_trpr_oc,11,TRUE)*boc_rr_oc_modv-VLOOKUP(AZ65,mortt,2,FALSE))</f>
        <v>#N/A</v>
      </c>
      <c r="BH65" s="289" t="e">
        <f>BH64*(1-VLOOKUP(AZ65,boc_trpr_bc,11,TRUE)*boc_rr_bc_lop-VLOOKUP(AZ65,boc_trpr_oc,11,TRUE)*boc_rr_oc_lop-VLOOKUP(AZ65,mortt,2,FALSE))</f>
        <v>#N/A</v>
      </c>
      <c r="BI65" s="289" t="e">
        <f>BI64*(1-VLOOKUP(AZ65,boc_trpr_bc,11,TRUE)*boc_rr_bc_lov-VLOOKUP(AZ65,boc_trpr_oc,11,TRUE)*boc_rr_oc_lov-VLOOKUP(AZ65,mortt,2,FALSE))</f>
        <v>#N/A</v>
      </c>
      <c r="BJ65" s="260" t="e">
        <f>BJ64*(1-VLOOKUP(AZ65,boc_trpr_bc,11,TRUE)*boc_rr_bc_np-VLOOKUP(AZ65,boc_trpr_oc,11,TRUE)*boc_rr_oc_np-VLOOKUP(AZ65,mortt,2,FALSE))</f>
        <v>#N/A</v>
      </c>
      <c r="BK65" s="260" t="e">
        <f>BA64*VLOOKUP(AZ65,boc_trpr_bc,11,TRUE)*boc_rr_bc_mast+BB64*VLOOKUP(AZ65,boc_trpr_bc,11,TRUE)*boc_rr_bc_ooph+BC64*VLOOKUP(AZ65,boc_trpr_bc,11,TRUE)*boc_rr_bc_both+BD64*VLOOKUP(AZ65,boc_trpr_bc,11,TRUE)*boc_rr_bc_hip+BE64*VLOOKUP(AZ65,boc_trpr_bc,11,TRUE)*boc_rr_bc_hiv+BF64*VLOOKUP(AZ65,boc_trpr_bc,11,TRUE)*boc_rr_bc_modp+BG64*VLOOKUP(AZ65,boc_trpr_bc,11,TRUE)*boc_rr_bc_modv+BH64*VLOOKUP(AZ65,boc_trpr_bc,11,TRUE)*boc_rr_bc_lop+BI64*VLOOKUP(AZ65,boc_trpr_bc,11,TRUE)*boc_rr_bc_lov+BJ64*VLOOKUP(AZ65,boc_trpr_bc,11,TRUE)*boc_rr_bc_np</f>
        <v>#N/A</v>
      </c>
      <c r="BL65" s="260" t="e">
        <f>BA64*VLOOKUP(AZ65,boc_trpr_oc,11,TRUE)*boc_rr_oc_mast+BB64*VLOOKUP(AZ65,boc_trpr_oc,11,TRUE)*boc_rr_oc_ooph+BC64*VLOOKUP(AZ65,boc_trpr_oc,11,TRUE)*boc_rr_oc_both+BD64*VLOOKUP(AZ65,boc_trpr_oc,11,TRUE)*boc_rr_oc_hip+BE64*VLOOKUP(AZ65,boc_trpr_oc,11,TRUE)*boc_rr_oc_hiv+BF64*VLOOKUP(AZ65,boc_trpr_oc,11,TRUE)*boc_rr_oc_modp+BG64*VLOOKUP(AZ65,boc_trpr_oc,11,TRUE)*boc_rr_oc_modv+BH64*VLOOKUP(AZ65,boc_trpr_oc,11,TRUE)*boc_rr_oc_lop+BI64*VLOOKUP(AZ65,boc_trpr_oc,11,TRUE)*boc_rr_oc_lov+BJ64*VLOOKUP(AZ65,boc_trpr_oc,11,TRUE)*boc_rr_oc_np</f>
        <v>#N/A</v>
      </c>
      <c r="BM65" s="260" t="e">
        <f>BK64*(1-VLOOKUP(AZ65,boc_trpr_bc_death,20,TRUE))+BL64*(1-VLOOKUP(AZ65,boc_trpr_oc_death,20,TRUE))+BM64*(1-VLOOKUP(AZ65,mortt,2,FALSE)*boc_rr_death_pc)</f>
        <v>#N/A</v>
      </c>
      <c r="BN65" s="260" t="e">
        <f>BN64+SUM(BA64:BJ64)*VLOOKUP(AZ65,mortt,2,FALSE)+BK64*VLOOKUP(AZ65,boc_trpr_bc_death,20,TRUE)+BL64*VLOOKUP(AZ65,boc_trpr_bc_death,20,TRUE)+BM64*VLOOKUP(AZ65,mortt,2,FALSE)*boc_rr_death_pc</f>
        <v>#N/A</v>
      </c>
      <c r="BO65" s="260" t="e">
        <f t="shared" si="41"/>
        <v>#N/A</v>
      </c>
      <c r="BP65" s="118" t="e">
        <f>(boc_cost_mast*SUM(BD65,BF65,BH65)*(boc_tr_mast_path+boc_tr_both_path)+SUM(BE65,BG65,BI65)*(boc_tr_mast_vus+boc_tr_both_vus)+BK65*boc_cost_bc+BL65*boc_cost_oc+BM65*boc_cost_pc+(BK65*VLOOKUP(AZ65,boc_trpr_bc_death,20,TRUE)+BL65*VLOOKUP(AZ65,boc_trpr_oc_death,TRUE)*boc_cost_death))/((1+discount)^AY65)</f>
        <v>#N/A</v>
      </c>
      <c r="BQ65" s="35" t="e">
        <f t="shared" si="48"/>
        <v>#N/A</v>
      </c>
      <c r="BR65" s="35" t="e">
        <f t="shared" si="49"/>
        <v>#N/A</v>
      </c>
      <c r="BS65" s="35"/>
      <c r="BU65" s="33">
        <v>46</v>
      </c>
      <c r="BV65" t="str">
        <f>$M$107</f>
        <v>boc_rr_oc_hip</v>
      </c>
      <c r="BW65" s="35">
        <f>$F$107</f>
        <v>12</v>
      </c>
      <c r="BX65" s="35">
        <f>$G$107</f>
        <v>18</v>
      </c>
      <c r="BY65" s="311">
        <v>-7.5454453101347099</v>
      </c>
      <c r="BZ65" s="311">
        <v>-7.5609323549820147</v>
      </c>
      <c r="CA65" s="311">
        <f t="shared" si="57"/>
        <v>1.5487044847304787E-2</v>
      </c>
      <c r="CD65" s="138">
        <v>60</v>
      </c>
      <c r="CE65" s="291">
        <v>6.7169999999999999E-3</v>
      </c>
    </row>
    <row r="66" spans="2:83" ht="15" customHeight="1" x14ac:dyDescent="0.2">
      <c r="B66" s="37" t="s">
        <v>7</v>
      </c>
      <c r="C66" s="35">
        <f>IF(psa,J66,IF(owsa_low=L66,F66,IF(owsa_high=L66,G66,IF(ISNUMBER(D66),D66,E66))))</f>
        <v>1</v>
      </c>
      <c r="D66" s="246"/>
      <c r="E66" s="35">
        <v>1</v>
      </c>
      <c r="F66" s="35">
        <f>MAX(0,IF(ISNUMBER(D66),D66,E66)*(1-owsa_boc))</f>
        <v>0.8</v>
      </c>
      <c r="G66" s="35">
        <f>IF(ISNUMBER(D66),D66,E66)*(1+owsa_boc)</f>
        <v>1.2</v>
      </c>
      <c r="H66" s="69">
        <f t="shared" ref="H66:H68" si="60">(LN(G66)-LN(F66))/(2*z)</f>
        <v>0.10343687723509754</v>
      </c>
      <c r="I66" s="48"/>
      <c r="J66" s="35">
        <f ca="1">_xlfn.LOGNORM.INV(RAND(),LN(IF(ISNUMBER(D66),D66,E66))-(H66^2)/2,H66)</f>
        <v>0.91778501789579348</v>
      </c>
      <c r="K66" s="12" t="s">
        <v>213</v>
      </c>
      <c r="L66" s="40">
        <v>15</v>
      </c>
      <c r="M66" s="247" t="s">
        <v>204</v>
      </c>
      <c r="N66" s="39" t="s">
        <v>48</v>
      </c>
      <c r="Q66" s="11"/>
      <c r="S66" s="11"/>
      <c r="AD66" s="12">
        <v>60</v>
      </c>
      <c r="AE66" s="12">
        <f t="shared" si="44"/>
        <v>105</v>
      </c>
      <c r="AF66" s="260" t="e">
        <f>AF65*(1-VLOOKUP(AE66,boc_trpr_bc,11,TRUE)*boc_rr_bc_mast-VLOOKUP(AE66,boc_trpr_oc,11,TRUE)*boc_rr_oc_mast-VLOOKUP(AE66,mortt,2,FALSE))+SUM(AI65,AK65,AM65)*boc_tr_mast_path+SUM(AJ65,AL65,AN65)*boc_tr_mast_vus</f>
        <v>#N/A</v>
      </c>
      <c r="AG66" s="260" t="e">
        <f>AG65*(1-VLOOKUP(AE66,boc_trpr_bc,11,TRUE)*boc_rr_bc_ooph-VLOOKUP(AE66,boc_trpr_oc,11,TRUE)*boc_rr_oc_ooph-VLOOKUP(AE66,mortt,2,FALSE))+SUM(AI65,AK65,AM65)*boc_tr_ooph_path+SUM(AJ65,AL65,AN65)*boc_tr_ooph_vus</f>
        <v>#N/A</v>
      </c>
      <c r="AH66" s="260" t="e">
        <f>AH65*(1-VLOOKUP(AE66,boc_trpr_bc,11,TRUE)*boc_rr_bc_both-VLOOKUP(AE66,boc_trpr_oc,11,TRUE)*boc_rr_oc_both-VLOOKUP(AE66,mortt,2,FALSE))+SUM(AI65,AK65,AM65)*boc_tr_both_path+SUM(AJ65,AL65,AN65)*boc_tr_both_vus</f>
        <v>#N/A</v>
      </c>
      <c r="AI66" s="289" t="e">
        <f>AI65*(1-VLOOKUP(AE66,boc_trpr_bc,11,TRUE)*boc_rr_bc_hip-VLOOKUP(AE66,boc_trpr_oc,11,TRUE)*boc_rr_oc_hip-boc_tr_mast_path-boc_tr_ooph_path-boc_tr_both_path-VLOOKUP(AE66,mortt,2,FALSE))</f>
        <v>#N/A</v>
      </c>
      <c r="AJ66" s="289" t="e">
        <f>AJ65*(1-VLOOKUP(AE66,boc_trpr_bc,11,TRUE)*boc_rr_bc_hiv-VLOOKUP(AE66,boc_trpr_oc,11,TRUE)*boc_rr_oc_hiv-boc_tr_mast_vus-boc_tr_ooph_vus-boc_tr_both_vus-VLOOKUP(AE66,mortt,2,FALSE))</f>
        <v>#N/A</v>
      </c>
      <c r="AK66" s="289" t="e">
        <f>AK65*(1-VLOOKUP(AE66,boc_trpr_bc,11,TRUE)*boc_rr_bc_modp-VLOOKUP(AE66,boc_trpr_oc,11,TRUE)*boc_rr_oc_modp-boc_tr_mast_path-boc_tr_ooph_path-boc_tr_both_path-VLOOKUP(AE66,mortt,2,FALSE))</f>
        <v>#N/A</v>
      </c>
      <c r="AL66" s="289" t="e">
        <f>AL65*(1-VLOOKUP(AE66,boc_trpr_bc,11,TRUE)*boc_rr_bc_modv-VLOOKUP(AE66,boc_trpr_oc,11,TRUE)*boc_rr_oc_modv-boc_tr_mast_vus-boc_tr_ooph_vus-boc_tr_both_vus-VLOOKUP(AE66,mortt,2,FALSE))</f>
        <v>#N/A</v>
      </c>
      <c r="AM66" s="289" t="e">
        <f>AM65*(1-VLOOKUP(AE66,boc_trpr_bc,11,TRUE)*boc_rr_bc_lop-VLOOKUP(AE66,boc_trpr_oc,11,TRUE)*boc_rr_oc_lop-boc_tr_mast_path-boc_tr_ooph_path-boc_tr_both_path-VLOOKUP(AE66,mortt,2,FALSE))</f>
        <v>#N/A</v>
      </c>
      <c r="AN66" s="289" t="e">
        <f>AN65*(1-VLOOKUP(AE66,boc_trpr_bc,11,TRUE)*boc_rr_bc_lov-VLOOKUP(AE66,boc_trpr_oc,11,TRUE)*boc_rr_oc_lov-boc_tr_mast_vus-boc_tr_ooph_vus-boc_tr_both_vus-VLOOKUP(AE66,mortt,2,FALSE))</f>
        <v>#N/A</v>
      </c>
      <c r="AO66" s="260" t="e">
        <f>AO65*(1-VLOOKUP(AE66,boc_trpr_bc,11,TRUE)*boc_rr_bc_np-VLOOKUP(AE66,boc_trpr_oc,11,TRUE)*boc_rr_oc_np-VLOOKUP(AE66,mortt,2,FALSE))</f>
        <v>#N/A</v>
      </c>
      <c r="AP66" s="260" t="e">
        <f>AF65*VLOOKUP(AE66,boc_trpr_bc,11,TRUE)*boc_rr_bc_mast+AG65*VLOOKUP(AE66,boc_trpr_bc,11,TRUE)*boc_rr_bc_ooph+AH65*VLOOKUP(AE66,boc_trpr_bc,11,TRUE)*boc_rr_bc_both+AI65*VLOOKUP(AE66,boc_trpr_bc,11,TRUE)*boc_rr_bc_hip+AJ65*VLOOKUP(AE66,boc_trpr_bc,11,TRUE)*boc_rr_bc_hiv+AK65*VLOOKUP(AE66,boc_trpr_bc,11,TRUE)*boc_rr_bc_modp+AL65*VLOOKUP(AE66,boc_trpr_bc,11,TRUE)*boc_rr_bc_modv+AM65*VLOOKUP(AE66,boc_trpr_bc,11,TRUE)*boc_rr_bc_lop+AN65*VLOOKUP(AE66,boc_trpr_bc,11,TRUE)*boc_rr_bc_lov+AO65*VLOOKUP(AE66,boc_trpr_bc,11,TRUE)*boc_rr_bc_np</f>
        <v>#N/A</v>
      </c>
      <c r="AQ66" s="260" t="e">
        <f>AF65*VLOOKUP(AE66,boc_trpr_oc,11,TRUE)*boc_rr_oc_mast+AG65*VLOOKUP(AE66,boc_trpr_oc,11,TRUE)*boc_rr_oc_ooph+AH65*VLOOKUP(AE66,boc_trpr_oc,11,TRUE)*boc_rr_oc_both+AI65*VLOOKUP(AE66,boc_trpr_oc,11,TRUE)*boc_rr_oc_hip+AJ65*VLOOKUP(AE66,boc_trpr_oc,11,TRUE)*boc_rr_oc_hiv+AK65*VLOOKUP(AE66,boc_trpr_oc,11,TRUE)*boc_rr_oc_modp+AL65*VLOOKUP(AE66,boc_trpr_oc,11,TRUE)*boc_rr_oc_modv+AM65*VLOOKUP(AE66,boc_trpr_oc,11,TRUE)*boc_rr_oc_lop+AN65*VLOOKUP(AE66,boc_trpr_oc,11,TRUE)*boc_rr_oc_lov+AO65*VLOOKUP(AE66,boc_trpr_oc,11,TRUE)*boc_rr_oc_np</f>
        <v>#N/A</v>
      </c>
      <c r="AR66" s="260" t="e">
        <f>AP65*(1-VLOOKUP(AE66,boc_trpr_bc_death,20,TRUE))+AQ65*(1-VLOOKUP(AE66,boc_trpr_oc_death,20,TRUE))+AR65*(1-VLOOKUP(AE66,mortt,2,FALSE)*boc_rr_death_pc)</f>
        <v>#N/A</v>
      </c>
      <c r="AS66" s="260" t="e">
        <f>AS65+SUM(AF65:AO65)*VLOOKUP(AE66,mortt,2,FALSE)+AP65*VLOOKUP(AE66,boc_trpr_bc_death,20,TRUE)+AQ65*VLOOKUP(AE66,boc_trpr_bc_death,20,TRUE)+AR65*VLOOKUP(AE66,mortt,2,FALSE)*boc_rr_death_pc</f>
        <v>#N/A</v>
      </c>
      <c r="AT66" s="260" t="e">
        <f t="shared" si="52"/>
        <v>#N/A</v>
      </c>
      <c r="AU66" s="118" t="e">
        <f>(boc_cost_mast*SUM(AI66,AK66,AM66)*(boc_tr_mast_path+boc_tr_both_path)+SUM(AJ66,AL66,AN66)*(boc_tr_mast_vus+boc_tr_both_vus)+AP66*boc_cost_bc+AQ66*boc_cost_oc+AR66*boc_cost_pc+(AP66*VLOOKUP(AE66,boc_trpr_bc_death,20,TRUE)+AQ66*VLOOKUP(AE66,boc_trpr_oc_death,TRUE)*boc_cost_death))/((1+discount)^AD66)</f>
        <v>#N/A</v>
      </c>
      <c r="AV66" s="35" t="e">
        <f t="shared" si="45"/>
        <v>#N/A</v>
      </c>
      <c r="AW66" s="35" t="e">
        <f t="shared" si="46"/>
        <v>#N/A</v>
      </c>
      <c r="AY66" s="12">
        <v>60</v>
      </c>
      <c r="AZ66" s="12">
        <f t="shared" si="47"/>
        <v>105</v>
      </c>
      <c r="BA66" s="260" t="e">
        <f>BA65*(1-VLOOKUP(AZ66,boc_trpr_bc,11,TRUE)*boc_rr_bc_mast-VLOOKUP(AZ66,boc_trpr_oc,11,TRUE)*boc_rr_oc_mast-VLOOKUP(AZ66,mortt,2,FALSE))</f>
        <v>#N/A</v>
      </c>
      <c r="BB66" s="260" t="e">
        <f>BB65*(1-VLOOKUP(AZ66,boc_trpr_bc,11,TRUE)*boc_rr_bc_ooph-VLOOKUP(AZ66,boc_trpr_oc,11,TRUE)*boc_rr_oc_ooph-VLOOKUP(AZ66,mortt,2,FALSE))</f>
        <v>#N/A</v>
      </c>
      <c r="BC66" s="260" t="e">
        <f>BC65*(1-VLOOKUP(AZ66,boc_trpr_bc,11,TRUE)*boc_rr_bc_both-VLOOKUP(AZ66,boc_trpr_oc,11,TRUE)*boc_rr_oc_both-VLOOKUP(AZ66,mortt,2,FALSE))</f>
        <v>#N/A</v>
      </c>
      <c r="BD66" s="289" t="e">
        <f>BD65*(1-VLOOKUP(AZ66,boc_trpr_bc,11,TRUE)*boc_rr_bc_hip-VLOOKUP(AZ66,boc_trpr_oc,11,TRUE)*boc_rr_oc_hip-VLOOKUP(AZ66,mortt,2,FALSE))</f>
        <v>#N/A</v>
      </c>
      <c r="BE66" s="289" t="e">
        <f>BE65*(1-VLOOKUP(AZ66,boc_trpr_bc,11,TRUE)*boc_rr_bc_hiv-VLOOKUP(AZ66,boc_trpr_oc,11,TRUE)*boc_rr_oc_hiv-VLOOKUP(AZ66,mortt,2,FALSE))</f>
        <v>#N/A</v>
      </c>
      <c r="BF66" s="289" t="e">
        <f>BF65*(1-VLOOKUP(AZ66,boc_trpr_bc,11,TRUE)*boc_rr_bc_modp-VLOOKUP(AZ66,boc_trpr_oc,11,TRUE)*boc_rr_oc_modp-VLOOKUP(AZ66,mortt,2,FALSE))</f>
        <v>#N/A</v>
      </c>
      <c r="BG66" s="289" t="e">
        <f>BG65*(1-VLOOKUP(AZ66,boc_trpr_bc,11,TRUE)*boc_rr_bc_modv-VLOOKUP(AZ66,boc_trpr_oc,11,TRUE)*boc_rr_oc_modv-VLOOKUP(AZ66,mortt,2,FALSE))</f>
        <v>#N/A</v>
      </c>
      <c r="BH66" s="289" t="e">
        <f>BH65*(1-VLOOKUP(AZ66,boc_trpr_bc,11,TRUE)*boc_rr_bc_lop-VLOOKUP(AZ66,boc_trpr_oc,11,TRUE)*boc_rr_oc_lop-VLOOKUP(AZ66,mortt,2,FALSE))</f>
        <v>#N/A</v>
      </c>
      <c r="BI66" s="289" t="e">
        <f>BI65*(1-VLOOKUP(AZ66,boc_trpr_bc,11,TRUE)*boc_rr_bc_lov-VLOOKUP(AZ66,boc_trpr_oc,11,TRUE)*boc_rr_oc_lov-VLOOKUP(AZ66,mortt,2,FALSE))</f>
        <v>#N/A</v>
      </c>
      <c r="BJ66" s="260" t="e">
        <f>BJ65*(1-VLOOKUP(AZ66,boc_trpr_bc,11,TRUE)*boc_rr_bc_np-VLOOKUP(AZ66,boc_trpr_oc,11,TRUE)*boc_rr_oc_np-VLOOKUP(AZ66,mortt,2,FALSE))</f>
        <v>#N/A</v>
      </c>
      <c r="BK66" s="260" t="e">
        <f>BA65*VLOOKUP(AZ66,boc_trpr_bc,11,TRUE)*boc_rr_bc_mast+BB65*VLOOKUP(AZ66,boc_trpr_bc,11,TRUE)*boc_rr_bc_ooph+BC65*VLOOKUP(AZ66,boc_trpr_bc,11,TRUE)*boc_rr_bc_both+BD65*VLOOKUP(AZ66,boc_trpr_bc,11,TRUE)*boc_rr_bc_hip+BE65*VLOOKUP(AZ66,boc_trpr_bc,11,TRUE)*boc_rr_bc_hiv+BF65*VLOOKUP(AZ66,boc_trpr_bc,11,TRUE)*boc_rr_bc_modp+BG65*VLOOKUP(AZ66,boc_trpr_bc,11,TRUE)*boc_rr_bc_modv+BH65*VLOOKUP(AZ66,boc_trpr_bc,11,TRUE)*boc_rr_bc_lop+BI65*VLOOKUP(AZ66,boc_trpr_bc,11,TRUE)*boc_rr_bc_lov+BJ65*VLOOKUP(AZ66,boc_trpr_bc,11,TRUE)*boc_rr_bc_np</f>
        <v>#N/A</v>
      </c>
      <c r="BL66" s="260" t="e">
        <f>BA65*VLOOKUP(AZ66,boc_trpr_oc,11,TRUE)*boc_rr_oc_mast+BB65*VLOOKUP(AZ66,boc_trpr_oc,11,TRUE)*boc_rr_oc_ooph+BC65*VLOOKUP(AZ66,boc_trpr_oc,11,TRUE)*boc_rr_oc_both+BD65*VLOOKUP(AZ66,boc_trpr_oc,11,TRUE)*boc_rr_oc_hip+BE65*VLOOKUP(AZ66,boc_trpr_oc,11,TRUE)*boc_rr_oc_hiv+BF65*VLOOKUP(AZ66,boc_trpr_oc,11,TRUE)*boc_rr_oc_modp+BG65*VLOOKUP(AZ66,boc_trpr_oc,11,TRUE)*boc_rr_oc_modv+BH65*VLOOKUP(AZ66,boc_trpr_oc,11,TRUE)*boc_rr_oc_lop+BI65*VLOOKUP(AZ66,boc_trpr_oc,11,TRUE)*boc_rr_oc_lov+BJ65*VLOOKUP(AZ66,boc_trpr_oc,11,TRUE)*boc_rr_oc_np</f>
        <v>#N/A</v>
      </c>
      <c r="BM66" s="260" t="e">
        <f>BK65*(1-VLOOKUP(AZ66,boc_trpr_bc_death,20,TRUE))+BL65*(1-VLOOKUP(AZ66,boc_trpr_oc_death,20,TRUE))+BM65*(1-VLOOKUP(AZ66,mortt,2,FALSE)*boc_rr_death_pc)</f>
        <v>#N/A</v>
      </c>
      <c r="BN66" s="260" t="e">
        <f>BN65+SUM(BA65:BJ65)*VLOOKUP(AZ66,mortt,2,FALSE)+BK65*VLOOKUP(AZ66,boc_trpr_bc_death,20,TRUE)+BL65*VLOOKUP(AZ66,boc_trpr_bc_death,20,TRUE)+BM65*VLOOKUP(AZ66,mortt,2,FALSE)*boc_rr_death_pc</f>
        <v>#N/A</v>
      </c>
      <c r="BO66" s="260" t="e">
        <f t="shared" si="41"/>
        <v>#N/A</v>
      </c>
      <c r="BP66" s="118" t="e">
        <f>(boc_cost_mast*SUM(BD66,BF66,BH66)*(boc_tr_mast_path+boc_tr_both_path)+SUM(BE66,BG66,BI66)*(boc_tr_mast_vus+boc_tr_both_vus)+BK66*boc_cost_bc+BL66*boc_cost_oc+BM66*boc_cost_pc+(BK66*VLOOKUP(AZ66,boc_trpr_bc_death,20,TRUE)+BL66*VLOOKUP(AZ66,boc_trpr_oc_death,TRUE)*boc_cost_death))/((1+discount)^AY66)</f>
        <v>#N/A</v>
      </c>
      <c r="BQ66" s="35" t="e">
        <f t="shared" si="48"/>
        <v>#N/A</v>
      </c>
      <c r="BR66" s="35" t="e">
        <f t="shared" si="49"/>
        <v>#N/A</v>
      </c>
      <c r="BS66" s="35"/>
      <c r="BU66" s="33">
        <v>19</v>
      </c>
      <c r="BV66" t="str">
        <f>$M$108</f>
        <v>boc_rr_oc_hiv</v>
      </c>
      <c r="BW66" s="35">
        <f>$F$108</f>
        <v>0.88000000000000012</v>
      </c>
      <c r="BX66" s="35">
        <f>$G$108</f>
        <v>1.32</v>
      </c>
      <c r="BY66" s="311">
        <v>-7.5462854695415444</v>
      </c>
      <c r="BZ66" s="311">
        <v>-7.5601102448417805</v>
      </c>
      <c r="CA66" s="311">
        <f t="shared" si="57"/>
        <v>1.382477530023607E-2</v>
      </c>
      <c r="CD66" s="138">
        <v>61</v>
      </c>
      <c r="CE66" s="291">
        <v>7.1929999999999997E-3</v>
      </c>
    </row>
    <row r="67" spans="2:83" ht="15" customHeight="1" x14ac:dyDescent="0.2">
      <c r="B67" s="37" t="s">
        <v>8</v>
      </c>
      <c r="C67" s="35">
        <f>IF(psa,J67,IF(owsa_low=L67,F67,IF(owsa_high=L67,G67,IF(ISNUMBER(D67),D67,E67))))</f>
        <v>1</v>
      </c>
      <c r="D67" s="246"/>
      <c r="E67" s="35">
        <v>1</v>
      </c>
      <c r="F67" s="35">
        <f>MAX(0,IF(ISNUMBER(D67),D67,E67)*(1-owsa_boc))</f>
        <v>0.8</v>
      </c>
      <c r="G67" s="35">
        <f>IF(ISNUMBER(D67),D67,E67)*(1+owsa_boc)</f>
        <v>1.2</v>
      </c>
      <c r="H67" s="69">
        <f t="shared" si="60"/>
        <v>0.10343687723509754</v>
      </c>
      <c r="I67" s="48"/>
      <c r="J67" s="35">
        <f ca="1">_xlfn.LOGNORM.INV(RAND(),LN(IF(ISNUMBER(D67),D67,E67))-(H67^2)/2,H67)</f>
        <v>1.0046463115916802</v>
      </c>
      <c r="K67" s="12" t="s">
        <v>213</v>
      </c>
      <c r="L67" s="40">
        <v>16</v>
      </c>
      <c r="M67" s="247" t="s">
        <v>205</v>
      </c>
      <c r="N67" s="39" t="s">
        <v>48</v>
      </c>
      <c r="Q67" s="11"/>
      <c r="S67" s="11"/>
      <c r="U67" s="9" t="s">
        <v>7</v>
      </c>
      <c r="V67" s="250">
        <f>boc_unk_int_mast</f>
        <v>0.01</v>
      </c>
      <c r="X67" s="261">
        <f>R63*T68*V67</f>
        <v>2.4891721632082538E-4</v>
      </c>
      <c r="AD67" s="12">
        <v>61</v>
      </c>
      <c r="AE67" s="12">
        <f t="shared" si="44"/>
        <v>106</v>
      </c>
      <c r="AF67" s="260" t="e">
        <f>AF66*(1-VLOOKUP(AE67,boc_trpr_bc,11,TRUE)*boc_rr_bc_mast-VLOOKUP(AE67,boc_trpr_oc,11,TRUE)*boc_rr_oc_mast-VLOOKUP(AE67,mortt,2,FALSE))+SUM(AI66,AK66,AM66)*boc_tr_mast_path+SUM(AJ66,AL66,AN66)*boc_tr_mast_vus</f>
        <v>#N/A</v>
      </c>
      <c r="AG67" s="260" t="e">
        <f>AG66*(1-VLOOKUP(AE67,boc_trpr_bc,11,TRUE)*boc_rr_bc_ooph-VLOOKUP(AE67,boc_trpr_oc,11,TRUE)*boc_rr_oc_ooph-VLOOKUP(AE67,mortt,2,FALSE))+SUM(AI66,AK66,AM66)*boc_tr_ooph_path+SUM(AJ66,AL66,AN66)*boc_tr_ooph_vus</f>
        <v>#N/A</v>
      </c>
      <c r="AH67" s="260" t="e">
        <f>AH66*(1-VLOOKUP(AE67,boc_trpr_bc,11,TRUE)*boc_rr_bc_both-VLOOKUP(AE67,boc_trpr_oc,11,TRUE)*boc_rr_oc_both-VLOOKUP(AE67,mortt,2,FALSE))+SUM(AI66,AK66,AM66)*boc_tr_both_path+SUM(AJ66,AL66,AN66)*boc_tr_both_vus</f>
        <v>#N/A</v>
      </c>
      <c r="AI67" s="289" t="e">
        <f>AI66*(1-VLOOKUP(AE67,boc_trpr_bc,11,TRUE)*boc_rr_bc_hip-VLOOKUP(AE67,boc_trpr_oc,11,TRUE)*boc_rr_oc_hip-boc_tr_mast_path-boc_tr_ooph_path-boc_tr_both_path-VLOOKUP(AE67,mortt,2,FALSE))</f>
        <v>#N/A</v>
      </c>
      <c r="AJ67" s="289" t="e">
        <f>AJ66*(1-VLOOKUP(AE67,boc_trpr_bc,11,TRUE)*boc_rr_bc_hiv-VLOOKUP(AE67,boc_trpr_oc,11,TRUE)*boc_rr_oc_hiv-boc_tr_mast_vus-boc_tr_ooph_vus-boc_tr_both_vus-VLOOKUP(AE67,mortt,2,FALSE))</f>
        <v>#N/A</v>
      </c>
      <c r="AK67" s="289" t="e">
        <f>AK66*(1-VLOOKUP(AE67,boc_trpr_bc,11,TRUE)*boc_rr_bc_modp-VLOOKUP(AE67,boc_trpr_oc,11,TRUE)*boc_rr_oc_modp-boc_tr_mast_path-boc_tr_ooph_path-boc_tr_both_path-VLOOKUP(AE67,mortt,2,FALSE))</f>
        <v>#N/A</v>
      </c>
      <c r="AL67" s="289" t="e">
        <f>AL66*(1-VLOOKUP(AE67,boc_trpr_bc,11,TRUE)*boc_rr_bc_modv-VLOOKUP(AE67,boc_trpr_oc,11,TRUE)*boc_rr_oc_modv-boc_tr_mast_vus-boc_tr_ooph_vus-boc_tr_both_vus-VLOOKUP(AE67,mortt,2,FALSE))</f>
        <v>#N/A</v>
      </c>
      <c r="AM67" s="289" t="e">
        <f>AM66*(1-VLOOKUP(AE67,boc_trpr_bc,11,TRUE)*boc_rr_bc_lop-VLOOKUP(AE67,boc_trpr_oc,11,TRUE)*boc_rr_oc_lop-boc_tr_mast_path-boc_tr_ooph_path-boc_tr_both_path-VLOOKUP(AE67,mortt,2,FALSE))</f>
        <v>#N/A</v>
      </c>
      <c r="AN67" s="289" t="e">
        <f>AN66*(1-VLOOKUP(AE67,boc_trpr_bc,11,TRUE)*boc_rr_bc_lov-VLOOKUP(AE67,boc_trpr_oc,11,TRUE)*boc_rr_oc_lov-boc_tr_mast_vus-boc_tr_ooph_vus-boc_tr_both_vus-VLOOKUP(AE67,mortt,2,FALSE))</f>
        <v>#N/A</v>
      </c>
      <c r="AO67" s="260" t="e">
        <f>AO66*(1-VLOOKUP(AE67,boc_trpr_bc,11,TRUE)*boc_rr_bc_np-VLOOKUP(AE67,boc_trpr_oc,11,TRUE)*boc_rr_oc_np-VLOOKUP(AE67,mortt,2,FALSE))</f>
        <v>#N/A</v>
      </c>
      <c r="AP67" s="260" t="e">
        <f>AF66*VLOOKUP(AE67,boc_trpr_bc,11,TRUE)*boc_rr_bc_mast+AG66*VLOOKUP(AE67,boc_trpr_bc,11,TRUE)*boc_rr_bc_ooph+AH66*VLOOKUP(AE67,boc_trpr_bc,11,TRUE)*boc_rr_bc_both+AI66*VLOOKUP(AE67,boc_trpr_bc,11,TRUE)*boc_rr_bc_hip+AJ66*VLOOKUP(AE67,boc_trpr_bc,11,TRUE)*boc_rr_bc_hiv+AK66*VLOOKUP(AE67,boc_trpr_bc,11,TRUE)*boc_rr_bc_modp+AL66*VLOOKUP(AE67,boc_trpr_bc,11,TRUE)*boc_rr_bc_modv+AM66*VLOOKUP(AE67,boc_trpr_bc,11,TRUE)*boc_rr_bc_lop+AN66*VLOOKUP(AE67,boc_trpr_bc,11,TRUE)*boc_rr_bc_lov+AO66*VLOOKUP(AE67,boc_trpr_bc,11,TRUE)*boc_rr_bc_np</f>
        <v>#N/A</v>
      </c>
      <c r="AQ67" s="260" t="e">
        <f>AF66*VLOOKUP(AE67,boc_trpr_oc,11,TRUE)*boc_rr_oc_mast+AG66*VLOOKUP(AE67,boc_trpr_oc,11,TRUE)*boc_rr_oc_ooph+AH66*VLOOKUP(AE67,boc_trpr_oc,11,TRUE)*boc_rr_oc_both+AI66*VLOOKUP(AE67,boc_trpr_oc,11,TRUE)*boc_rr_oc_hip+AJ66*VLOOKUP(AE67,boc_trpr_oc,11,TRUE)*boc_rr_oc_hiv+AK66*VLOOKUP(AE67,boc_trpr_oc,11,TRUE)*boc_rr_oc_modp+AL66*VLOOKUP(AE67,boc_trpr_oc,11,TRUE)*boc_rr_oc_modv+AM66*VLOOKUP(AE67,boc_trpr_oc,11,TRUE)*boc_rr_oc_lop+AN66*VLOOKUP(AE67,boc_trpr_oc,11,TRUE)*boc_rr_oc_lov+AO66*VLOOKUP(AE67,boc_trpr_oc,11,TRUE)*boc_rr_oc_np</f>
        <v>#N/A</v>
      </c>
      <c r="AR67" s="260" t="e">
        <f>AP66*(1-VLOOKUP(AE67,boc_trpr_bc_death,20,TRUE))+AQ66*(1-VLOOKUP(AE67,boc_trpr_oc_death,20,TRUE))+AR66*(1-VLOOKUP(AE67,mortt,2,FALSE)*boc_rr_death_pc)</f>
        <v>#N/A</v>
      </c>
      <c r="AS67" s="260" t="e">
        <f>AS66+SUM(AF66:AO66)*VLOOKUP(AE67,mortt,2,FALSE)+AP66*VLOOKUP(AE67,boc_trpr_bc_death,20,TRUE)+AQ66*VLOOKUP(AE67,boc_trpr_bc_death,20,TRUE)+AR66*VLOOKUP(AE67,mortt,2,FALSE)*boc_rr_death_pc</f>
        <v>#N/A</v>
      </c>
      <c r="AT67" s="260" t="e">
        <f t="shared" si="52"/>
        <v>#N/A</v>
      </c>
      <c r="AU67" s="118" t="e">
        <f>(boc_cost_mast*SUM(AI67,AK67,AM67)*(boc_tr_mast_path+boc_tr_both_path)+SUM(AJ67,AL67,AN67)*(boc_tr_mast_vus+boc_tr_both_vus)+AP67*boc_cost_bc+AQ67*boc_cost_oc+AR67*boc_cost_pc+(AP67*VLOOKUP(AE67,boc_trpr_bc_death,20,TRUE)+AQ67*VLOOKUP(AE67,boc_trpr_oc_death,TRUE)*boc_cost_death))/((1+discount)^AD67)</f>
        <v>#N/A</v>
      </c>
      <c r="AV67" s="35" t="e">
        <f t="shared" si="45"/>
        <v>#N/A</v>
      </c>
      <c r="AW67" s="35" t="e">
        <f t="shared" si="46"/>
        <v>#N/A</v>
      </c>
      <c r="AY67" s="12">
        <v>61</v>
      </c>
      <c r="AZ67" s="12">
        <f t="shared" si="47"/>
        <v>106</v>
      </c>
      <c r="BA67" s="260" t="e">
        <f>BA66*(1-VLOOKUP(AZ67,boc_trpr_bc,11,TRUE)*boc_rr_bc_mast-VLOOKUP(AZ67,boc_trpr_oc,11,TRUE)*boc_rr_oc_mast-VLOOKUP(AZ67,mortt,2,FALSE))</f>
        <v>#N/A</v>
      </c>
      <c r="BB67" s="260" t="e">
        <f>BB66*(1-VLOOKUP(AZ67,boc_trpr_bc,11,TRUE)*boc_rr_bc_ooph-VLOOKUP(AZ67,boc_trpr_oc,11,TRUE)*boc_rr_oc_ooph-VLOOKUP(AZ67,mortt,2,FALSE))</f>
        <v>#N/A</v>
      </c>
      <c r="BC67" s="260" t="e">
        <f>BC66*(1-VLOOKUP(AZ67,boc_trpr_bc,11,TRUE)*boc_rr_bc_both-VLOOKUP(AZ67,boc_trpr_oc,11,TRUE)*boc_rr_oc_both-VLOOKUP(AZ67,mortt,2,FALSE))</f>
        <v>#N/A</v>
      </c>
      <c r="BD67" s="289" t="e">
        <f>BD66*(1-VLOOKUP(AZ67,boc_trpr_bc,11,TRUE)*boc_rr_bc_hip-VLOOKUP(AZ67,boc_trpr_oc,11,TRUE)*boc_rr_oc_hip-VLOOKUP(AZ67,mortt,2,FALSE))</f>
        <v>#N/A</v>
      </c>
      <c r="BE67" s="289" t="e">
        <f>BE66*(1-VLOOKUP(AZ67,boc_trpr_bc,11,TRUE)*boc_rr_bc_hiv-VLOOKUP(AZ67,boc_trpr_oc,11,TRUE)*boc_rr_oc_hiv-VLOOKUP(AZ67,mortt,2,FALSE))</f>
        <v>#N/A</v>
      </c>
      <c r="BF67" s="289" t="e">
        <f>BF66*(1-VLOOKUP(AZ67,boc_trpr_bc,11,TRUE)*boc_rr_bc_modp-VLOOKUP(AZ67,boc_trpr_oc,11,TRUE)*boc_rr_oc_modp-VLOOKUP(AZ67,mortt,2,FALSE))</f>
        <v>#N/A</v>
      </c>
      <c r="BG67" s="289" t="e">
        <f>BG66*(1-VLOOKUP(AZ67,boc_trpr_bc,11,TRUE)*boc_rr_bc_modv-VLOOKUP(AZ67,boc_trpr_oc,11,TRUE)*boc_rr_oc_modv-VLOOKUP(AZ67,mortt,2,FALSE))</f>
        <v>#N/A</v>
      </c>
      <c r="BH67" s="289" t="e">
        <f>BH66*(1-VLOOKUP(AZ67,boc_trpr_bc,11,TRUE)*boc_rr_bc_lop-VLOOKUP(AZ67,boc_trpr_oc,11,TRUE)*boc_rr_oc_lop-VLOOKUP(AZ67,mortt,2,FALSE))</f>
        <v>#N/A</v>
      </c>
      <c r="BI67" s="289" t="e">
        <f>BI66*(1-VLOOKUP(AZ67,boc_trpr_bc,11,TRUE)*boc_rr_bc_lov-VLOOKUP(AZ67,boc_trpr_oc,11,TRUE)*boc_rr_oc_lov-VLOOKUP(AZ67,mortt,2,FALSE))</f>
        <v>#N/A</v>
      </c>
      <c r="BJ67" s="260" t="e">
        <f>BJ66*(1-VLOOKUP(AZ67,boc_trpr_bc,11,TRUE)*boc_rr_bc_np-VLOOKUP(AZ67,boc_trpr_oc,11,TRUE)*boc_rr_oc_np-VLOOKUP(AZ67,mortt,2,FALSE))</f>
        <v>#N/A</v>
      </c>
      <c r="BK67" s="260" t="e">
        <f>BA66*VLOOKUP(AZ67,boc_trpr_bc,11,TRUE)*boc_rr_bc_mast+BB66*VLOOKUP(AZ67,boc_trpr_bc,11,TRUE)*boc_rr_bc_ooph+BC66*VLOOKUP(AZ67,boc_trpr_bc,11,TRUE)*boc_rr_bc_both+BD66*VLOOKUP(AZ67,boc_trpr_bc,11,TRUE)*boc_rr_bc_hip+BE66*VLOOKUP(AZ67,boc_trpr_bc,11,TRUE)*boc_rr_bc_hiv+BF66*VLOOKUP(AZ67,boc_trpr_bc,11,TRUE)*boc_rr_bc_modp+BG66*VLOOKUP(AZ67,boc_trpr_bc,11,TRUE)*boc_rr_bc_modv+BH66*VLOOKUP(AZ67,boc_trpr_bc,11,TRUE)*boc_rr_bc_lop+BI66*VLOOKUP(AZ67,boc_trpr_bc,11,TRUE)*boc_rr_bc_lov+BJ66*VLOOKUP(AZ67,boc_trpr_bc,11,TRUE)*boc_rr_bc_np</f>
        <v>#N/A</v>
      </c>
      <c r="BL67" s="260" t="e">
        <f>BA66*VLOOKUP(AZ67,boc_trpr_oc,11,TRUE)*boc_rr_oc_mast+BB66*VLOOKUP(AZ67,boc_trpr_oc,11,TRUE)*boc_rr_oc_ooph+BC66*VLOOKUP(AZ67,boc_trpr_oc,11,TRUE)*boc_rr_oc_both+BD66*VLOOKUP(AZ67,boc_trpr_oc,11,TRUE)*boc_rr_oc_hip+BE66*VLOOKUP(AZ67,boc_trpr_oc,11,TRUE)*boc_rr_oc_hiv+BF66*VLOOKUP(AZ67,boc_trpr_oc,11,TRUE)*boc_rr_oc_modp+BG66*VLOOKUP(AZ67,boc_trpr_oc,11,TRUE)*boc_rr_oc_modv+BH66*VLOOKUP(AZ67,boc_trpr_oc,11,TRUE)*boc_rr_oc_lop+BI66*VLOOKUP(AZ67,boc_trpr_oc,11,TRUE)*boc_rr_oc_lov+BJ66*VLOOKUP(AZ67,boc_trpr_oc,11,TRUE)*boc_rr_oc_np</f>
        <v>#N/A</v>
      </c>
      <c r="BM67" s="260" t="e">
        <f>BK66*(1-VLOOKUP(AZ67,boc_trpr_bc_death,20,TRUE))+BL66*(1-VLOOKUP(AZ67,boc_trpr_oc_death,20,TRUE))+BM66*(1-VLOOKUP(AZ67,mortt,2,FALSE)*boc_rr_death_pc)</f>
        <v>#N/A</v>
      </c>
      <c r="BN67" s="260" t="e">
        <f>BN66+SUM(BA66:BJ66)*VLOOKUP(AZ67,mortt,2,FALSE)+BK66*VLOOKUP(AZ67,boc_trpr_bc_death,20,TRUE)+BL66*VLOOKUP(AZ67,boc_trpr_bc_death,20,TRUE)+BM66*VLOOKUP(AZ67,mortt,2,FALSE)*boc_rr_death_pc</f>
        <v>#N/A</v>
      </c>
      <c r="BO67" s="260" t="e">
        <f t="shared" si="41"/>
        <v>#N/A</v>
      </c>
      <c r="BP67" s="118" t="e">
        <f>(boc_cost_mast*SUM(BD67,BF67,BH67)*(boc_tr_mast_path+boc_tr_both_path)+SUM(BE67,BG67,BI67)*(boc_tr_mast_vus+boc_tr_both_vus)+BK67*boc_cost_bc+BL67*boc_cost_oc+BM67*boc_cost_pc+(BK67*VLOOKUP(AZ67,boc_trpr_bc_death,20,TRUE)+BL67*VLOOKUP(AZ67,boc_trpr_oc_death,TRUE)*boc_cost_death))/((1+discount)^AY67)</f>
        <v>#N/A</v>
      </c>
      <c r="BQ67" s="35" t="e">
        <f t="shared" si="48"/>
        <v>#N/A</v>
      </c>
      <c r="BR67" s="35" t="e">
        <f t="shared" si="49"/>
        <v>#N/A</v>
      </c>
      <c r="BS67" s="35"/>
      <c r="BU67" s="33">
        <v>28</v>
      </c>
      <c r="BV67" t="str">
        <f>$M$110</f>
        <v>boc_rr_oc_modp</v>
      </c>
      <c r="BW67" s="35">
        <f>$F$110</f>
        <v>4</v>
      </c>
      <c r="BX67" s="35">
        <f>$G$110</f>
        <v>6</v>
      </c>
      <c r="BY67" s="311">
        <v>-7.5463410303668752</v>
      </c>
      <c r="BZ67" s="311">
        <v>-7.5599459620289053</v>
      </c>
      <c r="CA67" s="311">
        <f t="shared" si="57"/>
        <v>1.360493166203014E-2</v>
      </c>
      <c r="CD67" s="138">
        <v>62</v>
      </c>
      <c r="CE67" s="291">
        <v>7.7270000000000004E-3</v>
      </c>
    </row>
    <row r="68" spans="2:83" ht="15" customHeight="1" x14ac:dyDescent="0.2">
      <c r="B68" s="37" t="s">
        <v>6</v>
      </c>
      <c r="C68" s="35">
        <f>IF(psa,J68,IF(owsa_low=L68,F68,IF(owsa_high=L68,G68,IF(ISNUMBER(D68),D68,E68))))</f>
        <v>1</v>
      </c>
      <c r="D68" s="246"/>
      <c r="E68" s="35">
        <v>1</v>
      </c>
      <c r="F68" s="35">
        <f>MAX(0,IF(ISNUMBER(D68),D68,E68)*(1-owsa_boc))</f>
        <v>0.8</v>
      </c>
      <c r="G68" s="35">
        <f>IF(ISNUMBER(D68),D68,E68)*(1+owsa_boc)</f>
        <v>1.2</v>
      </c>
      <c r="H68" s="69">
        <f t="shared" si="60"/>
        <v>0.10343687723509754</v>
      </c>
      <c r="I68" s="48"/>
      <c r="J68" s="35">
        <f ca="1">_xlfn.LOGNORM.INV(RAND(),LN(IF(ISNUMBER(D68),D68,E68))-(H68^2)/2,H68)</f>
        <v>1.1309585919662233</v>
      </c>
      <c r="K68" s="12" t="s">
        <v>213</v>
      </c>
      <c r="L68" s="40">
        <v>17</v>
      </c>
      <c r="M68" s="247" t="s">
        <v>206</v>
      </c>
      <c r="N68" s="39" t="s">
        <v>48</v>
      </c>
      <c r="Q68" s="11"/>
      <c r="S68" s="9" t="s">
        <v>13</v>
      </c>
      <c r="T68" s="251">
        <f>boc_path_high_np</f>
        <v>0.63469613300000005</v>
      </c>
      <c r="U68" s="9" t="s">
        <v>8</v>
      </c>
      <c r="V68" s="250">
        <f>boc_unk_int_ooph</f>
        <v>0.01</v>
      </c>
      <c r="Y68" s="261">
        <f>R63*T68*V68</f>
        <v>2.4891721632082538E-4</v>
      </c>
      <c r="AD68" s="12">
        <v>62</v>
      </c>
      <c r="AE68" s="12">
        <f t="shared" si="44"/>
        <v>107</v>
      </c>
      <c r="AF68" s="260" t="e">
        <f>AF67*(1-VLOOKUP(AE68,boc_trpr_bc,11,TRUE)*boc_rr_bc_mast-VLOOKUP(AE68,boc_trpr_oc,11,TRUE)*boc_rr_oc_mast-VLOOKUP(AE68,mortt,2,FALSE))+SUM(AI67,AK67,AM67)*boc_tr_mast_path+SUM(AJ67,AL67,AN67)*boc_tr_mast_vus</f>
        <v>#N/A</v>
      </c>
      <c r="AG68" s="260" t="e">
        <f>AG67*(1-VLOOKUP(AE68,boc_trpr_bc,11,TRUE)*boc_rr_bc_ooph-VLOOKUP(AE68,boc_trpr_oc,11,TRUE)*boc_rr_oc_ooph-VLOOKUP(AE68,mortt,2,FALSE))+SUM(AI67,AK67,AM67)*boc_tr_ooph_path+SUM(AJ67,AL67,AN67)*boc_tr_ooph_vus</f>
        <v>#N/A</v>
      </c>
      <c r="AH68" s="260" t="e">
        <f>AH67*(1-VLOOKUP(AE68,boc_trpr_bc,11,TRUE)*boc_rr_bc_both-VLOOKUP(AE68,boc_trpr_oc,11,TRUE)*boc_rr_oc_both-VLOOKUP(AE68,mortt,2,FALSE))+SUM(AI67,AK67,AM67)*boc_tr_both_path+SUM(AJ67,AL67,AN67)*boc_tr_both_vus</f>
        <v>#N/A</v>
      </c>
      <c r="AI68" s="289" t="e">
        <f>AI67*(1-VLOOKUP(AE68,boc_trpr_bc,11,TRUE)*boc_rr_bc_hip-VLOOKUP(AE68,boc_trpr_oc,11,TRUE)*boc_rr_oc_hip-boc_tr_mast_path-boc_tr_ooph_path-boc_tr_both_path-VLOOKUP(AE68,mortt,2,FALSE))</f>
        <v>#N/A</v>
      </c>
      <c r="AJ68" s="289" t="e">
        <f>AJ67*(1-VLOOKUP(AE68,boc_trpr_bc,11,TRUE)*boc_rr_bc_hiv-VLOOKUP(AE68,boc_trpr_oc,11,TRUE)*boc_rr_oc_hiv-boc_tr_mast_vus-boc_tr_ooph_vus-boc_tr_both_vus-VLOOKUP(AE68,mortt,2,FALSE))</f>
        <v>#N/A</v>
      </c>
      <c r="AK68" s="289" t="e">
        <f>AK67*(1-VLOOKUP(AE68,boc_trpr_bc,11,TRUE)*boc_rr_bc_modp-VLOOKUP(AE68,boc_trpr_oc,11,TRUE)*boc_rr_oc_modp-boc_tr_mast_path-boc_tr_ooph_path-boc_tr_both_path-VLOOKUP(AE68,mortt,2,FALSE))</f>
        <v>#N/A</v>
      </c>
      <c r="AL68" s="289" t="e">
        <f>AL67*(1-VLOOKUP(AE68,boc_trpr_bc,11,TRUE)*boc_rr_bc_modv-VLOOKUP(AE68,boc_trpr_oc,11,TRUE)*boc_rr_oc_modv-boc_tr_mast_vus-boc_tr_ooph_vus-boc_tr_both_vus-VLOOKUP(AE68,mortt,2,FALSE))</f>
        <v>#N/A</v>
      </c>
      <c r="AM68" s="289" t="e">
        <f>AM67*(1-VLOOKUP(AE68,boc_trpr_bc,11,TRUE)*boc_rr_bc_lop-VLOOKUP(AE68,boc_trpr_oc,11,TRUE)*boc_rr_oc_lop-boc_tr_mast_path-boc_tr_ooph_path-boc_tr_both_path-VLOOKUP(AE68,mortt,2,FALSE))</f>
        <v>#N/A</v>
      </c>
      <c r="AN68" s="289" t="e">
        <f>AN67*(1-VLOOKUP(AE68,boc_trpr_bc,11,TRUE)*boc_rr_bc_lov-VLOOKUP(AE68,boc_trpr_oc,11,TRUE)*boc_rr_oc_lov-boc_tr_mast_vus-boc_tr_ooph_vus-boc_tr_both_vus-VLOOKUP(AE68,mortt,2,FALSE))</f>
        <v>#N/A</v>
      </c>
      <c r="AO68" s="260" t="e">
        <f>AO67*(1-VLOOKUP(AE68,boc_trpr_bc,11,TRUE)*boc_rr_bc_np-VLOOKUP(AE68,boc_trpr_oc,11,TRUE)*boc_rr_oc_np-VLOOKUP(AE68,mortt,2,FALSE))</f>
        <v>#N/A</v>
      </c>
      <c r="AP68" s="260" t="e">
        <f>AF67*VLOOKUP(AE68,boc_trpr_bc,11,TRUE)*boc_rr_bc_mast+AG67*VLOOKUP(AE68,boc_trpr_bc,11,TRUE)*boc_rr_bc_ooph+AH67*VLOOKUP(AE68,boc_trpr_bc,11,TRUE)*boc_rr_bc_both+AI67*VLOOKUP(AE68,boc_trpr_bc,11,TRUE)*boc_rr_bc_hip+AJ67*VLOOKUP(AE68,boc_trpr_bc,11,TRUE)*boc_rr_bc_hiv+AK67*VLOOKUP(AE68,boc_trpr_bc,11,TRUE)*boc_rr_bc_modp+AL67*VLOOKUP(AE68,boc_trpr_bc,11,TRUE)*boc_rr_bc_modv+AM67*VLOOKUP(AE68,boc_trpr_bc,11,TRUE)*boc_rr_bc_lop+AN67*VLOOKUP(AE68,boc_trpr_bc,11,TRUE)*boc_rr_bc_lov+AO67*VLOOKUP(AE68,boc_trpr_bc,11,TRUE)*boc_rr_bc_np</f>
        <v>#N/A</v>
      </c>
      <c r="AQ68" s="260" t="e">
        <f>AF67*VLOOKUP(AE68,boc_trpr_oc,11,TRUE)*boc_rr_oc_mast+AG67*VLOOKUP(AE68,boc_trpr_oc,11,TRUE)*boc_rr_oc_ooph+AH67*VLOOKUP(AE68,boc_trpr_oc,11,TRUE)*boc_rr_oc_both+AI67*VLOOKUP(AE68,boc_trpr_oc,11,TRUE)*boc_rr_oc_hip+AJ67*VLOOKUP(AE68,boc_trpr_oc,11,TRUE)*boc_rr_oc_hiv+AK67*VLOOKUP(AE68,boc_trpr_oc,11,TRUE)*boc_rr_oc_modp+AL67*VLOOKUP(AE68,boc_trpr_oc,11,TRUE)*boc_rr_oc_modv+AM67*VLOOKUP(AE68,boc_trpr_oc,11,TRUE)*boc_rr_oc_lop+AN67*VLOOKUP(AE68,boc_trpr_oc,11,TRUE)*boc_rr_oc_lov+AO67*VLOOKUP(AE68,boc_trpr_oc,11,TRUE)*boc_rr_oc_np</f>
        <v>#N/A</v>
      </c>
      <c r="AR68" s="260" t="e">
        <f>AP67*(1-VLOOKUP(AE68,boc_trpr_bc_death,20,TRUE))+AQ67*(1-VLOOKUP(AE68,boc_trpr_oc_death,20,TRUE))+AR67*(1-VLOOKUP(AE68,mortt,2,FALSE)*boc_rr_death_pc)</f>
        <v>#N/A</v>
      </c>
      <c r="AS68" s="260" t="e">
        <f>AS67+SUM(AF67:AO67)*VLOOKUP(AE68,mortt,2,FALSE)+AP67*VLOOKUP(AE68,boc_trpr_bc_death,20,TRUE)+AQ67*VLOOKUP(AE68,boc_trpr_bc_death,20,TRUE)+AR67*VLOOKUP(AE68,mortt,2,FALSE)*boc_rr_death_pc</f>
        <v>#N/A</v>
      </c>
      <c r="AT68" s="260" t="e">
        <f t="shared" si="52"/>
        <v>#N/A</v>
      </c>
      <c r="AU68" s="118" t="e">
        <f>(boc_cost_mast*SUM(AI68,AK68,AM68)*(boc_tr_mast_path+boc_tr_both_path)+SUM(AJ68,AL68,AN68)*(boc_tr_mast_vus+boc_tr_both_vus)+AP68*boc_cost_bc+AQ68*boc_cost_oc+AR68*boc_cost_pc+(AP68*VLOOKUP(AE68,boc_trpr_bc_death,20,TRUE)+AQ68*VLOOKUP(AE68,boc_trpr_oc_death,TRUE)*boc_cost_death))/((1+discount)^AD68)</f>
        <v>#N/A</v>
      </c>
      <c r="AV68" s="35" t="e">
        <f t="shared" si="45"/>
        <v>#N/A</v>
      </c>
      <c r="AW68" s="35" t="e">
        <f t="shared" si="46"/>
        <v>#N/A</v>
      </c>
      <c r="AY68" s="12">
        <v>62</v>
      </c>
      <c r="AZ68" s="12">
        <f t="shared" si="47"/>
        <v>107</v>
      </c>
      <c r="BA68" s="260" t="e">
        <f>BA67*(1-VLOOKUP(AZ68,boc_trpr_bc,11,TRUE)*boc_rr_bc_mast-VLOOKUP(AZ68,boc_trpr_oc,11,TRUE)*boc_rr_oc_mast-VLOOKUP(AZ68,mortt,2,FALSE))</f>
        <v>#N/A</v>
      </c>
      <c r="BB68" s="260" t="e">
        <f>BB67*(1-VLOOKUP(AZ68,boc_trpr_bc,11,TRUE)*boc_rr_bc_ooph-VLOOKUP(AZ68,boc_trpr_oc,11,TRUE)*boc_rr_oc_ooph-VLOOKUP(AZ68,mortt,2,FALSE))</f>
        <v>#N/A</v>
      </c>
      <c r="BC68" s="260" t="e">
        <f>BC67*(1-VLOOKUP(AZ68,boc_trpr_bc,11,TRUE)*boc_rr_bc_both-VLOOKUP(AZ68,boc_trpr_oc,11,TRUE)*boc_rr_oc_both-VLOOKUP(AZ68,mortt,2,FALSE))</f>
        <v>#N/A</v>
      </c>
      <c r="BD68" s="289" t="e">
        <f>BD67*(1-VLOOKUP(AZ68,boc_trpr_bc,11,TRUE)*boc_rr_bc_hip-VLOOKUP(AZ68,boc_trpr_oc,11,TRUE)*boc_rr_oc_hip-VLOOKUP(AZ68,mortt,2,FALSE))</f>
        <v>#N/A</v>
      </c>
      <c r="BE68" s="289" t="e">
        <f>BE67*(1-VLOOKUP(AZ68,boc_trpr_bc,11,TRUE)*boc_rr_bc_hiv-VLOOKUP(AZ68,boc_trpr_oc,11,TRUE)*boc_rr_oc_hiv-VLOOKUP(AZ68,mortt,2,FALSE))</f>
        <v>#N/A</v>
      </c>
      <c r="BF68" s="289" t="e">
        <f>BF67*(1-VLOOKUP(AZ68,boc_trpr_bc,11,TRUE)*boc_rr_bc_modp-VLOOKUP(AZ68,boc_trpr_oc,11,TRUE)*boc_rr_oc_modp-VLOOKUP(AZ68,mortt,2,FALSE))</f>
        <v>#N/A</v>
      </c>
      <c r="BG68" s="289" t="e">
        <f>BG67*(1-VLOOKUP(AZ68,boc_trpr_bc,11,TRUE)*boc_rr_bc_modv-VLOOKUP(AZ68,boc_trpr_oc,11,TRUE)*boc_rr_oc_modv-VLOOKUP(AZ68,mortt,2,FALSE))</f>
        <v>#N/A</v>
      </c>
      <c r="BH68" s="289" t="e">
        <f>BH67*(1-VLOOKUP(AZ68,boc_trpr_bc,11,TRUE)*boc_rr_bc_lop-VLOOKUP(AZ68,boc_trpr_oc,11,TRUE)*boc_rr_oc_lop-VLOOKUP(AZ68,mortt,2,FALSE))</f>
        <v>#N/A</v>
      </c>
      <c r="BI68" s="289" t="e">
        <f>BI67*(1-VLOOKUP(AZ68,boc_trpr_bc,11,TRUE)*boc_rr_bc_lov-VLOOKUP(AZ68,boc_trpr_oc,11,TRUE)*boc_rr_oc_lov-VLOOKUP(AZ68,mortt,2,FALSE))</f>
        <v>#N/A</v>
      </c>
      <c r="BJ68" s="260" t="e">
        <f>BJ67*(1-VLOOKUP(AZ68,boc_trpr_bc,11,TRUE)*boc_rr_bc_np-VLOOKUP(AZ68,boc_trpr_oc,11,TRUE)*boc_rr_oc_np-VLOOKUP(AZ68,mortt,2,FALSE))</f>
        <v>#N/A</v>
      </c>
      <c r="BK68" s="260" t="e">
        <f>BA67*VLOOKUP(AZ68,boc_trpr_bc,11,TRUE)*boc_rr_bc_mast+BB67*VLOOKUP(AZ68,boc_trpr_bc,11,TRUE)*boc_rr_bc_ooph+BC67*VLOOKUP(AZ68,boc_trpr_bc,11,TRUE)*boc_rr_bc_both+BD67*VLOOKUP(AZ68,boc_trpr_bc,11,TRUE)*boc_rr_bc_hip+BE67*VLOOKUP(AZ68,boc_trpr_bc,11,TRUE)*boc_rr_bc_hiv+BF67*VLOOKUP(AZ68,boc_trpr_bc,11,TRUE)*boc_rr_bc_modp+BG67*VLOOKUP(AZ68,boc_trpr_bc,11,TRUE)*boc_rr_bc_modv+BH67*VLOOKUP(AZ68,boc_trpr_bc,11,TRUE)*boc_rr_bc_lop+BI67*VLOOKUP(AZ68,boc_trpr_bc,11,TRUE)*boc_rr_bc_lov+BJ67*VLOOKUP(AZ68,boc_trpr_bc,11,TRUE)*boc_rr_bc_np</f>
        <v>#N/A</v>
      </c>
      <c r="BL68" s="260" t="e">
        <f>BA67*VLOOKUP(AZ68,boc_trpr_oc,11,TRUE)*boc_rr_oc_mast+BB67*VLOOKUP(AZ68,boc_trpr_oc,11,TRUE)*boc_rr_oc_ooph+BC67*VLOOKUP(AZ68,boc_trpr_oc,11,TRUE)*boc_rr_oc_both+BD67*VLOOKUP(AZ68,boc_trpr_oc,11,TRUE)*boc_rr_oc_hip+BE67*VLOOKUP(AZ68,boc_trpr_oc,11,TRUE)*boc_rr_oc_hiv+BF67*VLOOKUP(AZ68,boc_trpr_oc,11,TRUE)*boc_rr_oc_modp+BG67*VLOOKUP(AZ68,boc_trpr_oc,11,TRUE)*boc_rr_oc_modv+BH67*VLOOKUP(AZ68,boc_trpr_oc,11,TRUE)*boc_rr_oc_lop+BI67*VLOOKUP(AZ68,boc_trpr_oc,11,TRUE)*boc_rr_oc_lov+BJ67*VLOOKUP(AZ68,boc_trpr_oc,11,TRUE)*boc_rr_oc_np</f>
        <v>#N/A</v>
      </c>
      <c r="BM68" s="260" t="e">
        <f>BK67*(1-VLOOKUP(AZ68,boc_trpr_bc_death,20,TRUE))+BL67*(1-VLOOKUP(AZ68,boc_trpr_oc_death,20,TRUE))+BM67*(1-VLOOKUP(AZ68,mortt,2,FALSE)*boc_rr_death_pc)</f>
        <v>#N/A</v>
      </c>
      <c r="BN68" s="260" t="e">
        <f>BN67+SUM(BA67:BJ67)*VLOOKUP(AZ68,mortt,2,FALSE)+BK67*VLOOKUP(AZ68,boc_trpr_bc_death,20,TRUE)+BL67*VLOOKUP(AZ68,boc_trpr_bc_death,20,TRUE)+BM67*VLOOKUP(AZ68,mortt,2,FALSE)*boc_rr_death_pc</f>
        <v>#N/A</v>
      </c>
      <c r="BO68" s="260" t="e">
        <f t="shared" si="41"/>
        <v>#N/A</v>
      </c>
      <c r="BP68" s="118" t="e">
        <f>(boc_cost_mast*SUM(BD68,BF68,BH68)*(boc_tr_mast_path+boc_tr_both_path)+SUM(BE68,BG68,BI68)*(boc_tr_mast_vus+boc_tr_both_vus)+BK68*boc_cost_bc+BL68*boc_cost_oc+BM68*boc_cost_pc+(BK68*VLOOKUP(AZ68,boc_trpr_bc_death,20,TRUE)+BL68*VLOOKUP(AZ68,boc_trpr_oc_death,TRUE)*boc_cost_death))/((1+discount)^AY68)</f>
        <v>#N/A</v>
      </c>
      <c r="BQ68" s="35" t="e">
        <f t="shared" si="48"/>
        <v>#N/A</v>
      </c>
      <c r="BR68" s="35" t="e">
        <f t="shared" si="49"/>
        <v>#N/A</v>
      </c>
      <c r="BS68" s="35"/>
      <c r="BU68" s="33">
        <v>12</v>
      </c>
      <c r="BV68" t="str">
        <f>$M$111</f>
        <v>boc_rr_oc_modv</v>
      </c>
      <c r="BW68" s="35">
        <f>$F$111</f>
        <v>0.88000000000000012</v>
      </c>
      <c r="BX68" s="35">
        <f>$G$111</f>
        <v>1.32</v>
      </c>
      <c r="BY68" s="311">
        <v>-7.5484128384782707</v>
      </c>
      <c r="BZ68" s="311">
        <v>-7.5579828759068732</v>
      </c>
      <c r="CA68" s="311">
        <f t="shared" si="57"/>
        <v>9.570037428602518E-3</v>
      </c>
      <c r="CD68" s="138">
        <v>63</v>
      </c>
      <c r="CE68" s="291">
        <v>8.3280000000000003E-3</v>
      </c>
    </row>
    <row r="69" spans="2:83" ht="15" customHeight="1" x14ac:dyDescent="0.2">
      <c r="Q69" s="11"/>
      <c r="U69" s="9" t="s">
        <v>6</v>
      </c>
      <c r="V69" s="250">
        <f>boc_unk_int_both</f>
        <v>0.01</v>
      </c>
      <c r="Z69" s="261">
        <f>R63*T68*V69</f>
        <v>2.4891721632082538E-4</v>
      </c>
      <c r="AD69" s="12">
        <v>63</v>
      </c>
      <c r="AE69" s="12">
        <f t="shared" si="44"/>
        <v>108</v>
      </c>
      <c r="AF69" s="260" t="e">
        <f>AF68*(1-VLOOKUP(AE69,boc_trpr_bc,11,TRUE)*boc_rr_bc_mast-VLOOKUP(AE69,boc_trpr_oc,11,TRUE)*boc_rr_oc_mast-VLOOKUP(AE69,mortt,2,FALSE))+SUM(AI68,AK68,AM68)*boc_tr_mast_path+SUM(AJ68,AL68,AN68)*boc_tr_mast_vus</f>
        <v>#N/A</v>
      </c>
      <c r="AG69" s="260" t="e">
        <f>AG68*(1-VLOOKUP(AE69,boc_trpr_bc,11,TRUE)*boc_rr_bc_ooph-VLOOKUP(AE69,boc_trpr_oc,11,TRUE)*boc_rr_oc_ooph-VLOOKUP(AE69,mortt,2,FALSE))+SUM(AI68,AK68,AM68)*boc_tr_ooph_path+SUM(AJ68,AL68,AN68)*boc_tr_ooph_vus</f>
        <v>#N/A</v>
      </c>
      <c r="AH69" s="260" t="e">
        <f>AH68*(1-VLOOKUP(AE69,boc_trpr_bc,11,TRUE)*boc_rr_bc_both-VLOOKUP(AE69,boc_trpr_oc,11,TRUE)*boc_rr_oc_both-VLOOKUP(AE69,mortt,2,FALSE))+SUM(AI68,AK68,AM68)*boc_tr_both_path+SUM(AJ68,AL68,AN68)*boc_tr_both_vus</f>
        <v>#N/A</v>
      </c>
      <c r="AI69" s="289" t="e">
        <f>AI68*(1-VLOOKUP(AE69,boc_trpr_bc,11,TRUE)*boc_rr_bc_hip-VLOOKUP(AE69,boc_trpr_oc,11,TRUE)*boc_rr_oc_hip-boc_tr_mast_path-boc_tr_ooph_path-boc_tr_both_path-VLOOKUP(AE69,mortt,2,FALSE))</f>
        <v>#N/A</v>
      </c>
      <c r="AJ69" s="289" t="e">
        <f>AJ68*(1-VLOOKUP(AE69,boc_trpr_bc,11,TRUE)*boc_rr_bc_hiv-VLOOKUP(AE69,boc_trpr_oc,11,TRUE)*boc_rr_oc_hiv-boc_tr_mast_vus-boc_tr_ooph_vus-boc_tr_both_vus-VLOOKUP(AE69,mortt,2,FALSE))</f>
        <v>#N/A</v>
      </c>
      <c r="AK69" s="289" t="e">
        <f>AK68*(1-VLOOKUP(AE69,boc_trpr_bc,11,TRUE)*boc_rr_bc_modp-VLOOKUP(AE69,boc_trpr_oc,11,TRUE)*boc_rr_oc_modp-boc_tr_mast_path-boc_tr_ooph_path-boc_tr_both_path-VLOOKUP(AE69,mortt,2,FALSE))</f>
        <v>#N/A</v>
      </c>
      <c r="AL69" s="289" t="e">
        <f>AL68*(1-VLOOKUP(AE69,boc_trpr_bc,11,TRUE)*boc_rr_bc_modv-VLOOKUP(AE69,boc_trpr_oc,11,TRUE)*boc_rr_oc_modv-boc_tr_mast_vus-boc_tr_ooph_vus-boc_tr_both_vus-VLOOKUP(AE69,mortt,2,FALSE))</f>
        <v>#N/A</v>
      </c>
      <c r="AM69" s="289" t="e">
        <f>AM68*(1-VLOOKUP(AE69,boc_trpr_bc,11,TRUE)*boc_rr_bc_lop-VLOOKUP(AE69,boc_trpr_oc,11,TRUE)*boc_rr_oc_lop-boc_tr_mast_path-boc_tr_ooph_path-boc_tr_both_path-VLOOKUP(AE69,mortt,2,FALSE))</f>
        <v>#N/A</v>
      </c>
      <c r="AN69" s="289" t="e">
        <f>AN68*(1-VLOOKUP(AE69,boc_trpr_bc,11,TRUE)*boc_rr_bc_lov-VLOOKUP(AE69,boc_trpr_oc,11,TRUE)*boc_rr_oc_lov-boc_tr_mast_vus-boc_tr_ooph_vus-boc_tr_both_vus-VLOOKUP(AE69,mortt,2,FALSE))</f>
        <v>#N/A</v>
      </c>
      <c r="AO69" s="260" t="e">
        <f>AO68*(1-VLOOKUP(AE69,boc_trpr_bc,11,TRUE)*boc_rr_bc_np-VLOOKUP(AE69,boc_trpr_oc,11,TRUE)*boc_rr_oc_np-VLOOKUP(AE69,mortt,2,FALSE))</f>
        <v>#N/A</v>
      </c>
      <c r="AP69" s="260" t="e">
        <f>AF68*VLOOKUP(AE69,boc_trpr_bc,11,TRUE)*boc_rr_bc_mast+AG68*VLOOKUP(AE69,boc_trpr_bc,11,TRUE)*boc_rr_bc_ooph+AH68*VLOOKUP(AE69,boc_trpr_bc,11,TRUE)*boc_rr_bc_both+AI68*VLOOKUP(AE69,boc_trpr_bc,11,TRUE)*boc_rr_bc_hip+AJ68*VLOOKUP(AE69,boc_trpr_bc,11,TRUE)*boc_rr_bc_hiv+AK68*VLOOKUP(AE69,boc_trpr_bc,11,TRUE)*boc_rr_bc_modp+AL68*VLOOKUP(AE69,boc_trpr_bc,11,TRUE)*boc_rr_bc_modv+AM68*VLOOKUP(AE69,boc_trpr_bc,11,TRUE)*boc_rr_bc_lop+AN68*VLOOKUP(AE69,boc_trpr_bc,11,TRUE)*boc_rr_bc_lov+AO68*VLOOKUP(AE69,boc_trpr_bc,11,TRUE)*boc_rr_bc_np</f>
        <v>#N/A</v>
      </c>
      <c r="AQ69" s="260" t="e">
        <f>AF68*VLOOKUP(AE69,boc_trpr_oc,11,TRUE)*boc_rr_oc_mast+AG68*VLOOKUP(AE69,boc_trpr_oc,11,TRUE)*boc_rr_oc_ooph+AH68*VLOOKUP(AE69,boc_trpr_oc,11,TRUE)*boc_rr_oc_both+AI68*VLOOKUP(AE69,boc_trpr_oc,11,TRUE)*boc_rr_oc_hip+AJ68*VLOOKUP(AE69,boc_trpr_oc,11,TRUE)*boc_rr_oc_hiv+AK68*VLOOKUP(AE69,boc_trpr_oc,11,TRUE)*boc_rr_oc_modp+AL68*VLOOKUP(AE69,boc_trpr_oc,11,TRUE)*boc_rr_oc_modv+AM68*VLOOKUP(AE69,boc_trpr_oc,11,TRUE)*boc_rr_oc_lop+AN68*VLOOKUP(AE69,boc_trpr_oc,11,TRUE)*boc_rr_oc_lov+AO68*VLOOKUP(AE69,boc_trpr_oc,11,TRUE)*boc_rr_oc_np</f>
        <v>#N/A</v>
      </c>
      <c r="AR69" s="260" t="e">
        <f>AP68*(1-VLOOKUP(AE69,boc_trpr_bc_death,20,TRUE))+AQ68*(1-VLOOKUP(AE69,boc_trpr_oc_death,20,TRUE))+AR68*(1-VLOOKUP(AE69,mortt,2,FALSE)*boc_rr_death_pc)</f>
        <v>#N/A</v>
      </c>
      <c r="AS69" s="260" t="e">
        <f>AS68+SUM(AF68:AO68)*VLOOKUP(AE69,mortt,2,FALSE)+AP68*VLOOKUP(AE69,boc_trpr_bc_death,20,TRUE)+AQ68*VLOOKUP(AE69,boc_trpr_bc_death,20,TRUE)+AR68*VLOOKUP(AE69,mortt,2,FALSE)*boc_rr_death_pc</f>
        <v>#N/A</v>
      </c>
      <c r="AT69" s="260" t="e">
        <f t="shared" si="52"/>
        <v>#N/A</v>
      </c>
      <c r="AU69" s="118" t="e">
        <f>(boc_cost_mast*SUM(AI69,AK69,AM69)*(boc_tr_mast_path+boc_tr_both_path)+SUM(AJ69,AL69,AN69)*(boc_tr_mast_vus+boc_tr_both_vus)+AP69*boc_cost_bc+AQ69*boc_cost_oc+AR69*boc_cost_pc+(AP69*VLOOKUP(AE69,boc_trpr_bc_death,20,TRUE)+AQ69*VLOOKUP(AE69,boc_trpr_oc_death,TRUE)*boc_cost_death))/((1+discount)^AD69)</f>
        <v>#N/A</v>
      </c>
      <c r="AV69" s="35" t="e">
        <f t="shared" si="45"/>
        <v>#N/A</v>
      </c>
      <c r="AW69" s="35" t="e">
        <f t="shared" si="46"/>
        <v>#N/A</v>
      </c>
      <c r="AY69" s="12">
        <v>63</v>
      </c>
      <c r="AZ69" s="12">
        <f t="shared" si="47"/>
        <v>108</v>
      </c>
      <c r="BA69" s="260" t="e">
        <f>BA68*(1-VLOOKUP(AZ69,boc_trpr_bc,11,TRUE)*boc_rr_bc_mast-VLOOKUP(AZ69,boc_trpr_oc,11,TRUE)*boc_rr_oc_mast-VLOOKUP(AZ69,mortt,2,FALSE))</f>
        <v>#N/A</v>
      </c>
      <c r="BB69" s="260" t="e">
        <f>BB68*(1-VLOOKUP(AZ69,boc_trpr_bc,11,TRUE)*boc_rr_bc_ooph-VLOOKUP(AZ69,boc_trpr_oc,11,TRUE)*boc_rr_oc_ooph-VLOOKUP(AZ69,mortt,2,FALSE))</f>
        <v>#N/A</v>
      </c>
      <c r="BC69" s="260" t="e">
        <f>BC68*(1-VLOOKUP(AZ69,boc_trpr_bc,11,TRUE)*boc_rr_bc_both-VLOOKUP(AZ69,boc_trpr_oc,11,TRUE)*boc_rr_oc_both-VLOOKUP(AZ69,mortt,2,FALSE))</f>
        <v>#N/A</v>
      </c>
      <c r="BD69" s="289" t="e">
        <f>BD68*(1-VLOOKUP(AZ69,boc_trpr_bc,11,TRUE)*boc_rr_bc_hip-VLOOKUP(AZ69,boc_trpr_oc,11,TRUE)*boc_rr_oc_hip-VLOOKUP(AZ69,mortt,2,FALSE))</f>
        <v>#N/A</v>
      </c>
      <c r="BE69" s="289" t="e">
        <f>BE68*(1-VLOOKUP(AZ69,boc_trpr_bc,11,TRUE)*boc_rr_bc_hiv-VLOOKUP(AZ69,boc_trpr_oc,11,TRUE)*boc_rr_oc_hiv-VLOOKUP(AZ69,mortt,2,FALSE))</f>
        <v>#N/A</v>
      </c>
      <c r="BF69" s="289" t="e">
        <f>BF68*(1-VLOOKUP(AZ69,boc_trpr_bc,11,TRUE)*boc_rr_bc_modp-VLOOKUP(AZ69,boc_trpr_oc,11,TRUE)*boc_rr_oc_modp-VLOOKUP(AZ69,mortt,2,FALSE))</f>
        <v>#N/A</v>
      </c>
      <c r="BG69" s="289" t="e">
        <f>BG68*(1-VLOOKUP(AZ69,boc_trpr_bc,11,TRUE)*boc_rr_bc_modv-VLOOKUP(AZ69,boc_trpr_oc,11,TRUE)*boc_rr_oc_modv-VLOOKUP(AZ69,mortt,2,FALSE))</f>
        <v>#N/A</v>
      </c>
      <c r="BH69" s="289" t="e">
        <f>BH68*(1-VLOOKUP(AZ69,boc_trpr_bc,11,TRUE)*boc_rr_bc_lop-VLOOKUP(AZ69,boc_trpr_oc,11,TRUE)*boc_rr_oc_lop-VLOOKUP(AZ69,mortt,2,FALSE))</f>
        <v>#N/A</v>
      </c>
      <c r="BI69" s="289" t="e">
        <f>BI68*(1-VLOOKUP(AZ69,boc_trpr_bc,11,TRUE)*boc_rr_bc_lov-VLOOKUP(AZ69,boc_trpr_oc,11,TRUE)*boc_rr_oc_lov-VLOOKUP(AZ69,mortt,2,FALSE))</f>
        <v>#N/A</v>
      </c>
      <c r="BJ69" s="260" t="e">
        <f>BJ68*(1-VLOOKUP(AZ69,boc_trpr_bc,11,TRUE)*boc_rr_bc_np-VLOOKUP(AZ69,boc_trpr_oc,11,TRUE)*boc_rr_oc_np-VLOOKUP(AZ69,mortt,2,FALSE))</f>
        <v>#N/A</v>
      </c>
      <c r="BK69" s="260" t="e">
        <f>BA68*VLOOKUP(AZ69,boc_trpr_bc,11,TRUE)*boc_rr_bc_mast+BB68*VLOOKUP(AZ69,boc_trpr_bc,11,TRUE)*boc_rr_bc_ooph+BC68*VLOOKUP(AZ69,boc_trpr_bc,11,TRUE)*boc_rr_bc_both+BD68*VLOOKUP(AZ69,boc_trpr_bc,11,TRUE)*boc_rr_bc_hip+BE68*VLOOKUP(AZ69,boc_trpr_bc,11,TRUE)*boc_rr_bc_hiv+BF68*VLOOKUP(AZ69,boc_trpr_bc,11,TRUE)*boc_rr_bc_modp+BG68*VLOOKUP(AZ69,boc_trpr_bc,11,TRUE)*boc_rr_bc_modv+BH68*VLOOKUP(AZ69,boc_trpr_bc,11,TRUE)*boc_rr_bc_lop+BI68*VLOOKUP(AZ69,boc_trpr_bc,11,TRUE)*boc_rr_bc_lov+BJ68*VLOOKUP(AZ69,boc_trpr_bc,11,TRUE)*boc_rr_bc_np</f>
        <v>#N/A</v>
      </c>
      <c r="BL69" s="260" t="e">
        <f>BA68*VLOOKUP(AZ69,boc_trpr_oc,11,TRUE)*boc_rr_oc_mast+BB68*VLOOKUP(AZ69,boc_trpr_oc,11,TRUE)*boc_rr_oc_ooph+BC68*VLOOKUP(AZ69,boc_trpr_oc,11,TRUE)*boc_rr_oc_both+BD68*VLOOKUP(AZ69,boc_trpr_oc,11,TRUE)*boc_rr_oc_hip+BE68*VLOOKUP(AZ69,boc_trpr_oc,11,TRUE)*boc_rr_oc_hiv+BF68*VLOOKUP(AZ69,boc_trpr_oc,11,TRUE)*boc_rr_oc_modp+BG68*VLOOKUP(AZ69,boc_trpr_oc,11,TRUE)*boc_rr_oc_modv+BH68*VLOOKUP(AZ69,boc_trpr_oc,11,TRUE)*boc_rr_oc_lop+BI68*VLOOKUP(AZ69,boc_trpr_oc,11,TRUE)*boc_rr_oc_lov+BJ68*VLOOKUP(AZ69,boc_trpr_oc,11,TRUE)*boc_rr_oc_np</f>
        <v>#N/A</v>
      </c>
      <c r="BM69" s="260" t="e">
        <f>BK68*(1-VLOOKUP(AZ69,boc_trpr_bc_death,20,TRUE))+BL68*(1-VLOOKUP(AZ69,boc_trpr_oc_death,20,TRUE))+BM68*(1-VLOOKUP(AZ69,mortt,2,FALSE)*boc_rr_death_pc)</f>
        <v>#N/A</v>
      </c>
      <c r="BN69" s="260" t="e">
        <f>BN68+SUM(BA68:BJ68)*VLOOKUP(AZ69,mortt,2,FALSE)+BK68*VLOOKUP(AZ69,boc_trpr_bc_death,20,TRUE)+BL68*VLOOKUP(AZ69,boc_trpr_bc_death,20,TRUE)+BM68*VLOOKUP(AZ69,mortt,2,FALSE)*boc_rr_death_pc</f>
        <v>#N/A</v>
      </c>
      <c r="BO69" s="260" t="e">
        <f t="shared" si="41"/>
        <v>#N/A</v>
      </c>
      <c r="BP69" s="118" t="e">
        <f>(boc_cost_mast*SUM(BD69,BF69,BH69)*(boc_tr_mast_path+boc_tr_both_path)+SUM(BE69,BG69,BI69)*(boc_tr_mast_vus+boc_tr_both_vus)+BK69*boc_cost_bc+BL69*boc_cost_oc+BM69*boc_cost_pc+(BK69*VLOOKUP(AZ69,boc_trpr_bc_death,20,TRUE)+BL69*VLOOKUP(AZ69,boc_trpr_oc_death,TRUE)*boc_cost_death))/((1+discount)^AY69)</f>
        <v>#N/A</v>
      </c>
      <c r="BQ69" s="35" t="e">
        <f t="shared" si="48"/>
        <v>#N/A</v>
      </c>
      <c r="BR69" s="35" t="e">
        <f t="shared" si="49"/>
        <v>#N/A</v>
      </c>
      <c r="BS69" s="35"/>
      <c r="BU69" s="33">
        <v>40</v>
      </c>
      <c r="BV69" t="str">
        <f>$M$113</f>
        <v>boc_rr_oc_lop</v>
      </c>
      <c r="BW69" s="35">
        <f>$F$113</f>
        <v>1.2000000000000002</v>
      </c>
      <c r="BX69" s="35">
        <f>$G$113</f>
        <v>1.7999999999999998</v>
      </c>
      <c r="BY69" s="311">
        <v>-7.5579118396376543</v>
      </c>
      <c r="BZ69" s="311">
        <v>-7.548486053050965</v>
      </c>
      <c r="CA69" s="311">
        <f t="shared" si="57"/>
        <v>9.4257865866893553E-3</v>
      </c>
      <c r="CD69" s="138">
        <v>64</v>
      </c>
      <c r="CE69" s="291">
        <v>8.9949999999999995E-3</v>
      </c>
    </row>
    <row r="70" spans="2:83" ht="15" customHeight="1" x14ac:dyDescent="0.25">
      <c r="B70" s="94" t="s">
        <v>197</v>
      </c>
      <c r="M70" s="249"/>
      <c r="Q70" s="11"/>
      <c r="U70" s="9" t="s">
        <v>9</v>
      </c>
      <c r="V70" s="250">
        <f>1-SUM(V67,V68,V69)</f>
        <v>0.97</v>
      </c>
      <c r="AA70" s="261">
        <f>R63*T68*V70</f>
        <v>2.414496998312006E-2</v>
      </c>
      <c r="AD70" s="12">
        <v>64</v>
      </c>
      <c r="AE70" s="12">
        <f t="shared" ref="AE70:AE101" si="61">age+AD70</f>
        <v>109</v>
      </c>
      <c r="AF70" s="260" t="e">
        <f>AF69*(1-VLOOKUP(AE70,boc_trpr_bc,11,TRUE)*boc_rr_bc_mast-VLOOKUP(AE70,boc_trpr_oc,11,TRUE)*boc_rr_oc_mast-VLOOKUP(AE70,mortt,2,FALSE))+SUM(AI69,AK69,AM69)*boc_tr_mast_path+SUM(AJ69,AL69,AN69)*boc_tr_mast_vus</f>
        <v>#N/A</v>
      </c>
      <c r="AG70" s="260" t="e">
        <f>AG69*(1-VLOOKUP(AE70,boc_trpr_bc,11,TRUE)*boc_rr_bc_ooph-VLOOKUP(AE70,boc_trpr_oc,11,TRUE)*boc_rr_oc_ooph-VLOOKUP(AE70,mortt,2,FALSE))+SUM(AI69,AK69,AM69)*boc_tr_ooph_path+SUM(AJ69,AL69,AN69)*boc_tr_ooph_vus</f>
        <v>#N/A</v>
      </c>
      <c r="AH70" s="260" t="e">
        <f>AH69*(1-VLOOKUP(AE70,boc_trpr_bc,11,TRUE)*boc_rr_bc_both-VLOOKUP(AE70,boc_trpr_oc,11,TRUE)*boc_rr_oc_both-VLOOKUP(AE70,mortt,2,FALSE))+SUM(AI69,AK69,AM69)*boc_tr_both_path+SUM(AJ69,AL69,AN69)*boc_tr_both_vus</f>
        <v>#N/A</v>
      </c>
      <c r="AI70" s="289" t="e">
        <f>AI69*(1-VLOOKUP(AE70,boc_trpr_bc,11,TRUE)*boc_rr_bc_hip-VLOOKUP(AE70,boc_trpr_oc,11,TRUE)*boc_rr_oc_hip-boc_tr_mast_path-boc_tr_ooph_path-boc_tr_both_path-VLOOKUP(AE70,mortt,2,FALSE))</f>
        <v>#N/A</v>
      </c>
      <c r="AJ70" s="289" t="e">
        <f>AJ69*(1-VLOOKUP(AE70,boc_trpr_bc,11,TRUE)*boc_rr_bc_hiv-VLOOKUP(AE70,boc_trpr_oc,11,TRUE)*boc_rr_oc_hiv-boc_tr_mast_vus-boc_tr_ooph_vus-boc_tr_both_vus-VLOOKUP(AE70,mortt,2,FALSE))</f>
        <v>#N/A</v>
      </c>
      <c r="AK70" s="289" t="e">
        <f>AK69*(1-VLOOKUP(AE70,boc_trpr_bc,11,TRUE)*boc_rr_bc_modp-VLOOKUP(AE70,boc_trpr_oc,11,TRUE)*boc_rr_oc_modp-boc_tr_mast_path-boc_tr_ooph_path-boc_tr_both_path-VLOOKUP(AE70,mortt,2,FALSE))</f>
        <v>#N/A</v>
      </c>
      <c r="AL70" s="289" t="e">
        <f>AL69*(1-VLOOKUP(AE70,boc_trpr_bc,11,TRUE)*boc_rr_bc_modv-VLOOKUP(AE70,boc_trpr_oc,11,TRUE)*boc_rr_oc_modv-boc_tr_mast_vus-boc_tr_ooph_vus-boc_tr_both_vus-VLOOKUP(AE70,mortt,2,FALSE))</f>
        <v>#N/A</v>
      </c>
      <c r="AM70" s="289" t="e">
        <f>AM69*(1-VLOOKUP(AE70,boc_trpr_bc,11,TRUE)*boc_rr_bc_lop-VLOOKUP(AE70,boc_trpr_oc,11,TRUE)*boc_rr_oc_lop-boc_tr_mast_path-boc_tr_ooph_path-boc_tr_both_path-VLOOKUP(AE70,mortt,2,FALSE))</f>
        <v>#N/A</v>
      </c>
      <c r="AN70" s="289" t="e">
        <f>AN69*(1-VLOOKUP(AE70,boc_trpr_bc,11,TRUE)*boc_rr_bc_lov-VLOOKUP(AE70,boc_trpr_oc,11,TRUE)*boc_rr_oc_lov-boc_tr_mast_vus-boc_tr_ooph_vus-boc_tr_both_vus-VLOOKUP(AE70,mortt,2,FALSE))</f>
        <v>#N/A</v>
      </c>
      <c r="AO70" s="260" t="e">
        <f>AO69*(1-VLOOKUP(AE70,boc_trpr_bc,11,TRUE)*boc_rr_bc_np-VLOOKUP(AE70,boc_trpr_oc,11,TRUE)*boc_rr_oc_np-VLOOKUP(AE70,mortt,2,FALSE))</f>
        <v>#N/A</v>
      </c>
      <c r="AP70" s="260" t="e">
        <f>AF69*VLOOKUP(AE70,boc_trpr_bc,11,TRUE)*boc_rr_bc_mast+AG69*VLOOKUP(AE70,boc_trpr_bc,11,TRUE)*boc_rr_bc_ooph+AH69*VLOOKUP(AE70,boc_trpr_bc,11,TRUE)*boc_rr_bc_both+AI69*VLOOKUP(AE70,boc_trpr_bc,11,TRUE)*boc_rr_bc_hip+AJ69*VLOOKUP(AE70,boc_trpr_bc,11,TRUE)*boc_rr_bc_hiv+AK69*VLOOKUP(AE70,boc_trpr_bc,11,TRUE)*boc_rr_bc_modp+AL69*VLOOKUP(AE70,boc_trpr_bc,11,TRUE)*boc_rr_bc_modv+AM69*VLOOKUP(AE70,boc_trpr_bc,11,TRUE)*boc_rr_bc_lop+AN69*VLOOKUP(AE70,boc_trpr_bc,11,TRUE)*boc_rr_bc_lov+AO69*VLOOKUP(AE70,boc_trpr_bc,11,TRUE)*boc_rr_bc_np</f>
        <v>#N/A</v>
      </c>
      <c r="AQ70" s="260" t="e">
        <f>AF69*VLOOKUP(AE70,boc_trpr_oc,11,TRUE)*boc_rr_oc_mast+AG69*VLOOKUP(AE70,boc_trpr_oc,11,TRUE)*boc_rr_oc_ooph+AH69*VLOOKUP(AE70,boc_trpr_oc,11,TRUE)*boc_rr_oc_both+AI69*VLOOKUP(AE70,boc_trpr_oc,11,TRUE)*boc_rr_oc_hip+AJ69*VLOOKUP(AE70,boc_trpr_oc,11,TRUE)*boc_rr_oc_hiv+AK69*VLOOKUP(AE70,boc_trpr_oc,11,TRUE)*boc_rr_oc_modp+AL69*VLOOKUP(AE70,boc_trpr_oc,11,TRUE)*boc_rr_oc_modv+AM69*VLOOKUP(AE70,boc_trpr_oc,11,TRUE)*boc_rr_oc_lop+AN69*VLOOKUP(AE70,boc_trpr_oc,11,TRUE)*boc_rr_oc_lov+AO69*VLOOKUP(AE70,boc_trpr_oc,11,TRUE)*boc_rr_oc_np</f>
        <v>#N/A</v>
      </c>
      <c r="AR70" s="260" t="e">
        <f>AP69*(1-VLOOKUP(AE70,boc_trpr_bc_death,20,TRUE))+AQ69*(1-VLOOKUP(AE70,boc_trpr_oc_death,20,TRUE))+AR69*(1-VLOOKUP(AE70,mortt,2,FALSE)*boc_rr_death_pc)</f>
        <v>#N/A</v>
      </c>
      <c r="AS70" s="260" t="e">
        <f>AS69+SUM(AF69:AO69)*VLOOKUP(AE70,mortt,2,FALSE)+AP69*VLOOKUP(AE70,boc_trpr_bc_death,20,TRUE)+AQ69*VLOOKUP(AE70,boc_trpr_bc_death,20,TRUE)+AR69*VLOOKUP(AE70,mortt,2,FALSE)*boc_rr_death_pc</f>
        <v>#N/A</v>
      </c>
      <c r="AT70" s="260" t="e">
        <f t="shared" si="52"/>
        <v>#N/A</v>
      </c>
      <c r="AU70" s="118" t="e">
        <f>(boc_cost_mast*SUM(AI70,AK70,AM70)*(boc_tr_mast_path+boc_tr_both_path)+SUM(AJ70,AL70,AN70)*(boc_tr_mast_vus+boc_tr_both_vus)+AP70*boc_cost_bc+AQ70*boc_cost_oc+AR70*boc_cost_pc+(AP70*VLOOKUP(AE70,boc_trpr_bc_death,20,TRUE)+AQ70*VLOOKUP(AE70,boc_trpr_oc_death,TRUE)*boc_cost_death))/((1+discount)^AD70)</f>
        <v>#N/A</v>
      </c>
      <c r="AV70" s="35" t="e">
        <f t="shared" ref="AV70:AV106" si="62">(SUM(AF70:AH70)*boc_util_int+SUM(AI70:AN70)*boc_util_no_v+AO70*boc_util_no_nv+SUM(AP70:AQ70)*boc_util_c+AR70*boc_util_pc-SUM(AI70,AK70,AM70)*(boc_tr_mast_path*boc_disutil_mast+boc_tr_ooph_path*boc_disutil_ooph+boc_tr_both_path*boc_disutil_both)-SUM(AJ70,AL70,AN70)*(boc_tr_mast_vus*boc_disutil_mast+boc_tr_ooph_vus*boc_disutil_ooph+boc_tr_both_vus*boc_disutil_both))/((1+discount)^AD70)</f>
        <v>#N/A</v>
      </c>
      <c r="AW70" s="35" t="e">
        <f t="shared" ref="AW70:AW106" si="63">(1-AS70)/((1+discount)^AD70)</f>
        <v>#N/A</v>
      </c>
      <c r="AY70" s="12">
        <v>64</v>
      </c>
      <c r="AZ70" s="12">
        <f t="shared" ref="AZ70:AZ101" si="64">age+AY70</f>
        <v>109</v>
      </c>
      <c r="BA70" s="260" t="e">
        <f>BA69*(1-VLOOKUP(AZ70,boc_trpr_bc,11,TRUE)*boc_rr_bc_mast-VLOOKUP(AZ70,boc_trpr_oc,11,TRUE)*boc_rr_oc_mast-VLOOKUP(AZ70,mortt,2,FALSE))</f>
        <v>#N/A</v>
      </c>
      <c r="BB70" s="260" t="e">
        <f>BB69*(1-VLOOKUP(AZ70,boc_trpr_bc,11,TRUE)*boc_rr_bc_ooph-VLOOKUP(AZ70,boc_trpr_oc,11,TRUE)*boc_rr_oc_ooph-VLOOKUP(AZ70,mortt,2,FALSE))</f>
        <v>#N/A</v>
      </c>
      <c r="BC70" s="260" t="e">
        <f>BC69*(1-VLOOKUP(AZ70,boc_trpr_bc,11,TRUE)*boc_rr_bc_both-VLOOKUP(AZ70,boc_trpr_oc,11,TRUE)*boc_rr_oc_both-VLOOKUP(AZ70,mortt,2,FALSE))</f>
        <v>#N/A</v>
      </c>
      <c r="BD70" s="289" t="e">
        <f>BD69*(1-VLOOKUP(AZ70,boc_trpr_bc,11,TRUE)*boc_rr_bc_hip-VLOOKUP(AZ70,boc_trpr_oc,11,TRUE)*boc_rr_oc_hip-VLOOKUP(AZ70,mortt,2,FALSE))</f>
        <v>#N/A</v>
      </c>
      <c r="BE70" s="289" t="e">
        <f>BE69*(1-VLOOKUP(AZ70,boc_trpr_bc,11,TRUE)*boc_rr_bc_hiv-VLOOKUP(AZ70,boc_trpr_oc,11,TRUE)*boc_rr_oc_hiv-VLOOKUP(AZ70,mortt,2,FALSE))</f>
        <v>#N/A</v>
      </c>
      <c r="BF70" s="289" t="e">
        <f>BF69*(1-VLOOKUP(AZ70,boc_trpr_bc,11,TRUE)*boc_rr_bc_modp-VLOOKUP(AZ70,boc_trpr_oc,11,TRUE)*boc_rr_oc_modp-VLOOKUP(AZ70,mortt,2,FALSE))</f>
        <v>#N/A</v>
      </c>
      <c r="BG70" s="289" t="e">
        <f>BG69*(1-VLOOKUP(AZ70,boc_trpr_bc,11,TRUE)*boc_rr_bc_modv-VLOOKUP(AZ70,boc_trpr_oc,11,TRUE)*boc_rr_oc_modv-VLOOKUP(AZ70,mortt,2,FALSE))</f>
        <v>#N/A</v>
      </c>
      <c r="BH70" s="289" t="e">
        <f>BH69*(1-VLOOKUP(AZ70,boc_trpr_bc,11,TRUE)*boc_rr_bc_lop-VLOOKUP(AZ70,boc_trpr_oc,11,TRUE)*boc_rr_oc_lop-VLOOKUP(AZ70,mortt,2,FALSE))</f>
        <v>#N/A</v>
      </c>
      <c r="BI70" s="289" t="e">
        <f>BI69*(1-VLOOKUP(AZ70,boc_trpr_bc,11,TRUE)*boc_rr_bc_lov-VLOOKUP(AZ70,boc_trpr_oc,11,TRUE)*boc_rr_oc_lov-VLOOKUP(AZ70,mortt,2,FALSE))</f>
        <v>#N/A</v>
      </c>
      <c r="BJ70" s="260" t="e">
        <f>BJ69*(1-VLOOKUP(AZ70,boc_trpr_bc,11,TRUE)*boc_rr_bc_np-VLOOKUP(AZ70,boc_trpr_oc,11,TRUE)*boc_rr_oc_np-VLOOKUP(AZ70,mortt,2,FALSE))</f>
        <v>#N/A</v>
      </c>
      <c r="BK70" s="260" t="e">
        <f>BA69*VLOOKUP(AZ70,boc_trpr_bc,11,TRUE)*boc_rr_bc_mast+BB69*VLOOKUP(AZ70,boc_trpr_bc,11,TRUE)*boc_rr_bc_ooph+BC69*VLOOKUP(AZ70,boc_trpr_bc,11,TRUE)*boc_rr_bc_both+BD69*VLOOKUP(AZ70,boc_trpr_bc,11,TRUE)*boc_rr_bc_hip+BE69*VLOOKUP(AZ70,boc_trpr_bc,11,TRUE)*boc_rr_bc_hiv+BF69*VLOOKUP(AZ70,boc_trpr_bc,11,TRUE)*boc_rr_bc_modp+BG69*VLOOKUP(AZ70,boc_trpr_bc,11,TRUE)*boc_rr_bc_modv+BH69*VLOOKUP(AZ70,boc_trpr_bc,11,TRUE)*boc_rr_bc_lop+BI69*VLOOKUP(AZ70,boc_trpr_bc,11,TRUE)*boc_rr_bc_lov+BJ69*VLOOKUP(AZ70,boc_trpr_bc,11,TRUE)*boc_rr_bc_np</f>
        <v>#N/A</v>
      </c>
      <c r="BL70" s="260" t="e">
        <f>BA69*VLOOKUP(AZ70,boc_trpr_oc,11,TRUE)*boc_rr_oc_mast+BB69*VLOOKUP(AZ70,boc_trpr_oc,11,TRUE)*boc_rr_oc_ooph+BC69*VLOOKUP(AZ70,boc_trpr_oc,11,TRUE)*boc_rr_oc_both+BD69*VLOOKUP(AZ70,boc_trpr_oc,11,TRUE)*boc_rr_oc_hip+BE69*VLOOKUP(AZ70,boc_trpr_oc,11,TRUE)*boc_rr_oc_hiv+BF69*VLOOKUP(AZ70,boc_trpr_oc,11,TRUE)*boc_rr_oc_modp+BG69*VLOOKUP(AZ70,boc_trpr_oc,11,TRUE)*boc_rr_oc_modv+BH69*VLOOKUP(AZ70,boc_trpr_oc,11,TRUE)*boc_rr_oc_lop+BI69*VLOOKUP(AZ70,boc_trpr_oc,11,TRUE)*boc_rr_oc_lov+BJ69*VLOOKUP(AZ70,boc_trpr_oc,11,TRUE)*boc_rr_oc_np</f>
        <v>#N/A</v>
      </c>
      <c r="BM70" s="260" t="e">
        <f>BK69*(1-VLOOKUP(AZ70,boc_trpr_bc_death,20,TRUE))+BL69*(1-VLOOKUP(AZ70,boc_trpr_oc_death,20,TRUE))+BM69*(1-VLOOKUP(AZ70,mortt,2,FALSE)*boc_rr_death_pc)</f>
        <v>#N/A</v>
      </c>
      <c r="BN70" s="260" t="e">
        <f>BN69+SUM(BA69:BJ69)*VLOOKUP(AZ70,mortt,2,FALSE)+BK69*VLOOKUP(AZ70,boc_trpr_bc_death,20,TRUE)+BL69*VLOOKUP(AZ70,boc_trpr_bc_death,20,TRUE)+BM69*VLOOKUP(AZ70,mortt,2,FALSE)*boc_rr_death_pc</f>
        <v>#N/A</v>
      </c>
      <c r="BO70" s="260" t="e">
        <f t="shared" si="41"/>
        <v>#N/A</v>
      </c>
      <c r="BP70" s="118" t="e">
        <f>(boc_cost_mast*SUM(BD70,BF70,BH70)*(boc_tr_mast_path+boc_tr_both_path)+SUM(BE70,BG70,BI70)*(boc_tr_mast_vus+boc_tr_both_vus)+BK70*boc_cost_bc+BL70*boc_cost_oc+BM70*boc_cost_pc+(BK70*VLOOKUP(AZ70,boc_trpr_bc_death,20,TRUE)+BL70*VLOOKUP(AZ70,boc_trpr_oc_death,TRUE)*boc_cost_death))/((1+discount)^AY70)</f>
        <v>#N/A</v>
      </c>
      <c r="BQ70" s="35" t="e">
        <f t="shared" ref="BQ70:BQ106" si="65">(SUM(BA70:BC70)*boc_util_int+SUM(BD70:BJ70)*boc_util_no_nv+SUM(BK70:BL70)*boc_util_c+BM70*boc_util_pc-SUM(BD70,BF70,BH70)*(boc_tr_mast_path*boc_disutil_mast+boc_tr_ooph_path*boc_disutil_ooph+boc_tr_both_path*boc_disutil_both)-SUM(BE70,BG70,BI70)*(boc_tr_mast_vus*boc_disutil_mast+boc_tr_ooph_vus*boc_disutil_ooph+boc_tr_both_vus*boc_disutil_both))/((1+discount)^AY70)</f>
        <v>#N/A</v>
      </c>
      <c r="BR70" s="35" t="e">
        <f t="shared" ref="BR70:BR106" si="66">(1-BN70)/((1+discount)^AY70)</f>
        <v>#N/A</v>
      </c>
      <c r="BS70" s="35"/>
      <c r="BU70" s="33">
        <v>45</v>
      </c>
      <c r="BV70" t="str">
        <f>$M$114</f>
        <v>boc_rr_oc_lov</v>
      </c>
      <c r="BW70" s="35">
        <f>$F$114</f>
        <v>0.88000000000000012</v>
      </c>
      <c r="BX70" s="35">
        <f>$G$114</f>
        <v>1.32</v>
      </c>
      <c r="BY70" s="311">
        <v>-7.5488389704901238</v>
      </c>
      <c r="BZ70" s="311">
        <v>-7.5575513630355999</v>
      </c>
      <c r="CA70" s="311">
        <f t="shared" si="57"/>
        <v>8.7123925454761775E-3</v>
      </c>
      <c r="CD70" s="138">
        <v>65</v>
      </c>
      <c r="CE70" s="291">
        <v>9.724E-3</v>
      </c>
    </row>
    <row r="71" spans="2:83" ht="15" customHeight="1" x14ac:dyDescent="0.2">
      <c r="B71" s="38" t="s">
        <v>207</v>
      </c>
      <c r="M71" s="249"/>
      <c r="Q71" s="11"/>
      <c r="AD71" s="12">
        <v>65</v>
      </c>
      <c r="AE71" s="12">
        <f t="shared" si="61"/>
        <v>110</v>
      </c>
      <c r="AF71" s="260" t="e">
        <f>AF70*(1-VLOOKUP(AE71,boc_trpr_bc,11,TRUE)*boc_rr_bc_mast-VLOOKUP(AE71,boc_trpr_oc,11,TRUE)*boc_rr_oc_mast-VLOOKUP(AE71,mortt,2,FALSE))+SUM(AI70,AK70,AM70)*boc_tr_mast_path+SUM(AJ70,AL70,AN70)*boc_tr_mast_vus</f>
        <v>#N/A</v>
      </c>
      <c r="AG71" s="260" t="e">
        <f>AG70*(1-VLOOKUP(AE71,boc_trpr_bc,11,TRUE)*boc_rr_bc_ooph-VLOOKUP(AE71,boc_trpr_oc,11,TRUE)*boc_rr_oc_ooph-VLOOKUP(AE71,mortt,2,FALSE))+SUM(AI70,AK70,AM70)*boc_tr_ooph_path+SUM(AJ70,AL70,AN70)*boc_tr_ooph_vus</f>
        <v>#N/A</v>
      </c>
      <c r="AH71" s="260" t="e">
        <f>AH70*(1-VLOOKUP(AE71,boc_trpr_bc,11,TRUE)*boc_rr_bc_both-VLOOKUP(AE71,boc_trpr_oc,11,TRUE)*boc_rr_oc_both-VLOOKUP(AE71,mortt,2,FALSE))+SUM(AI70,AK70,AM70)*boc_tr_both_path+SUM(AJ70,AL70,AN70)*boc_tr_both_vus</f>
        <v>#N/A</v>
      </c>
      <c r="AI71" s="289" t="e">
        <f>AI70*(1-VLOOKUP(AE71,boc_trpr_bc,11,TRUE)*boc_rr_bc_hip-VLOOKUP(AE71,boc_trpr_oc,11,TRUE)*boc_rr_oc_hip-boc_tr_mast_path-boc_tr_ooph_path-boc_tr_both_path-VLOOKUP(AE71,mortt,2,FALSE))</f>
        <v>#N/A</v>
      </c>
      <c r="AJ71" s="289" t="e">
        <f>AJ70*(1-VLOOKUP(AE71,boc_trpr_bc,11,TRUE)*boc_rr_bc_hiv-VLOOKUP(AE71,boc_trpr_oc,11,TRUE)*boc_rr_oc_hiv-boc_tr_mast_vus-boc_tr_ooph_vus-boc_tr_both_vus-VLOOKUP(AE71,mortt,2,FALSE))</f>
        <v>#N/A</v>
      </c>
      <c r="AK71" s="289" t="e">
        <f>AK70*(1-VLOOKUP(AE71,boc_trpr_bc,11,TRUE)*boc_rr_bc_modp-VLOOKUP(AE71,boc_trpr_oc,11,TRUE)*boc_rr_oc_modp-boc_tr_mast_path-boc_tr_ooph_path-boc_tr_both_path-VLOOKUP(AE71,mortt,2,FALSE))</f>
        <v>#N/A</v>
      </c>
      <c r="AL71" s="289" t="e">
        <f>AL70*(1-VLOOKUP(AE71,boc_trpr_bc,11,TRUE)*boc_rr_bc_modv-VLOOKUP(AE71,boc_trpr_oc,11,TRUE)*boc_rr_oc_modv-boc_tr_mast_vus-boc_tr_ooph_vus-boc_tr_both_vus-VLOOKUP(AE71,mortt,2,FALSE))</f>
        <v>#N/A</v>
      </c>
      <c r="AM71" s="289" t="e">
        <f>AM70*(1-VLOOKUP(AE71,boc_trpr_bc,11,TRUE)*boc_rr_bc_lop-VLOOKUP(AE71,boc_trpr_oc,11,TRUE)*boc_rr_oc_lop-boc_tr_mast_path-boc_tr_ooph_path-boc_tr_both_path-VLOOKUP(AE71,mortt,2,FALSE))</f>
        <v>#N/A</v>
      </c>
      <c r="AN71" s="289" t="e">
        <f>AN70*(1-VLOOKUP(AE71,boc_trpr_bc,11,TRUE)*boc_rr_bc_lov-VLOOKUP(AE71,boc_trpr_oc,11,TRUE)*boc_rr_oc_lov-boc_tr_mast_vus-boc_tr_ooph_vus-boc_tr_both_vus-VLOOKUP(AE71,mortt,2,FALSE))</f>
        <v>#N/A</v>
      </c>
      <c r="AO71" s="260" t="e">
        <f>AO70*(1-VLOOKUP(AE71,boc_trpr_bc,11,TRUE)*boc_rr_bc_np-VLOOKUP(AE71,boc_trpr_oc,11,TRUE)*boc_rr_oc_np-VLOOKUP(AE71,mortt,2,FALSE))</f>
        <v>#N/A</v>
      </c>
      <c r="AP71" s="260" t="e">
        <f>AF70*VLOOKUP(AE71,boc_trpr_bc,11,TRUE)*boc_rr_bc_mast+AG70*VLOOKUP(AE71,boc_trpr_bc,11,TRUE)*boc_rr_bc_ooph+AH70*VLOOKUP(AE71,boc_trpr_bc,11,TRUE)*boc_rr_bc_both+AI70*VLOOKUP(AE71,boc_trpr_bc,11,TRUE)*boc_rr_bc_hip+AJ70*VLOOKUP(AE71,boc_trpr_bc,11,TRUE)*boc_rr_bc_hiv+AK70*VLOOKUP(AE71,boc_trpr_bc,11,TRUE)*boc_rr_bc_modp+AL70*VLOOKUP(AE71,boc_trpr_bc,11,TRUE)*boc_rr_bc_modv+AM70*VLOOKUP(AE71,boc_trpr_bc,11,TRUE)*boc_rr_bc_lop+AN70*VLOOKUP(AE71,boc_trpr_bc,11,TRUE)*boc_rr_bc_lov+AO70*VLOOKUP(AE71,boc_trpr_bc,11,TRUE)*boc_rr_bc_np</f>
        <v>#N/A</v>
      </c>
      <c r="AQ71" s="260" t="e">
        <f>AF70*VLOOKUP(AE71,boc_trpr_oc,11,TRUE)*boc_rr_oc_mast+AG70*VLOOKUP(AE71,boc_trpr_oc,11,TRUE)*boc_rr_oc_ooph+AH70*VLOOKUP(AE71,boc_trpr_oc,11,TRUE)*boc_rr_oc_both+AI70*VLOOKUP(AE71,boc_trpr_oc,11,TRUE)*boc_rr_oc_hip+AJ70*VLOOKUP(AE71,boc_trpr_oc,11,TRUE)*boc_rr_oc_hiv+AK70*VLOOKUP(AE71,boc_trpr_oc,11,TRUE)*boc_rr_oc_modp+AL70*VLOOKUP(AE71,boc_trpr_oc,11,TRUE)*boc_rr_oc_modv+AM70*VLOOKUP(AE71,boc_trpr_oc,11,TRUE)*boc_rr_oc_lop+AN70*VLOOKUP(AE71,boc_trpr_oc,11,TRUE)*boc_rr_oc_lov+AO70*VLOOKUP(AE71,boc_trpr_oc,11,TRUE)*boc_rr_oc_np</f>
        <v>#N/A</v>
      </c>
      <c r="AR71" s="260" t="e">
        <f>AP70*(1-VLOOKUP(AE71,boc_trpr_bc_death,20,TRUE))+AQ70*(1-VLOOKUP(AE71,boc_trpr_oc_death,20,TRUE))+AR70*(1-VLOOKUP(AE71,mortt,2,FALSE)*boc_rr_death_pc)</f>
        <v>#N/A</v>
      </c>
      <c r="AS71" s="260" t="e">
        <f>AS70+SUM(AF70:AO70)*VLOOKUP(AE71,mortt,2,FALSE)+AP70*VLOOKUP(AE71,boc_trpr_bc_death,20,TRUE)+AQ70*VLOOKUP(AE71,boc_trpr_bc_death,20,TRUE)+AR70*VLOOKUP(AE71,mortt,2,FALSE)*boc_rr_death_pc</f>
        <v>#N/A</v>
      </c>
      <c r="AT71" s="260" t="e">
        <f t="shared" si="52"/>
        <v>#N/A</v>
      </c>
      <c r="AU71" s="118" t="e">
        <f>(boc_cost_mast*SUM(AI71,AK71,AM71)*(boc_tr_mast_path+boc_tr_both_path)+SUM(AJ71,AL71,AN71)*(boc_tr_mast_vus+boc_tr_both_vus)+AP71*boc_cost_bc+AQ71*boc_cost_oc+AR71*boc_cost_pc+(AP71*VLOOKUP(AE71,boc_trpr_bc_death,20,TRUE)+AQ71*VLOOKUP(AE71,boc_trpr_oc_death,TRUE)*boc_cost_death))/((1+discount)^AD71)</f>
        <v>#N/A</v>
      </c>
      <c r="AV71" s="35" t="e">
        <f t="shared" si="62"/>
        <v>#N/A</v>
      </c>
      <c r="AW71" s="35" t="e">
        <f t="shared" si="63"/>
        <v>#N/A</v>
      </c>
      <c r="AY71" s="12">
        <v>65</v>
      </c>
      <c r="AZ71" s="12">
        <f t="shared" si="64"/>
        <v>110</v>
      </c>
      <c r="BA71" s="260" t="e">
        <f>BA70*(1-VLOOKUP(AZ71,boc_trpr_bc,11,TRUE)*boc_rr_bc_mast-VLOOKUP(AZ71,boc_trpr_oc,11,TRUE)*boc_rr_oc_mast-VLOOKUP(AZ71,mortt,2,FALSE))</f>
        <v>#N/A</v>
      </c>
      <c r="BB71" s="260" t="e">
        <f>BB70*(1-VLOOKUP(AZ71,boc_trpr_bc,11,TRUE)*boc_rr_bc_ooph-VLOOKUP(AZ71,boc_trpr_oc,11,TRUE)*boc_rr_oc_ooph-VLOOKUP(AZ71,mortt,2,FALSE))</f>
        <v>#N/A</v>
      </c>
      <c r="BC71" s="260" t="e">
        <f>BC70*(1-VLOOKUP(AZ71,boc_trpr_bc,11,TRUE)*boc_rr_bc_both-VLOOKUP(AZ71,boc_trpr_oc,11,TRUE)*boc_rr_oc_both-VLOOKUP(AZ71,mortt,2,FALSE))</f>
        <v>#N/A</v>
      </c>
      <c r="BD71" s="289" t="e">
        <f>BD70*(1-VLOOKUP(AZ71,boc_trpr_bc,11,TRUE)*boc_rr_bc_hip-VLOOKUP(AZ71,boc_trpr_oc,11,TRUE)*boc_rr_oc_hip-VLOOKUP(AZ71,mortt,2,FALSE))</f>
        <v>#N/A</v>
      </c>
      <c r="BE71" s="289" t="e">
        <f>BE70*(1-VLOOKUP(AZ71,boc_trpr_bc,11,TRUE)*boc_rr_bc_hiv-VLOOKUP(AZ71,boc_trpr_oc,11,TRUE)*boc_rr_oc_hiv-VLOOKUP(AZ71,mortt,2,FALSE))</f>
        <v>#N/A</v>
      </c>
      <c r="BF71" s="289" t="e">
        <f>BF70*(1-VLOOKUP(AZ71,boc_trpr_bc,11,TRUE)*boc_rr_bc_modp-VLOOKUP(AZ71,boc_trpr_oc,11,TRUE)*boc_rr_oc_modp-VLOOKUP(AZ71,mortt,2,FALSE))</f>
        <v>#N/A</v>
      </c>
      <c r="BG71" s="289" t="e">
        <f>BG70*(1-VLOOKUP(AZ71,boc_trpr_bc,11,TRUE)*boc_rr_bc_modv-VLOOKUP(AZ71,boc_trpr_oc,11,TRUE)*boc_rr_oc_modv-VLOOKUP(AZ71,mortt,2,FALSE))</f>
        <v>#N/A</v>
      </c>
      <c r="BH71" s="289" t="e">
        <f>BH70*(1-VLOOKUP(AZ71,boc_trpr_bc,11,TRUE)*boc_rr_bc_lop-VLOOKUP(AZ71,boc_trpr_oc,11,TRUE)*boc_rr_oc_lop-VLOOKUP(AZ71,mortt,2,FALSE))</f>
        <v>#N/A</v>
      </c>
      <c r="BI71" s="289" t="e">
        <f>BI70*(1-VLOOKUP(AZ71,boc_trpr_bc,11,TRUE)*boc_rr_bc_lov-VLOOKUP(AZ71,boc_trpr_oc,11,TRUE)*boc_rr_oc_lov-VLOOKUP(AZ71,mortt,2,FALSE))</f>
        <v>#N/A</v>
      </c>
      <c r="BJ71" s="260" t="e">
        <f>BJ70*(1-VLOOKUP(AZ71,boc_trpr_bc,11,TRUE)*boc_rr_bc_np-VLOOKUP(AZ71,boc_trpr_oc,11,TRUE)*boc_rr_oc_np-VLOOKUP(AZ71,mortt,2,FALSE))</f>
        <v>#N/A</v>
      </c>
      <c r="BK71" s="260" t="e">
        <f>BA70*VLOOKUP(AZ71,boc_trpr_bc,11,TRUE)*boc_rr_bc_mast+BB70*VLOOKUP(AZ71,boc_trpr_bc,11,TRUE)*boc_rr_bc_ooph+BC70*VLOOKUP(AZ71,boc_trpr_bc,11,TRUE)*boc_rr_bc_both+BD70*VLOOKUP(AZ71,boc_trpr_bc,11,TRUE)*boc_rr_bc_hip+BE70*VLOOKUP(AZ71,boc_trpr_bc,11,TRUE)*boc_rr_bc_hiv+BF70*VLOOKUP(AZ71,boc_trpr_bc,11,TRUE)*boc_rr_bc_modp+BG70*VLOOKUP(AZ71,boc_trpr_bc,11,TRUE)*boc_rr_bc_modv+BH70*VLOOKUP(AZ71,boc_trpr_bc,11,TRUE)*boc_rr_bc_lop+BI70*VLOOKUP(AZ71,boc_trpr_bc,11,TRUE)*boc_rr_bc_lov+BJ70*VLOOKUP(AZ71,boc_trpr_bc,11,TRUE)*boc_rr_bc_np</f>
        <v>#N/A</v>
      </c>
      <c r="BL71" s="260" t="e">
        <f>BA70*VLOOKUP(AZ71,boc_trpr_oc,11,TRUE)*boc_rr_oc_mast+BB70*VLOOKUP(AZ71,boc_trpr_oc,11,TRUE)*boc_rr_oc_ooph+BC70*VLOOKUP(AZ71,boc_trpr_oc,11,TRUE)*boc_rr_oc_both+BD70*VLOOKUP(AZ71,boc_trpr_oc,11,TRUE)*boc_rr_oc_hip+BE70*VLOOKUP(AZ71,boc_trpr_oc,11,TRUE)*boc_rr_oc_hiv+BF70*VLOOKUP(AZ71,boc_trpr_oc,11,TRUE)*boc_rr_oc_modp+BG70*VLOOKUP(AZ71,boc_trpr_oc,11,TRUE)*boc_rr_oc_modv+BH70*VLOOKUP(AZ71,boc_trpr_oc,11,TRUE)*boc_rr_oc_lop+BI70*VLOOKUP(AZ71,boc_trpr_oc,11,TRUE)*boc_rr_oc_lov+BJ70*VLOOKUP(AZ71,boc_trpr_oc,11,TRUE)*boc_rr_oc_np</f>
        <v>#N/A</v>
      </c>
      <c r="BM71" s="260" t="e">
        <f>BK70*(1-VLOOKUP(AZ71,boc_trpr_bc_death,20,TRUE))+BL70*(1-VLOOKUP(AZ71,boc_trpr_oc_death,20,TRUE))+BM70*(1-VLOOKUP(AZ71,mortt,2,FALSE)*boc_rr_death_pc)</f>
        <v>#N/A</v>
      </c>
      <c r="BN71" s="260" t="e">
        <f>BN70+SUM(BA70:BJ70)*VLOOKUP(AZ71,mortt,2,FALSE)+BK70*VLOOKUP(AZ71,boc_trpr_bc_death,20,TRUE)+BL70*VLOOKUP(AZ71,boc_trpr_bc_death,20,TRUE)+BM70*VLOOKUP(AZ71,mortt,2,FALSE)*boc_rr_death_pc</f>
        <v>#N/A</v>
      </c>
      <c r="BO71" s="260" t="e">
        <f t="shared" si="41"/>
        <v>#N/A</v>
      </c>
      <c r="BP71" s="118" t="e">
        <f>(boc_cost_mast*SUM(BD71,BF71,BH71)*(boc_tr_mast_path+boc_tr_both_path)+SUM(BE71,BG71,BI71)*(boc_tr_mast_vus+boc_tr_both_vus)+BK71*boc_cost_bc+BL71*boc_cost_oc+BM71*boc_cost_pc+(BK71*VLOOKUP(AZ71,boc_trpr_bc_death,20,TRUE)+BL71*VLOOKUP(AZ71,boc_trpr_oc_death,TRUE)*boc_cost_death))/((1+discount)^AY71)</f>
        <v>#N/A</v>
      </c>
      <c r="BQ71" s="35" t="e">
        <f t="shared" si="65"/>
        <v>#N/A</v>
      </c>
      <c r="BR71" s="35" t="e">
        <f t="shared" si="66"/>
        <v>#N/A</v>
      </c>
      <c r="BS71" s="35"/>
      <c r="BU71" s="33">
        <v>50</v>
      </c>
      <c r="BV71" t="str">
        <f>$M$115</f>
        <v>boc_rr_oc_np</v>
      </c>
      <c r="BW71" s="35">
        <f>$F$115</f>
        <v>0.8</v>
      </c>
      <c r="BX71" s="35">
        <f>$G$115</f>
        <v>1.2</v>
      </c>
      <c r="BY71" s="311">
        <v>-7.5563956153637264</v>
      </c>
      <c r="BZ71" s="311">
        <v>-7.5500000990195986</v>
      </c>
      <c r="CA71" s="311">
        <f t="shared" si="57"/>
        <v>6.3955163441278273E-3</v>
      </c>
      <c r="CD71" s="138">
        <v>66</v>
      </c>
      <c r="CE71" s="291">
        <v>1.0529E-2</v>
      </c>
    </row>
    <row r="72" spans="2:83" ht="15" customHeight="1" x14ac:dyDescent="0.2">
      <c r="B72" s="37" t="s">
        <v>7</v>
      </c>
      <c r="C72" s="35">
        <f>IF(psa,J72,IF(owsa_low=L72,F72,IF(owsa_high=L72,G72,IF(ISNUMBER(D72),D72,E72))))</f>
        <v>0.01</v>
      </c>
      <c r="D72" s="158"/>
      <c r="E72" s="12">
        <v>0.01</v>
      </c>
      <c r="F72" s="35">
        <f>IF(ISNUMBER(D72),D72,E72)*(1-owsa_boc)</f>
        <v>8.0000000000000002E-3</v>
      </c>
      <c r="G72" s="35">
        <f>MIN(1,IF(ISNUMBER(D72),D72,E72)*(1+owsa_boc))</f>
        <v>1.2E-2</v>
      </c>
      <c r="H72" s="48">
        <f t="shared" ref="H72:H74" si="67">IF(ISNUMBER(D72),D72,E72)^2*(1-IF(ISNUMBER(D72),D72,E72))/((G72-F72)/(2*z))^2-IF(ISNUMBER(D72),D72,E72)</f>
        <v>95.066105812179558</v>
      </c>
      <c r="I72" s="48">
        <f t="shared" ref="I72:I74" si="68">(IF(ISNUMBER(D72),D72,E72)^2*(1-IF(ISNUMBER(D72),D72,E72))/((G72-F72)/(2*z))^2-IF(ISNUMBER(D72),D72,E72))*(1-IF(ISNUMBER(D72),D72,E72))/IF(ISNUMBER(D72),D72,E72)</f>
        <v>9411.5444754057753</v>
      </c>
      <c r="J72" s="35">
        <f ca="1">_xlfn.BETA.INV(RAND(),H72,I72)</f>
        <v>9.8779494149559017E-3</v>
      </c>
      <c r="K72" s="12" t="s">
        <v>71</v>
      </c>
      <c r="L72" s="40">
        <v>18</v>
      </c>
      <c r="M72" s="247" t="s">
        <v>208</v>
      </c>
      <c r="N72" s="39" t="s">
        <v>48</v>
      </c>
      <c r="Q72" s="11"/>
      <c r="U72" s="9" t="s">
        <v>7</v>
      </c>
      <c r="V72" s="250">
        <f>boc_unk_int_mast</f>
        <v>0.01</v>
      </c>
      <c r="X72" s="261">
        <f>R78*T73*V72</f>
        <v>4.6944944760992993E-5</v>
      </c>
      <c r="AD72" s="12">
        <v>66</v>
      </c>
      <c r="AE72" s="12">
        <f t="shared" si="61"/>
        <v>111</v>
      </c>
      <c r="AF72" s="260" t="e">
        <f>AF71*(1-VLOOKUP(AE72,boc_trpr_bc,11,TRUE)*boc_rr_bc_mast-VLOOKUP(AE72,boc_trpr_oc,11,TRUE)*boc_rr_oc_mast-VLOOKUP(AE72,mortt,2,FALSE))+SUM(AI71,AK71,AM71)*boc_tr_mast_path+SUM(AJ71,AL71,AN71)*boc_tr_mast_vus</f>
        <v>#N/A</v>
      </c>
      <c r="AG72" s="260" t="e">
        <f>AG71*(1-VLOOKUP(AE72,boc_trpr_bc,11,TRUE)*boc_rr_bc_ooph-VLOOKUP(AE72,boc_trpr_oc,11,TRUE)*boc_rr_oc_ooph-VLOOKUP(AE72,mortt,2,FALSE))+SUM(AI71,AK71,AM71)*boc_tr_ooph_path+SUM(AJ71,AL71,AN71)*boc_tr_ooph_vus</f>
        <v>#N/A</v>
      </c>
      <c r="AH72" s="260" t="e">
        <f>AH71*(1-VLOOKUP(AE72,boc_trpr_bc,11,TRUE)*boc_rr_bc_both-VLOOKUP(AE72,boc_trpr_oc,11,TRUE)*boc_rr_oc_both-VLOOKUP(AE72,mortt,2,FALSE))+SUM(AI71,AK71,AM71)*boc_tr_both_path+SUM(AJ71,AL71,AN71)*boc_tr_both_vus</f>
        <v>#N/A</v>
      </c>
      <c r="AI72" s="289" t="e">
        <f>AI71*(1-VLOOKUP(AE72,boc_trpr_bc,11,TRUE)*boc_rr_bc_hip-VLOOKUP(AE72,boc_trpr_oc,11,TRUE)*boc_rr_oc_hip-boc_tr_mast_path-boc_tr_ooph_path-boc_tr_both_path-VLOOKUP(AE72,mortt,2,FALSE))</f>
        <v>#N/A</v>
      </c>
      <c r="AJ72" s="289" t="e">
        <f>AJ71*(1-VLOOKUP(AE72,boc_trpr_bc,11,TRUE)*boc_rr_bc_hiv-VLOOKUP(AE72,boc_trpr_oc,11,TRUE)*boc_rr_oc_hiv-boc_tr_mast_vus-boc_tr_ooph_vus-boc_tr_both_vus-VLOOKUP(AE72,mortt,2,FALSE))</f>
        <v>#N/A</v>
      </c>
      <c r="AK72" s="289" t="e">
        <f>AK71*(1-VLOOKUP(AE72,boc_trpr_bc,11,TRUE)*boc_rr_bc_modp-VLOOKUP(AE72,boc_trpr_oc,11,TRUE)*boc_rr_oc_modp-boc_tr_mast_path-boc_tr_ooph_path-boc_tr_both_path-VLOOKUP(AE72,mortt,2,FALSE))</f>
        <v>#N/A</v>
      </c>
      <c r="AL72" s="289" t="e">
        <f>AL71*(1-VLOOKUP(AE72,boc_trpr_bc,11,TRUE)*boc_rr_bc_modv-VLOOKUP(AE72,boc_trpr_oc,11,TRUE)*boc_rr_oc_modv-boc_tr_mast_vus-boc_tr_ooph_vus-boc_tr_both_vus-VLOOKUP(AE72,mortt,2,FALSE))</f>
        <v>#N/A</v>
      </c>
      <c r="AM72" s="289" t="e">
        <f>AM71*(1-VLOOKUP(AE72,boc_trpr_bc,11,TRUE)*boc_rr_bc_lop-VLOOKUP(AE72,boc_trpr_oc,11,TRUE)*boc_rr_oc_lop-boc_tr_mast_path-boc_tr_ooph_path-boc_tr_both_path-VLOOKUP(AE72,mortt,2,FALSE))</f>
        <v>#N/A</v>
      </c>
      <c r="AN72" s="289" t="e">
        <f>AN71*(1-VLOOKUP(AE72,boc_trpr_bc,11,TRUE)*boc_rr_bc_lov-VLOOKUP(AE72,boc_trpr_oc,11,TRUE)*boc_rr_oc_lov-boc_tr_mast_vus-boc_tr_ooph_vus-boc_tr_both_vus-VLOOKUP(AE72,mortt,2,FALSE))</f>
        <v>#N/A</v>
      </c>
      <c r="AO72" s="260" t="e">
        <f>AO71*(1-VLOOKUP(AE72,boc_trpr_bc,11,TRUE)*boc_rr_bc_np-VLOOKUP(AE72,boc_trpr_oc,11,TRUE)*boc_rr_oc_np-VLOOKUP(AE72,mortt,2,FALSE))</f>
        <v>#N/A</v>
      </c>
      <c r="AP72" s="260" t="e">
        <f>AF71*VLOOKUP(AE72,boc_trpr_bc,11,TRUE)*boc_rr_bc_mast+AG71*VLOOKUP(AE72,boc_trpr_bc,11,TRUE)*boc_rr_bc_ooph+AH71*VLOOKUP(AE72,boc_trpr_bc,11,TRUE)*boc_rr_bc_both+AI71*VLOOKUP(AE72,boc_trpr_bc,11,TRUE)*boc_rr_bc_hip+AJ71*VLOOKUP(AE72,boc_trpr_bc,11,TRUE)*boc_rr_bc_hiv+AK71*VLOOKUP(AE72,boc_trpr_bc,11,TRUE)*boc_rr_bc_modp+AL71*VLOOKUP(AE72,boc_trpr_bc,11,TRUE)*boc_rr_bc_modv+AM71*VLOOKUP(AE72,boc_trpr_bc,11,TRUE)*boc_rr_bc_lop+AN71*VLOOKUP(AE72,boc_trpr_bc,11,TRUE)*boc_rr_bc_lov+AO71*VLOOKUP(AE72,boc_trpr_bc,11,TRUE)*boc_rr_bc_np</f>
        <v>#N/A</v>
      </c>
      <c r="AQ72" s="260" t="e">
        <f>AF71*VLOOKUP(AE72,boc_trpr_oc,11,TRUE)*boc_rr_oc_mast+AG71*VLOOKUP(AE72,boc_trpr_oc,11,TRUE)*boc_rr_oc_ooph+AH71*VLOOKUP(AE72,boc_trpr_oc,11,TRUE)*boc_rr_oc_both+AI71*VLOOKUP(AE72,boc_trpr_oc,11,TRUE)*boc_rr_oc_hip+AJ71*VLOOKUP(AE72,boc_trpr_oc,11,TRUE)*boc_rr_oc_hiv+AK71*VLOOKUP(AE72,boc_trpr_oc,11,TRUE)*boc_rr_oc_modp+AL71*VLOOKUP(AE72,boc_trpr_oc,11,TRUE)*boc_rr_oc_modv+AM71*VLOOKUP(AE72,boc_trpr_oc,11,TRUE)*boc_rr_oc_lop+AN71*VLOOKUP(AE72,boc_trpr_oc,11,TRUE)*boc_rr_oc_lov+AO71*VLOOKUP(AE72,boc_trpr_oc,11,TRUE)*boc_rr_oc_np</f>
        <v>#N/A</v>
      </c>
      <c r="AR72" s="260" t="e">
        <f>AP71*(1-VLOOKUP(AE72,boc_trpr_bc_death,20,TRUE))+AQ71*(1-VLOOKUP(AE72,boc_trpr_oc_death,20,TRUE))+AR71*(1-VLOOKUP(AE72,mortt,2,FALSE)*boc_rr_death_pc)</f>
        <v>#N/A</v>
      </c>
      <c r="AS72" s="260" t="e">
        <f>AS71+SUM(AF71:AO71)*VLOOKUP(AE72,mortt,2,FALSE)+AP71*VLOOKUP(AE72,boc_trpr_bc_death,20,TRUE)+AQ71*VLOOKUP(AE72,boc_trpr_bc_death,20,TRUE)+AR71*VLOOKUP(AE72,mortt,2,FALSE)*boc_rr_death_pc</f>
        <v>#N/A</v>
      </c>
      <c r="AT72" s="260" t="e">
        <f t="shared" si="52"/>
        <v>#N/A</v>
      </c>
      <c r="AU72" s="118" t="e">
        <f>(boc_cost_mast*SUM(AI72,AK72,AM72)*(boc_tr_mast_path+boc_tr_both_path)+SUM(AJ72,AL72,AN72)*(boc_tr_mast_vus+boc_tr_both_vus)+AP72*boc_cost_bc+AQ72*boc_cost_oc+AR72*boc_cost_pc+(AP72*VLOOKUP(AE72,boc_trpr_bc_death,20,TRUE)+AQ72*VLOOKUP(AE72,boc_trpr_oc_death,TRUE)*boc_cost_death))/((1+discount)^AD72)</f>
        <v>#N/A</v>
      </c>
      <c r="AV72" s="35" t="e">
        <f t="shared" si="62"/>
        <v>#N/A</v>
      </c>
      <c r="AW72" s="35" t="e">
        <f t="shared" si="63"/>
        <v>#N/A</v>
      </c>
      <c r="AY72" s="12">
        <v>66</v>
      </c>
      <c r="AZ72" s="12">
        <f t="shared" si="64"/>
        <v>111</v>
      </c>
      <c r="BA72" s="260" t="e">
        <f>BA71*(1-VLOOKUP(AZ72,boc_trpr_bc,11,TRUE)*boc_rr_bc_mast-VLOOKUP(AZ72,boc_trpr_oc,11,TRUE)*boc_rr_oc_mast-VLOOKUP(AZ72,mortt,2,FALSE))</f>
        <v>#N/A</v>
      </c>
      <c r="BB72" s="260" t="e">
        <f>BB71*(1-VLOOKUP(AZ72,boc_trpr_bc,11,TRUE)*boc_rr_bc_ooph-VLOOKUP(AZ72,boc_trpr_oc,11,TRUE)*boc_rr_oc_ooph-VLOOKUP(AZ72,mortt,2,FALSE))</f>
        <v>#N/A</v>
      </c>
      <c r="BC72" s="260" t="e">
        <f>BC71*(1-VLOOKUP(AZ72,boc_trpr_bc,11,TRUE)*boc_rr_bc_both-VLOOKUP(AZ72,boc_trpr_oc,11,TRUE)*boc_rr_oc_both-VLOOKUP(AZ72,mortt,2,FALSE))</f>
        <v>#N/A</v>
      </c>
      <c r="BD72" s="289" t="e">
        <f>BD71*(1-VLOOKUP(AZ72,boc_trpr_bc,11,TRUE)*boc_rr_bc_hip-VLOOKUP(AZ72,boc_trpr_oc,11,TRUE)*boc_rr_oc_hip-VLOOKUP(AZ72,mortt,2,FALSE))</f>
        <v>#N/A</v>
      </c>
      <c r="BE72" s="289" t="e">
        <f>BE71*(1-VLOOKUP(AZ72,boc_trpr_bc,11,TRUE)*boc_rr_bc_hiv-VLOOKUP(AZ72,boc_trpr_oc,11,TRUE)*boc_rr_oc_hiv-VLOOKUP(AZ72,mortt,2,FALSE))</f>
        <v>#N/A</v>
      </c>
      <c r="BF72" s="289" t="e">
        <f>BF71*(1-VLOOKUP(AZ72,boc_trpr_bc,11,TRUE)*boc_rr_bc_modp-VLOOKUP(AZ72,boc_trpr_oc,11,TRUE)*boc_rr_oc_modp-VLOOKUP(AZ72,mortt,2,FALSE))</f>
        <v>#N/A</v>
      </c>
      <c r="BG72" s="289" t="e">
        <f>BG71*(1-VLOOKUP(AZ72,boc_trpr_bc,11,TRUE)*boc_rr_bc_modv-VLOOKUP(AZ72,boc_trpr_oc,11,TRUE)*boc_rr_oc_modv-VLOOKUP(AZ72,mortt,2,FALSE))</f>
        <v>#N/A</v>
      </c>
      <c r="BH72" s="289" t="e">
        <f>BH71*(1-VLOOKUP(AZ72,boc_trpr_bc,11,TRUE)*boc_rr_bc_lop-VLOOKUP(AZ72,boc_trpr_oc,11,TRUE)*boc_rr_oc_lop-VLOOKUP(AZ72,mortt,2,FALSE))</f>
        <v>#N/A</v>
      </c>
      <c r="BI72" s="289" t="e">
        <f>BI71*(1-VLOOKUP(AZ72,boc_trpr_bc,11,TRUE)*boc_rr_bc_lov-VLOOKUP(AZ72,boc_trpr_oc,11,TRUE)*boc_rr_oc_lov-VLOOKUP(AZ72,mortt,2,FALSE))</f>
        <v>#N/A</v>
      </c>
      <c r="BJ72" s="260" t="e">
        <f>BJ71*(1-VLOOKUP(AZ72,boc_trpr_bc,11,TRUE)*boc_rr_bc_np-VLOOKUP(AZ72,boc_trpr_oc,11,TRUE)*boc_rr_oc_np-VLOOKUP(AZ72,mortt,2,FALSE))</f>
        <v>#N/A</v>
      </c>
      <c r="BK72" s="260" t="e">
        <f>BA71*VLOOKUP(AZ72,boc_trpr_bc,11,TRUE)*boc_rr_bc_mast+BB71*VLOOKUP(AZ72,boc_trpr_bc,11,TRUE)*boc_rr_bc_ooph+BC71*VLOOKUP(AZ72,boc_trpr_bc,11,TRUE)*boc_rr_bc_both+BD71*VLOOKUP(AZ72,boc_trpr_bc,11,TRUE)*boc_rr_bc_hip+BE71*VLOOKUP(AZ72,boc_trpr_bc,11,TRUE)*boc_rr_bc_hiv+BF71*VLOOKUP(AZ72,boc_trpr_bc,11,TRUE)*boc_rr_bc_modp+BG71*VLOOKUP(AZ72,boc_trpr_bc,11,TRUE)*boc_rr_bc_modv+BH71*VLOOKUP(AZ72,boc_trpr_bc,11,TRUE)*boc_rr_bc_lop+BI71*VLOOKUP(AZ72,boc_trpr_bc,11,TRUE)*boc_rr_bc_lov+BJ71*VLOOKUP(AZ72,boc_trpr_bc,11,TRUE)*boc_rr_bc_np</f>
        <v>#N/A</v>
      </c>
      <c r="BL72" s="260" t="e">
        <f>BA71*VLOOKUP(AZ72,boc_trpr_oc,11,TRUE)*boc_rr_oc_mast+BB71*VLOOKUP(AZ72,boc_trpr_oc,11,TRUE)*boc_rr_oc_ooph+BC71*VLOOKUP(AZ72,boc_trpr_oc,11,TRUE)*boc_rr_oc_both+BD71*VLOOKUP(AZ72,boc_trpr_oc,11,TRUE)*boc_rr_oc_hip+BE71*VLOOKUP(AZ72,boc_trpr_oc,11,TRUE)*boc_rr_oc_hiv+BF71*VLOOKUP(AZ72,boc_trpr_oc,11,TRUE)*boc_rr_oc_modp+BG71*VLOOKUP(AZ72,boc_trpr_oc,11,TRUE)*boc_rr_oc_modv+BH71*VLOOKUP(AZ72,boc_trpr_oc,11,TRUE)*boc_rr_oc_lop+BI71*VLOOKUP(AZ72,boc_trpr_oc,11,TRUE)*boc_rr_oc_lov+BJ71*VLOOKUP(AZ72,boc_trpr_oc,11,TRUE)*boc_rr_oc_np</f>
        <v>#N/A</v>
      </c>
      <c r="BM72" s="260" t="e">
        <f>BK71*(1-VLOOKUP(AZ72,boc_trpr_bc_death,20,TRUE))+BL71*(1-VLOOKUP(AZ72,boc_trpr_oc_death,20,TRUE))+BM71*(1-VLOOKUP(AZ72,mortt,2,FALSE)*boc_rr_death_pc)</f>
        <v>#N/A</v>
      </c>
      <c r="BN72" s="260" t="e">
        <f>BN71+SUM(BA71:BJ71)*VLOOKUP(AZ72,mortt,2,FALSE)+BK71*VLOOKUP(AZ72,boc_trpr_bc_death,20,TRUE)+BL71*VLOOKUP(AZ72,boc_trpr_bc_death,20,TRUE)+BM71*VLOOKUP(AZ72,mortt,2,FALSE)*boc_rr_death_pc</f>
        <v>#N/A</v>
      </c>
      <c r="BO72" s="260" t="e">
        <f t="shared" si="41"/>
        <v>#N/A</v>
      </c>
      <c r="BP72" s="118" t="e">
        <f>(boc_cost_mast*SUM(BD72,BF72,BH72)*(boc_tr_mast_path+boc_tr_both_path)+SUM(BE72,BG72,BI72)*(boc_tr_mast_vus+boc_tr_both_vus)+BK72*boc_cost_bc+BL72*boc_cost_oc+BM72*boc_cost_pc+(BK72*VLOOKUP(AZ72,boc_trpr_bc_death,20,TRUE)+BL72*VLOOKUP(AZ72,boc_trpr_oc_death,TRUE)*boc_cost_death))/((1+discount)^AY72)</f>
        <v>#N/A</v>
      </c>
      <c r="BQ72" s="35" t="e">
        <f t="shared" si="65"/>
        <v>#N/A</v>
      </c>
      <c r="BR72" s="35" t="e">
        <f t="shared" si="66"/>
        <v>#N/A</v>
      </c>
      <c r="BS72" s="35"/>
      <c r="BU72" s="33">
        <v>13</v>
      </c>
      <c r="BV72" t="e">
        <f>#REF!</f>
        <v>#REF!</v>
      </c>
      <c r="BW72" s="35" t="e">
        <f>#REF!</f>
        <v>#REF!</v>
      </c>
      <c r="BX72" s="35" t="e">
        <f>#REF!</f>
        <v>#REF!</v>
      </c>
      <c r="BY72" s="311">
        <v>-7.550486913354689</v>
      </c>
      <c r="BZ72" s="311">
        <v>-7.5559088010300002</v>
      </c>
      <c r="CA72" s="311">
        <f t="shared" si="57"/>
        <v>5.4218876753111545E-3</v>
      </c>
      <c r="CD72" s="138">
        <v>67</v>
      </c>
      <c r="CE72" s="291">
        <v>1.1439E-2</v>
      </c>
    </row>
    <row r="73" spans="2:83" ht="15" customHeight="1" x14ac:dyDescent="0.2">
      <c r="B73" s="37" t="s">
        <v>8</v>
      </c>
      <c r="C73" s="35">
        <f>IF(psa,J73,IF(owsa_low=L73,F73,IF(owsa_high=L73,G73,IF(ISNUMBER(D73),D73,E73))))</f>
        <v>0.01</v>
      </c>
      <c r="D73" s="158"/>
      <c r="E73" s="12">
        <v>0.01</v>
      </c>
      <c r="F73" s="35">
        <f>IF(ISNUMBER(D73),D73,E73)*(1-owsa_boc)</f>
        <v>8.0000000000000002E-3</v>
      </c>
      <c r="G73" s="35">
        <f>MIN(1,IF(ISNUMBER(D73),D73,E73)*(1+owsa_boc))</f>
        <v>1.2E-2</v>
      </c>
      <c r="H73" s="48">
        <f t="shared" si="67"/>
        <v>95.066105812179558</v>
      </c>
      <c r="I73" s="48">
        <f t="shared" si="68"/>
        <v>9411.5444754057753</v>
      </c>
      <c r="J73" s="35">
        <f ca="1">_xlfn.BETA.INV(RAND(),H73,I73)</f>
        <v>9.2037835490699407E-3</v>
      </c>
      <c r="K73" s="12" t="s">
        <v>71</v>
      </c>
      <c r="L73" s="40">
        <v>19</v>
      </c>
      <c r="M73" s="247" t="s">
        <v>209</v>
      </c>
      <c r="N73" s="39" t="s">
        <v>48</v>
      </c>
      <c r="Q73" s="11"/>
      <c r="S73" s="9" t="s">
        <v>11</v>
      </c>
      <c r="T73" s="251">
        <f>boc_path_mod_path</f>
        <v>9.4143645999999997E-2</v>
      </c>
      <c r="U73" s="9" t="s">
        <v>8</v>
      </c>
      <c r="V73" s="250">
        <f>boc_unk_int_ooph</f>
        <v>0.01</v>
      </c>
      <c r="Y73" s="261">
        <f>R78*T73*V73</f>
        <v>4.6944944760992993E-5</v>
      </c>
      <c r="AD73" s="12">
        <v>67</v>
      </c>
      <c r="AE73" s="12">
        <f t="shared" si="61"/>
        <v>112</v>
      </c>
      <c r="AF73" s="260" t="e">
        <f>AF72*(1-VLOOKUP(AE73,boc_trpr_bc,11,TRUE)*boc_rr_bc_mast-VLOOKUP(AE73,boc_trpr_oc,11,TRUE)*boc_rr_oc_mast-VLOOKUP(AE73,mortt,2,FALSE))+SUM(AI72,AK72,AM72)*boc_tr_mast_path+SUM(AJ72,AL72,AN72)*boc_tr_mast_vus</f>
        <v>#N/A</v>
      </c>
      <c r="AG73" s="260" t="e">
        <f>AG72*(1-VLOOKUP(AE73,boc_trpr_bc,11,TRUE)*boc_rr_bc_ooph-VLOOKUP(AE73,boc_trpr_oc,11,TRUE)*boc_rr_oc_ooph-VLOOKUP(AE73,mortt,2,FALSE))+SUM(AI72,AK72,AM72)*boc_tr_ooph_path+SUM(AJ72,AL72,AN72)*boc_tr_ooph_vus</f>
        <v>#N/A</v>
      </c>
      <c r="AH73" s="260" t="e">
        <f>AH72*(1-VLOOKUP(AE73,boc_trpr_bc,11,TRUE)*boc_rr_bc_both-VLOOKUP(AE73,boc_trpr_oc,11,TRUE)*boc_rr_oc_both-VLOOKUP(AE73,mortt,2,FALSE))+SUM(AI72,AK72,AM72)*boc_tr_both_path+SUM(AJ72,AL72,AN72)*boc_tr_both_vus</f>
        <v>#N/A</v>
      </c>
      <c r="AI73" s="289" t="e">
        <f>AI72*(1-VLOOKUP(AE73,boc_trpr_bc,11,TRUE)*boc_rr_bc_hip-VLOOKUP(AE73,boc_trpr_oc,11,TRUE)*boc_rr_oc_hip-boc_tr_mast_path-boc_tr_ooph_path-boc_tr_both_path-VLOOKUP(AE73,mortt,2,FALSE))</f>
        <v>#N/A</v>
      </c>
      <c r="AJ73" s="289" t="e">
        <f>AJ72*(1-VLOOKUP(AE73,boc_trpr_bc,11,TRUE)*boc_rr_bc_hiv-VLOOKUP(AE73,boc_trpr_oc,11,TRUE)*boc_rr_oc_hiv-boc_tr_mast_vus-boc_tr_ooph_vus-boc_tr_both_vus-VLOOKUP(AE73,mortt,2,FALSE))</f>
        <v>#N/A</v>
      </c>
      <c r="AK73" s="289" t="e">
        <f>AK72*(1-VLOOKUP(AE73,boc_trpr_bc,11,TRUE)*boc_rr_bc_modp-VLOOKUP(AE73,boc_trpr_oc,11,TRUE)*boc_rr_oc_modp-boc_tr_mast_path-boc_tr_ooph_path-boc_tr_both_path-VLOOKUP(AE73,mortt,2,FALSE))</f>
        <v>#N/A</v>
      </c>
      <c r="AL73" s="289" t="e">
        <f>AL72*(1-VLOOKUP(AE73,boc_trpr_bc,11,TRUE)*boc_rr_bc_modv-VLOOKUP(AE73,boc_trpr_oc,11,TRUE)*boc_rr_oc_modv-boc_tr_mast_vus-boc_tr_ooph_vus-boc_tr_both_vus-VLOOKUP(AE73,mortt,2,FALSE))</f>
        <v>#N/A</v>
      </c>
      <c r="AM73" s="289" t="e">
        <f>AM72*(1-VLOOKUP(AE73,boc_trpr_bc,11,TRUE)*boc_rr_bc_lop-VLOOKUP(AE73,boc_trpr_oc,11,TRUE)*boc_rr_oc_lop-boc_tr_mast_path-boc_tr_ooph_path-boc_tr_both_path-VLOOKUP(AE73,mortt,2,FALSE))</f>
        <v>#N/A</v>
      </c>
      <c r="AN73" s="289" t="e">
        <f>AN72*(1-VLOOKUP(AE73,boc_trpr_bc,11,TRUE)*boc_rr_bc_lov-VLOOKUP(AE73,boc_trpr_oc,11,TRUE)*boc_rr_oc_lov-boc_tr_mast_vus-boc_tr_ooph_vus-boc_tr_both_vus-VLOOKUP(AE73,mortt,2,FALSE))</f>
        <v>#N/A</v>
      </c>
      <c r="AO73" s="260" t="e">
        <f>AO72*(1-VLOOKUP(AE73,boc_trpr_bc,11,TRUE)*boc_rr_bc_np-VLOOKUP(AE73,boc_trpr_oc,11,TRUE)*boc_rr_oc_np-VLOOKUP(AE73,mortt,2,FALSE))</f>
        <v>#N/A</v>
      </c>
      <c r="AP73" s="260" t="e">
        <f>AF72*VLOOKUP(AE73,boc_trpr_bc,11,TRUE)*boc_rr_bc_mast+AG72*VLOOKUP(AE73,boc_trpr_bc,11,TRUE)*boc_rr_bc_ooph+AH72*VLOOKUP(AE73,boc_trpr_bc,11,TRUE)*boc_rr_bc_both+AI72*VLOOKUP(AE73,boc_trpr_bc,11,TRUE)*boc_rr_bc_hip+AJ72*VLOOKUP(AE73,boc_trpr_bc,11,TRUE)*boc_rr_bc_hiv+AK72*VLOOKUP(AE73,boc_trpr_bc,11,TRUE)*boc_rr_bc_modp+AL72*VLOOKUP(AE73,boc_trpr_bc,11,TRUE)*boc_rr_bc_modv+AM72*VLOOKUP(AE73,boc_trpr_bc,11,TRUE)*boc_rr_bc_lop+AN72*VLOOKUP(AE73,boc_trpr_bc,11,TRUE)*boc_rr_bc_lov+AO72*VLOOKUP(AE73,boc_trpr_bc,11,TRUE)*boc_rr_bc_np</f>
        <v>#N/A</v>
      </c>
      <c r="AQ73" s="260" t="e">
        <f>AF72*VLOOKUP(AE73,boc_trpr_oc,11,TRUE)*boc_rr_oc_mast+AG72*VLOOKUP(AE73,boc_trpr_oc,11,TRUE)*boc_rr_oc_ooph+AH72*VLOOKUP(AE73,boc_trpr_oc,11,TRUE)*boc_rr_oc_both+AI72*VLOOKUP(AE73,boc_trpr_oc,11,TRUE)*boc_rr_oc_hip+AJ72*VLOOKUP(AE73,boc_trpr_oc,11,TRUE)*boc_rr_oc_hiv+AK72*VLOOKUP(AE73,boc_trpr_oc,11,TRUE)*boc_rr_oc_modp+AL72*VLOOKUP(AE73,boc_trpr_oc,11,TRUE)*boc_rr_oc_modv+AM72*VLOOKUP(AE73,boc_trpr_oc,11,TRUE)*boc_rr_oc_lop+AN72*VLOOKUP(AE73,boc_trpr_oc,11,TRUE)*boc_rr_oc_lov+AO72*VLOOKUP(AE73,boc_trpr_oc,11,TRUE)*boc_rr_oc_np</f>
        <v>#N/A</v>
      </c>
      <c r="AR73" s="260" t="e">
        <f>AP72*(1-VLOOKUP(AE73,boc_trpr_bc_death,20,TRUE))+AQ72*(1-VLOOKUP(AE73,boc_trpr_oc_death,20,TRUE))+AR72*(1-VLOOKUP(AE73,mortt,2,FALSE)*boc_rr_death_pc)</f>
        <v>#N/A</v>
      </c>
      <c r="AS73" s="260" t="e">
        <f>AS72+SUM(AF72:AO72)*VLOOKUP(AE73,mortt,2,FALSE)+AP72*VLOOKUP(AE73,boc_trpr_bc_death,20,TRUE)+AQ72*VLOOKUP(AE73,boc_trpr_bc_death,20,TRUE)+AR72*VLOOKUP(AE73,mortt,2,FALSE)*boc_rr_death_pc</f>
        <v>#N/A</v>
      </c>
      <c r="AT73" s="260" t="e">
        <f t="shared" si="52"/>
        <v>#N/A</v>
      </c>
      <c r="AU73" s="118" t="e">
        <f>(boc_cost_mast*SUM(AI73,AK73,AM73)*(boc_tr_mast_path+boc_tr_both_path)+SUM(AJ73,AL73,AN73)*(boc_tr_mast_vus+boc_tr_both_vus)+AP73*boc_cost_bc+AQ73*boc_cost_oc+AR73*boc_cost_pc+(AP73*VLOOKUP(AE73,boc_trpr_bc_death,20,TRUE)+AQ73*VLOOKUP(AE73,boc_trpr_oc_death,TRUE)*boc_cost_death))/((1+discount)^AD73)</f>
        <v>#N/A</v>
      </c>
      <c r="AV73" s="35" t="e">
        <f t="shared" si="62"/>
        <v>#N/A</v>
      </c>
      <c r="AW73" s="35" t="e">
        <f t="shared" si="63"/>
        <v>#N/A</v>
      </c>
      <c r="AY73" s="12">
        <v>67</v>
      </c>
      <c r="AZ73" s="12">
        <f t="shared" si="64"/>
        <v>112</v>
      </c>
      <c r="BA73" s="260" t="e">
        <f>BA72*(1-VLOOKUP(AZ73,boc_trpr_bc,11,TRUE)*boc_rr_bc_mast-VLOOKUP(AZ73,boc_trpr_oc,11,TRUE)*boc_rr_oc_mast-VLOOKUP(AZ73,mortt,2,FALSE))</f>
        <v>#N/A</v>
      </c>
      <c r="BB73" s="260" t="e">
        <f>BB72*(1-VLOOKUP(AZ73,boc_trpr_bc,11,TRUE)*boc_rr_bc_ooph-VLOOKUP(AZ73,boc_trpr_oc,11,TRUE)*boc_rr_oc_ooph-VLOOKUP(AZ73,mortt,2,FALSE))</f>
        <v>#N/A</v>
      </c>
      <c r="BC73" s="260" t="e">
        <f>BC72*(1-VLOOKUP(AZ73,boc_trpr_bc,11,TRUE)*boc_rr_bc_both-VLOOKUP(AZ73,boc_trpr_oc,11,TRUE)*boc_rr_oc_both-VLOOKUP(AZ73,mortt,2,FALSE))</f>
        <v>#N/A</v>
      </c>
      <c r="BD73" s="289" t="e">
        <f>BD72*(1-VLOOKUP(AZ73,boc_trpr_bc,11,TRUE)*boc_rr_bc_hip-VLOOKUP(AZ73,boc_trpr_oc,11,TRUE)*boc_rr_oc_hip-VLOOKUP(AZ73,mortt,2,FALSE))</f>
        <v>#N/A</v>
      </c>
      <c r="BE73" s="289" t="e">
        <f>BE72*(1-VLOOKUP(AZ73,boc_trpr_bc,11,TRUE)*boc_rr_bc_hiv-VLOOKUP(AZ73,boc_trpr_oc,11,TRUE)*boc_rr_oc_hiv-VLOOKUP(AZ73,mortt,2,FALSE))</f>
        <v>#N/A</v>
      </c>
      <c r="BF73" s="289" t="e">
        <f>BF72*(1-VLOOKUP(AZ73,boc_trpr_bc,11,TRUE)*boc_rr_bc_modp-VLOOKUP(AZ73,boc_trpr_oc,11,TRUE)*boc_rr_oc_modp-VLOOKUP(AZ73,mortt,2,FALSE))</f>
        <v>#N/A</v>
      </c>
      <c r="BG73" s="289" t="e">
        <f>BG72*(1-VLOOKUP(AZ73,boc_trpr_bc,11,TRUE)*boc_rr_bc_modv-VLOOKUP(AZ73,boc_trpr_oc,11,TRUE)*boc_rr_oc_modv-VLOOKUP(AZ73,mortt,2,FALSE))</f>
        <v>#N/A</v>
      </c>
      <c r="BH73" s="289" t="e">
        <f>BH72*(1-VLOOKUP(AZ73,boc_trpr_bc,11,TRUE)*boc_rr_bc_lop-VLOOKUP(AZ73,boc_trpr_oc,11,TRUE)*boc_rr_oc_lop-VLOOKUP(AZ73,mortt,2,FALSE))</f>
        <v>#N/A</v>
      </c>
      <c r="BI73" s="289" t="e">
        <f>BI72*(1-VLOOKUP(AZ73,boc_trpr_bc,11,TRUE)*boc_rr_bc_lov-VLOOKUP(AZ73,boc_trpr_oc,11,TRUE)*boc_rr_oc_lov-VLOOKUP(AZ73,mortt,2,FALSE))</f>
        <v>#N/A</v>
      </c>
      <c r="BJ73" s="260" t="e">
        <f>BJ72*(1-VLOOKUP(AZ73,boc_trpr_bc,11,TRUE)*boc_rr_bc_np-VLOOKUP(AZ73,boc_trpr_oc,11,TRUE)*boc_rr_oc_np-VLOOKUP(AZ73,mortt,2,FALSE))</f>
        <v>#N/A</v>
      </c>
      <c r="BK73" s="260" t="e">
        <f>BA72*VLOOKUP(AZ73,boc_trpr_bc,11,TRUE)*boc_rr_bc_mast+BB72*VLOOKUP(AZ73,boc_trpr_bc,11,TRUE)*boc_rr_bc_ooph+BC72*VLOOKUP(AZ73,boc_trpr_bc,11,TRUE)*boc_rr_bc_both+BD72*VLOOKUP(AZ73,boc_trpr_bc,11,TRUE)*boc_rr_bc_hip+BE72*VLOOKUP(AZ73,boc_trpr_bc,11,TRUE)*boc_rr_bc_hiv+BF72*VLOOKUP(AZ73,boc_trpr_bc,11,TRUE)*boc_rr_bc_modp+BG72*VLOOKUP(AZ73,boc_trpr_bc,11,TRUE)*boc_rr_bc_modv+BH72*VLOOKUP(AZ73,boc_trpr_bc,11,TRUE)*boc_rr_bc_lop+BI72*VLOOKUP(AZ73,boc_trpr_bc,11,TRUE)*boc_rr_bc_lov+BJ72*VLOOKUP(AZ73,boc_trpr_bc,11,TRUE)*boc_rr_bc_np</f>
        <v>#N/A</v>
      </c>
      <c r="BL73" s="260" t="e">
        <f>BA72*VLOOKUP(AZ73,boc_trpr_oc,11,TRUE)*boc_rr_oc_mast+BB72*VLOOKUP(AZ73,boc_trpr_oc,11,TRUE)*boc_rr_oc_ooph+BC72*VLOOKUP(AZ73,boc_trpr_oc,11,TRUE)*boc_rr_oc_both+BD72*VLOOKUP(AZ73,boc_trpr_oc,11,TRUE)*boc_rr_oc_hip+BE72*VLOOKUP(AZ73,boc_trpr_oc,11,TRUE)*boc_rr_oc_hiv+BF72*VLOOKUP(AZ73,boc_trpr_oc,11,TRUE)*boc_rr_oc_modp+BG72*VLOOKUP(AZ73,boc_trpr_oc,11,TRUE)*boc_rr_oc_modv+BH72*VLOOKUP(AZ73,boc_trpr_oc,11,TRUE)*boc_rr_oc_lop+BI72*VLOOKUP(AZ73,boc_trpr_oc,11,TRUE)*boc_rr_oc_lov+BJ72*VLOOKUP(AZ73,boc_trpr_oc,11,TRUE)*boc_rr_oc_np</f>
        <v>#N/A</v>
      </c>
      <c r="BM73" s="260" t="e">
        <f>BK72*(1-VLOOKUP(AZ73,boc_trpr_bc_death,20,TRUE))+BL72*(1-VLOOKUP(AZ73,boc_trpr_oc_death,20,TRUE))+BM72*(1-VLOOKUP(AZ73,mortt,2,FALSE)*boc_rr_death_pc)</f>
        <v>#N/A</v>
      </c>
      <c r="BN73" s="260" t="e">
        <f>BN72+SUM(BA72:BJ72)*VLOOKUP(AZ73,mortt,2,FALSE)+BK72*VLOOKUP(AZ73,boc_trpr_bc_death,20,TRUE)+BL72*VLOOKUP(AZ73,boc_trpr_bc_death,20,TRUE)+BM72*VLOOKUP(AZ73,mortt,2,FALSE)*boc_rr_death_pc</f>
        <v>#N/A</v>
      </c>
      <c r="BO73" s="260" t="e">
        <f t="shared" si="41"/>
        <v>#N/A</v>
      </c>
      <c r="BP73" s="118" t="e">
        <f>(boc_cost_mast*SUM(BD73,BF73,BH73)*(boc_tr_mast_path+boc_tr_both_path)+SUM(BE73,BG73,BI73)*(boc_tr_mast_vus+boc_tr_both_vus)+BK73*boc_cost_bc+BL73*boc_cost_oc+BM73*boc_cost_pc+(BK73*VLOOKUP(AZ73,boc_trpr_bc_death,20,TRUE)+BL73*VLOOKUP(AZ73,boc_trpr_oc_death,TRUE)*boc_cost_death))/((1+discount)^AY73)</f>
        <v>#N/A</v>
      </c>
      <c r="BQ73" s="35" t="e">
        <f t="shared" si="65"/>
        <v>#N/A</v>
      </c>
      <c r="BR73" s="35" t="e">
        <f t="shared" si="66"/>
        <v>#N/A</v>
      </c>
      <c r="BS73" s="35"/>
      <c r="BU73" s="33">
        <v>47</v>
      </c>
      <c r="BV73" t="e">
        <f>#REF!</f>
        <v>#REF!</v>
      </c>
      <c r="BW73" s="35" t="e">
        <f>#REF!</f>
        <v>#REF!</v>
      </c>
      <c r="BX73" s="35" t="e">
        <f>#REF!</f>
        <v>#REF!</v>
      </c>
      <c r="BY73" s="311">
        <v>-7.5519725429144273</v>
      </c>
      <c r="BZ73" s="311">
        <v>-7.5544219109174264</v>
      </c>
      <c r="CA73" s="311">
        <f t="shared" si="57"/>
        <v>2.4493680029991083E-3</v>
      </c>
      <c r="CD73" s="138">
        <v>68</v>
      </c>
      <c r="CE73" s="291">
        <v>1.2478E-2</v>
      </c>
    </row>
    <row r="74" spans="2:83" ht="15" customHeight="1" x14ac:dyDescent="0.2">
      <c r="B74" s="37" t="s">
        <v>6</v>
      </c>
      <c r="C74" s="35">
        <f>IF(psa,J74,IF(owsa_low=L74,F74,IF(owsa_high=L74,G74,IF(ISNUMBER(D74),D74,E74))))</f>
        <v>0.01</v>
      </c>
      <c r="D74" s="158"/>
      <c r="E74" s="12">
        <v>0.01</v>
      </c>
      <c r="F74" s="35">
        <f>IF(ISNUMBER(D74),D74,E74)*(1-owsa_boc)</f>
        <v>8.0000000000000002E-3</v>
      </c>
      <c r="G74" s="35">
        <f>MIN(1,IF(ISNUMBER(D74),D74,E74)*(1+owsa_boc))</f>
        <v>1.2E-2</v>
      </c>
      <c r="H74" s="48">
        <f t="shared" si="67"/>
        <v>95.066105812179558</v>
      </c>
      <c r="I74" s="48">
        <f t="shared" si="68"/>
        <v>9411.5444754057753</v>
      </c>
      <c r="J74" s="35">
        <f ca="1">_xlfn.BETA.INV(RAND(),H74,I74)</f>
        <v>9.2841317717098013E-3</v>
      </c>
      <c r="K74" s="12" t="s">
        <v>71</v>
      </c>
      <c r="L74" s="40">
        <v>20</v>
      </c>
      <c r="M74" s="247" t="s">
        <v>210</v>
      </c>
      <c r="N74" s="39" t="s">
        <v>48</v>
      </c>
      <c r="Q74" s="11"/>
      <c r="S74" s="11"/>
      <c r="U74" s="9" t="s">
        <v>6</v>
      </c>
      <c r="V74" s="250">
        <f>boc_unk_int_both</f>
        <v>0.01</v>
      </c>
      <c r="Z74" s="261">
        <f>R78*T73*V74</f>
        <v>4.6944944760992993E-5</v>
      </c>
      <c r="AD74" s="12">
        <v>68</v>
      </c>
      <c r="AE74" s="12">
        <f t="shared" si="61"/>
        <v>113</v>
      </c>
      <c r="AF74" s="260" t="e">
        <f>AF73*(1-VLOOKUP(AE74,boc_trpr_bc,11,TRUE)*boc_rr_bc_mast-VLOOKUP(AE74,boc_trpr_oc,11,TRUE)*boc_rr_oc_mast-VLOOKUP(AE74,mortt,2,FALSE))+SUM(AI73,AK73,AM73)*boc_tr_mast_path+SUM(AJ73,AL73,AN73)*boc_tr_mast_vus</f>
        <v>#N/A</v>
      </c>
      <c r="AG74" s="260" t="e">
        <f>AG73*(1-VLOOKUP(AE74,boc_trpr_bc,11,TRUE)*boc_rr_bc_ooph-VLOOKUP(AE74,boc_trpr_oc,11,TRUE)*boc_rr_oc_ooph-VLOOKUP(AE74,mortt,2,FALSE))+SUM(AI73,AK73,AM73)*boc_tr_ooph_path+SUM(AJ73,AL73,AN73)*boc_tr_ooph_vus</f>
        <v>#N/A</v>
      </c>
      <c r="AH74" s="260" t="e">
        <f>AH73*(1-VLOOKUP(AE74,boc_trpr_bc,11,TRUE)*boc_rr_bc_both-VLOOKUP(AE74,boc_trpr_oc,11,TRUE)*boc_rr_oc_both-VLOOKUP(AE74,mortt,2,FALSE))+SUM(AI73,AK73,AM73)*boc_tr_both_path+SUM(AJ73,AL73,AN73)*boc_tr_both_vus</f>
        <v>#N/A</v>
      </c>
      <c r="AI74" s="289" t="e">
        <f>AI73*(1-VLOOKUP(AE74,boc_trpr_bc,11,TRUE)*boc_rr_bc_hip-VLOOKUP(AE74,boc_trpr_oc,11,TRUE)*boc_rr_oc_hip-boc_tr_mast_path-boc_tr_ooph_path-boc_tr_both_path-VLOOKUP(AE74,mortt,2,FALSE))</f>
        <v>#N/A</v>
      </c>
      <c r="AJ74" s="289" t="e">
        <f>AJ73*(1-VLOOKUP(AE74,boc_trpr_bc,11,TRUE)*boc_rr_bc_hiv-VLOOKUP(AE74,boc_trpr_oc,11,TRUE)*boc_rr_oc_hiv-boc_tr_mast_vus-boc_tr_ooph_vus-boc_tr_both_vus-VLOOKUP(AE74,mortt,2,FALSE))</f>
        <v>#N/A</v>
      </c>
      <c r="AK74" s="289" t="e">
        <f>AK73*(1-VLOOKUP(AE74,boc_trpr_bc,11,TRUE)*boc_rr_bc_modp-VLOOKUP(AE74,boc_trpr_oc,11,TRUE)*boc_rr_oc_modp-boc_tr_mast_path-boc_tr_ooph_path-boc_tr_both_path-VLOOKUP(AE74,mortt,2,FALSE))</f>
        <v>#N/A</v>
      </c>
      <c r="AL74" s="289" t="e">
        <f>AL73*(1-VLOOKUP(AE74,boc_trpr_bc,11,TRUE)*boc_rr_bc_modv-VLOOKUP(AE74,boc_trpr_oc,11,TRUE)*boc_rr_oc_modv-boc_tr_mast_vus-boc_tr_ooph_vus-boc_tr_both_vus-VLOOKUP(AE74,mortt,2,FALSE))</f>
        <v>#N/A</v>
      </c>
      <c r="AM74" s="289" t="e">
        <f>AM73*(1-VLOOKUP(AE74,boc_trpr_bc,11,TRUE)*boc_rr_bc_lop-VLOOKUP(AE74,boc_trpr_oc,11,TRUE)*boc_rr_oc_lop-boc_tr_mast_path-boc_tr_ooph_path-boc_tr_both_path-VLOOKUP(AE74,mortt,2,FALSE))</f>
        <v>#N/A</v>
      </c>
      <c r="AN74" s="289" t="e">
        <f>AN73*(1-VLOOKUP(AE74,boc_trpr_bc,11,TRUE)*boc_rr_bc_lov-VLOOKUP(AE74,boc_trpr_oc,11,TRUE)*boc_rr_oc_lov-boc_tr_mast_vus-boc_tr_ooph_vus-boc_tr_both_vus-VLOOKUP(AE74,mortt,2,FALSE))</f>
        <v>#N/A</v>
      </c>
      <c r="AO74" s="260" t="e">
        <f>AO73*(1-VLOOKUP(AE74,boc_trpr_bc,11,TRUE)*boc_rr_bc_np-VLOOKUP(AE74,boc_trpr_oc,11,TRUE)*boc_rr_oc_np-VLOOKUP(AE74,mortt,2,FALSE))</f>
        <v>#N/A</v>
      </c>
      <c r="AP74" s="260" t="e">
        <f>AF73*VLOOKUP(AE74,boc_trpr_bc,11,TRUE)*boc_rr_bc_mast+AG73*VLOOKUP(AE74,boc_trpr_bc,11,TRUE)*boc_rr_bc_ooph+AH73*VLOOKUP(AE74,boc_trpr_bc,11,TRUE)*boc_rr_bc_both+AI73*VLOOKUP(AE74,boc_trpr_bc,11,TRUE)*boc_rr_bc_hip+AJ73*VLOOKUP(AE74,boc_trpr_bc,11,TRUE)*boc_rr_bc_hiv+AK73*VLOOKUP(AE74,boc_trpr_bc,11,TRUE)*boc_rr_bc_modp+AL73*VLOOKUP(AE74,boc_trpr_bc,11,TRUE)*boc_rr_bc_modv+AM73*VLOOKUP(AE74,boc_trpr_bc,11,TRUE)*boc_rr_bc_lop+AN73*VLOOKUP(AE74,boc_trpr_bc,11,TRUE)*boc_rr_bc_lov+AO73*VLOOKUP(AE74,boc_trpr_bc,11,TRUE)*boc_rr_bc_np</f>
        <v>#N/A</v>
      </c>
      <c r="AQ74" s="260" t="e">
        <f>AF73*VLOOKUP(AE74,boc_trpr_oc,11,TRUE)*boc_rr_oc_mast+AG73*VLOOKUP(AE74,boc_trpr_oc,11,TRUE)*boc_rr_oc_ooph+AH73*VLOOKUP(AE74,boc_trpr_oc,11,TRUE)*boc_rr_oc_both+AI73*VLOOKUP(AE74,boc_trpr_oc,11,TRUE)*boc_rr_oc_hip+AJ73*VLOOKUP(AE74,boc_trpr_oc,11,TRUE)*boc_rr_oc_hiv+AK73*VLOOKUP(AE74,boc_trpr_oc,11,TRUE)*boc_rr_oc_modp+AL73*VLOOKUP(AE74,boc_trpr_oc,11,TRUE)*boc_rr_oc_modv+AM73*VLOOKUP(AE74,boc_trpr_oc,11,TRUE)*boc_rr_oc_lop+AN73*VLOOKUP(AE74,boc_trpr_oc,11,TRUE)*boc_rr_oc_lov+AO73*VLOOKUP(AE74,boc_trpr_oc,11,TRUE)*boc_rr_oc_np</f>
        <v>#N/A</v>
      </c>
      <c r="AR74" s="260" t="e">
        <f>AP73*(1-VLOOKUP(AE74,boc_trpr_bc_death,20,TRUE))+AQ73*(1-VLOOKUP(AE74,boc_trpr_oc_death,20,TRUE))+AR73*(1-VLOOKUP(AE74,mortt,2,FALSE)*boc_rr_death_pc)</f>
        <v>#N/A</v>
      </c>
      <c r="AS74" s="260" t="e">
        <f>AS73+SUM(AF73:AO73)*VLOOKUP(AE74,mortt,2,FALSE)+AP73*VLOOKUP(AE74,boc_trpr_bc_death,20,TRUE)+AQ73*VLOOKUP(AE74,boc_trpr_bc_death,20,TRUE)+AR73*VLOOKUP(AE74,mortt,2,FALSE)*boc_rr_death_pc</f>
        <v>#N/A</v>
      </c>
      <c r="AT74" s="260" t="e">
        <f t="shared" si="52"/>
        <v>#N/A</v>
      </c>
      <c r="AU74" s="118" t="e">
        <f>(boc_cost_mast*SUM(AI74,AK74,AM74)*(boc_tr_mast_path+boc_tr_both_path)+SUM(AJ74,AL74,AN74)*(boc_tr_mast_vus+boc_tr_both_vus)+AP74*boc_cost_bc+AQ74*boc_cost_oc+AR74*boc_cost_pc+(AP74*VLOOKUP(AE74,boc_trpr_bc_death,20,TRUE)+AQ74*VLOOKUP(AE74,boc_trpr_oc_death,TRUE)*boc_cost_death))/((1+discount)^AD74)</f>
        <v>#N/A</v>
      </c>
      <c r="AV74" s="35" t="e">
        <f t="shared" si="62"/>
        <v>#N/A</v>
      </c>
      <c r="AW74" s="35" t="e">
        <f t="shared" si="63"/>
        <v>#N/A</v>
      </c>
      <c r="AY74" s="12">
        <v>68</v>
      </c>
      <c r="AZ74" s="12">
        <f t="shared" si="64"/>
        <v>113</v>
      </c>
      <c r="BA74" s="260" t="e">
        <f>BA73*(1-VLOOKUP(AZ74,boc_trpr_bc,11,TRUE)*boc_rr_bc_mast-VLOOKUP(AZ74,boc_trpr_oc,11,TRUE)*boc_rr_oc_mast-VLOOKUP(AZ74,mortt,2,FALSE))</f>
        <v>#N/A</v>
      </c>
      <c r="BB74" s="260" t="e">
        <f>BB73*(1-VLOOKUP(AZ74,boc_trpr_bc,11,TRUE)*boc_rr_bc_ooph-VLOOKUP(AZ74,boc_trpr_oc,11,TRUE)*boc_rr_oc_ooph-VLOOKUP(AZ74,mortt,2,FALSE))</f>
        <v>#N/A</v>
      </c>
      <c r="BC74" s="260" t="e">
        <f>BC73*(1-VLOOKUP(AZ74,boc_trpr_bc,11,TRUE)*boc_rr_bc_both-VLOOKUP(AZ74,boc_trpr_oc,11,TRUE)*boc_rr_oc_both-VLOOKUP(AZ74,mortt,2,FALSE))</f>
        <v>#N/A</v>
      </c>
      <c r="BD74" s="289" t="e">
        <f>BD73*(1-VLOOKUP(AZ74,boc_trpr_bc,11,TRUE)*boc_rr_bc_hip-VLOOKUP(AZ74,boc_trpr_oc,11,TRUE)*boc_rr_oc_hip-VLOOKUP(AZ74,mortt,2,FALSE))</f>
        <v>#N/A</v>
      </c>
      <c r="BE74" s="289" t="e">
        <f>BE73*(1-VLOOKUP(AZ74,boc_trpr_bc,11,TRUE)*boc_rr_bc_hiv-VLOOKUP(AZ74,boc_trpr_oc,11,TRUE)*boc_rr_oc_hiv-VLOOKUP(AZ74,mortt,2,FALSE))</f>
        <v>#N/A</v>
      </c>
      <c r="BF74" s="289" t="e">
        <f>BF73*(1-VLOOKUP(AZ74,boc_trpr_bc,11,TRUE)*boc_rr_bc_modp-VLOOKUP(AZ74,boc_trpr_oc,11,TRUE)*boc_rr_oc_modp-VLOOKUP(AZ74,mortt,2,FALSE))</f>
        <v>#N/A</v>
      </c>
      <c r="BG74" s="289" t="e">
        <f>BG73*(1-VLOOKUP(AZ74,boc_trpr_bc,11,TRUE)*boc_rr_bc_modv-VLOOKUP(AZ74,boc_trpr_oc,11,TRUE)*boc_rr_oc_modv-VLOOKUP(AZ74,mortt,2,FALSE))</f>
        <v>#N/A</v>
      </c>
      <c r="BH74" s="289" t="e">
        <f>BH73*(1-VLOOKUP(AZ74,boc_trpr_bc,11,TRUE)*boc_rr_bc_lop-VLOOKUP(AZ74,boc_trpr_oc,11,TRUE)*boc_rr_oc_lop-VLOOKUP(AZ74,mortt,2,FALSE))</f>
        <v>#N/A</v>
      </c>
      <c r="BI74" s="289" t="e">
        <f>BI73*(1-VLOOKUP(AZ74,boc_trpr_bc,11,TRUE)*boc_rr_bc_lov-VLOOKUP(AZ74,boc_trpr_oc,11,TRUE)*boc_rr_oc_lov-VLOOKUP(AZ74,mortt,2,FALSE))</f>
        <v>#N/A</v>
      </c>
      <c r="BJ74" s="260" t="e">
        <f>BJ73*(1-VLOOKUP(AZ74,boc_trpr_bc,11,TRUE)*boc_rr_bc_np-VLOOKUP(AZ74,boc_trpr_oc,11,TRUE)*boc_rr_oc_np-VLOOKUP(AZ74,mortt,2,FALSE))</f>
        <v>#N/A</v>
      </c>
      <c r="BK74" s="260" t="e">
        <f>BA73*VLOOKUP(AZ74,boc_trpr_bc,11,TRUE)*boc_rr_bc_mast+BB73*VLOOKUP(AZ74,boc_trpr_bc,11,TRUE)*boc_rr_bc_ooph+BC73*VLOOKUP(AZ74,boc_trpr_bc,11,TRUE)*boc_rr_bc_both+BD73*VLOOKUP(AZ74,boc_trpr_bc,11,TRUE)*boc_rr_bc_hip+BE73*VLOOKUP(AZ74,boc_trpr_bc,11,TRUE)*boc_rr_bc_hiv+BF73*VLOOKUP(AZ74,boc_trpr_bc,11,TRUE)*boc_rr_bc_modp+BG73*VLOOKUP(AZ74,boc_trpr_bc,11,TRUE)*boc_rr_bc_modv+BH73*VLOOKUP(AZ74,boc_trpr_bc,11,TRUE)*boc_rr_bc_lop+BI73*VLOOKUP(AZ74,boc_trpr_bc,11,TRUE)*boc_rr_bc_lov+BJ73*VLOOKUP(AZ74,boc_trpr_bc,11,TRUE)*boc_rr_bc_np</f>
        <v>#N/A</v>
      </c>
      <c r="BL74" s="260" t="e">
        <f>BA73*VLOOKUP(AZ74,boc_trpr_oc,11,TRUE)*boc_rr_oc_mast+BB73*VLOOKUP(AZ74,boc_trpr_oc,11,TRUE)*boc_rr_oc_ooph+BC73*VLOOKUP(AZ74,boc_trpr_oc,11,TRUE)*boc_rr_oc_both+BD73*VLOOKUP(AZ74,boc_trpr_oc,11,TRUE)*boc_rr_oc_hip+BE73*VLOOKUP(AZ74,boc_trpr_oc,11,TRUE)*boc_rr_oc_hiv+BF73*VLOOKUP(AZ74,boc_trpr_oc,11,TRUE)*boc_rr_oc_modp+BG73*VLOOKUP(AZ74,boc_trpr_oc,11,TRUE)*boc_rr_oc_modv+BH73*VLOOKUP(AZ74,boc_trpr_oc,11,TRUE)*boc_rr_oc_lop+BI73*VLOOKUP(AZ74,boc_trpr_oc,11,TRUE)*boc_rr_oc_lov+BJ73*VLOOKUP(AZ74,boc_trpr_oc,11,TRUE)*boc_rr_oc_np</f>
        <v>#N/A</v>
      </c>
      <c r="BM74" s="260" t="e">
        <f>BK73*(1-VLOOKUP(AZ74,boc_trpr_bc_death,20,TRUE))+BL73*(1-VLOOKUP(AZ74,boc_trpr_oc_death,20,TRUE))+BM73*(1-VLOOKUP(AZ74,mortt,2,FALSE)*boc_rr_death_pc)</f>
        <v>#N/A</v>
      </c>
      <c r="BN74" s="260" t="e">
        <f>BN73+SUM(BA73:BJ73)*VLOOKUP(AZ74,mortt,2,FALSE)+BK73*VLOOKUP(AZ74,boc_trpr_bc_death,20,TRUE)+BL73*VLOOKUP(AZ74,boc_trpr_bc_death,20,TRUE)+BM73*VLOOKUP(AZ74,mortt,2,FALSE)*boc_rr_death_pc</f>
        <v>#N/A</v>
      </c>
      <c r="BO74" s="260" t="e">
        <f t="shared" si="41"/>
        <v>#N/A</v>
      </c>
      <c r="BP74" s="118" t="e">
        <f>(boc_cost_mast*SUM(BD74,BF74,BH74)*(boc_tr_mast_path+boc_tr_both_path)+SUM(BE74,BG74,BI74)*(boc_tr_mast_vus+boc_tr_both_vus)+BK74*boc_cost_bc+BL74*boc_cost_oc+BM74*boc_cost_pc+(BK74*VLOOKUP(AZ74,boc_trpr_bc_death,20,TRUE)+BL74*VLOOKUP(AZ74,boc_trpr_oc_death,TRUE)*boc_cost_death))/((1+discount)^AY74)</f>
        <v>#N/A</v>
      </c>
      <c r="BQ74" s="35" t="e">
        <f t="shared" si="65"/>
        <v>#N/A</v>
      </c>
      <c r="BR74" s="35" t="e">
        <f t="shared" si="66"/>
        <v>#N/A</v>
      </c>
      <c r="BS74" s="35"/>
      <c r="BU74" s="33">
        <v>17</v>
      </c>
      <c r="BV74" t="str">
        <f>$M$117</f>
        <v>boc_rr_death_pc</v>
      </c>
      <c r="BW74" s="35">
        <f>$F$117</f>
        <v>1.2000000000000002</v>
      </c>
      <c r="BX74" s="35">
        <f>$G$117</f>
        <v>1.7999999999999998</v>
      </c>
      <c r="BY74" s="311">
        <v>-7.5528124579732321</v>
      </c>
      <c r="BZ74" s="311">
        <v>-7.5535832564128214</v>
      </c>
      <c r="CA74" s="311">
        <f t="shared" si="57"/>
        <v>7.7079843958927086E-4</v>
      </c>
      <c r="CD74" s="138">
        <v>69</v>
      </c>
      <c r="CE74" s="291">
        <v>1.3698E-2</v>
      </c>
    </row>
    <row r="75" spans="2:83" ht="15" customHeight="1" x14ac:dyDescent="0.2">
      <c r="Q75" s="11"/>
      <c r="S75" s="11"/>
      <c r="U75" s="9" t="s">
        <v>9</v>
      </c>
      <c r="V75" s="250">
        <f>1-SUM(V72,V73,V74)</f>
        <v>0.97</v>
      </c>
      <c r="AA75" s="261">
        <f>R78*T73*V75</f>
        <v>4.5536596418163204E-3</v>
      </c>
      <c r="AD75" s="12">
        <v>69</v>
      </c>
      <c r="AE75" s="12">
        <f t="shared" si="61"/>
        <v>114</v>
      </c>
      <c r="AF75" s="260" t="e">
        <f>AF74*(1-VLOOKUP(AE75,boc_trpr_bc,11,TRUE)*boc_rr_bc_mast-VLOOKUP(AE75,boc_trpr_oc,11,TRUE)*boc_rr_oc_mast-VLOOKUP(AE75,mortt,2,FALSE))+SUM(AI74,AK74,AM74)*boc_tr_mast_path+SUM(AJ74,AL74,AN74)*boc_tr_mast_vus</f>
        <v>#N/A</v>
      </c>
      <c r="AG75" s="260" t="e">
        <f>AG74*(1-VLOOKUP(AE75,boc_trpr_bc,11,TRUE)*boc_rr_bc_ooph-VLOOKUP(AE75,boc_trpr_oc,11,TRUE)*boc_rr_oc_ooph-VLOOKUP(AE75,mortt,2,FALSE))+SUM(AI74,AK74,AM74)*boc_tr_ooph_path+SUM(AJ74,AL74,AN74)*boc_tr_ooph_vus</f>
        <v>#N/A</v>
      </c>
      <c r="AH75" s="260" t="e">
        <f>AH74*(1-VLOOKUP(AE75,boc_trpr_bc,11,TRUE)*boc_rr_bc_both-VLOOKUP(AE75,boc_trpr_oc,11,TRUE)*boc_rr_oc_both-VLOOKUP(AE75,mortt,2,FALSE))+SUM(AI74,AK74,AM74)*boc_tr_both_path+SUM(AJ74,AL74,AN74)*boc_tr_both_vus</f>
        <v>#N/A</v>
      </c>
      <c r="AI75" s="289" t="e">
        <f>AI74*(1-VLOOKUP(AE75,boc_trpr_bc,11,TRUE)*boc_rr_bc_hip-VLOOKUP(AE75,boc_trpr_oc,11,TRUE)*boc_rr_oc_hip-boc_tr_mast_path-boc_tr_ooph_path-boc_tr_both_path-VLOOKUP(AE75,mortt,2,FALSE))</f>
        <v>#N/A</v>
      </c>
      <c r="AJ75" s="289" t="e">
        <f>AJ74*(1-VLOOKUP(AE75,boc_trpr_bc,11,TRUE)*boc_rr_bc_hiv-VLOOKUP(AE75,boc_trpr_oc,11,TRUE)*boc_rr_oc_hiv-boc_tr_mast_vus-boc_tr_ooph_vus-boc_tr_both_vus-VLOOKUP(AE75,mortt,2,FALSE))</f>
        <v>#N/A</v>
      </c>
      <c r="AK75" s="289" t="e">
        <f>AK74*(1-VLOOKUP(AE75,boc_trpr_bc,11,TRUE)*boc_rr_bc_modp-VLOOKUP(AE75,boc_trpr_oc,11,TRUE)*boc_rr_oc_modp-boc_tr_mast_path-boc_tr_ooph_path-boc_tr_both_path-VLOOKUP(AE75,mortt,2,FALSE))</f>
        <v>#N/A</v>
      </c>
      <c r="AL75" s="289" t="e">
        <f>AL74*(1-VLOOKUP(AE75,boc_trpr_bc,11,TRUE)*boc_rr_bc_modv-VLOOKUP(AE75,boc_trpr_oc,11,TRUE)*boc_rr_oc_modv-boc_tr_mast_vus-boc_tr_ooph_vus-boc_tr_both_vus-VLOOKUP(AE75,mortt,2,FALSE))</f>
        <v>#N/A</v>
      </c>
      <c r="AM75" s="289" t="e">
        <f>AM74*(1-VLOOKUP(AE75,boc_trpr_bc,11,TRUE)*boc_rr_bc_lop-VLOOKUP(AE75,boc_trpr_oc,11,TRUE)*boc_rr_oc_lop-boc_tr_mast_path-boc_tr_ooph_path-boc_tr_both_path-VLOOKUP(AE75,mortt,2,FALSE))</f>
        <v>#N/A</v>
      </c>
      <c r="AN75" s="289" t="e">
        <f>AN74*(1-VLOOKUP(AE75,boc_trpr_bc,11,TRUE)*boc_rr_bc_lov-VLOOKUP(AE75,boc_trpr_oc,11,TRUE)*boc_rr_oc_lov-boc_tr_mast_vus-boc_tr_ooph_vus-boc_tr_both_vus-VLOOKUP(AE75,mortt,2,FALSE))</f>
        <v>#N/A</v>
      </c>
      <c r="AO75" s="260" t="e">
        <f>AO74*(1-VLOOKUP(AE75,boc_trpr_bc,11,TRUE)*boc_rr_bc_np-VLOOKUP(AE75,boc_trpr_oc,11,TRUE)*boc_rr_oc_np-VLOOKUP(AE75,mortt,2,FALSE))</f>
        <v>#N/A</v>
      </c>
      <c r="AP75" s="260" t="e">
        <f>AF74*VLOOKUP(AE75,boc_trpr_bc,11,TRUE)*boc_rr_bc_mast+AG74*VLOOKUP(AE75,boc_trpr_bc,11,TRUE)*boc_rr_bc_ooph+AH74*VLOOKUP(AE75,boc_trpr_bc,11,TRUE)*boc_rr_bc_both+AI74*VLOOKUP(AE75,boc_trpr_bc,11,TRUE)*boc_rr_bc_hip+AJ74*VLOOKUP(AE75,boc_trpr_bc,11,TRUE)*boc_rr_bc_hiv+AK74*VLOOKUP(AE75,boc_trpr_bc,11,TRUE)*boc_rr_bc_modp+AL74*VLOOKUP(AE75,boc_trpr_bc,11,TRUE)*boc_rr_bc_modv+AM74*VLOOKUP(AE75,boc_trpr_bc,11,TRUE)*boc_rr_bc_lop+AN74*VLOOKUP(AE75,boc_trpr_bc,11,TRUE)*boc_rr_bc_lov+AO74*VLOOKUP(AE75,boc_trpr_bc,11,TRUE)*boc_rr_bc_np</f>
        <v>#N/A</v>
      </c>
      <c r="AQ75" s="260" t="e">
        <f>AF74*VLOOKUP(AE75,boc_trpr_oc,11,TRUE)*boc_rr_oc_mast+AG74*VLOOKUP(AE75,boc_trpr_oc,11,TRUE)*boc_rr_oc_ooph+AH74*VLOOKUP(AE75,boc_trpr_oc,11,TRUE)*boc_rr_oc_both+AI74*VLOOKUP(AE75,boc_trpr_oc,11,TRUE)*boc_rr_oc_hip+AJ74*VLOOKUP(AE75,boc_trpr_oc,11,TRUE)*boc_rr_oc_hiv+AK74*VLOOKUP(AE75,boc_trpr_oc,11,TRUE)*boc_rr_oc_modp+AL74*VLOOKUP(AE75,boc_trpr_oc,11,TRUE)*boc_rr_oc_modv+AM74*VLOOKUP(AE75,boc_trpr_oc,11,TRUE)*boc_rr_oc_lop+AN74*VLOOKUP(AE75,boc_trpr_oc,11,TRUE)*boc_rr_oc_lov+AO74*VLOOKUP(AE75,boc_trpr_oc,11,TRUE)*boc_rr_oc_np</f>
        <v>#N/A</v>
      </c>
      <c r="AR75" s="260" t="e">
        <f>AP74*(1-VLOOKUP(AE75,boc_trpr_bc_death,20,TRUE))+AQ74*(1-VLOOKUP(AE75,boc_trpr_oc_death,20,TRUE))+AR74*(1-VLOOKUP(AE75,mortt,2,FALSE)*boc_rr_death_pc)</f>
        <v>#N/A</v>
      </c>
      <c r="AS75" s="260" t="e">
        <f>AS74+SUM(AF74:AO74)*VLOOKUP(AE75,mortt,2,FALSE)+AP74*VLOOKUP(AE75,boc_trpr_bc_death,20,TRUE)+AQ74*VLOOKUP(AE75,boc_trpr_bc_death,20,TRUE)+AR74*VLOOKUP(AE75,mortt,2,FALSE)*boc_rr_death_pc</f>
        <v>#N/A</v>
      </c>
      <c r="AT75" s="260" t="e">
        <f t="shared" si="52"/>
        <v>#N/A</v>
      </c>
      <c r="AU75" s="118" t="e">
        <f>(boc_cost_mast*SUM(AI75,AK75,AM75)*(boc_tr_mast_path+boc_tr_both_path)+SUM(AJ75,AL75,AN75)*(boc_tr_mast_vus+boc_tr_both_vus)+AP75*boc_cost_bc+AQ75*boc_cost_oc+AR75*boc_cost_pc+(AP75*VLOOKUP(AE75,boc_trpr_bc_death,20,TRUE)+AQ75*VLOOKUP(AE75,boc_trpr_oc_death,TRUE)*boc_cost_death))/((1+discount)^AD75)</f>
        <v>#N/A</v>
      </c>
      <c r="AV75" s="35" t="e">
        <f t="shared" si="62"/>
        <v>#N/A</v>
      </c>
      <c r="AW75" s="35" t="e">
        <f t="shared" si="63"/>
        <v>#N/A</v>
      </c>
      <c r="AY75" s="12">
        <v>69</v>
      </c>
      <c r="AZ75" s="12">
        <f t="shared" si="64"/>
        <v>114</v>
      </c>
      <c r="BA75" s="260" t="e">
        <f>BA74*(1-VLOOKUP(AZ75,boc_trpr_bc,11,TRUE)*boc_rr_bc_mast-VLOOKUP(AZ75,boc_trpr_oc,11,TRUE)*boc_rr_oc_mast-VLOOKUP(AZ75,mortt,2,FALSE))</f>
        <v>#N/A</v>
      </c>
      <c r="BB75" s="260" t="e">
        <f>BB74*(1-VLOOKUP(AZ75,boc_trpr_bc,11,TRUE)*boc_rr_bc_ooph-VLOOKUP(AZ75,boc_trpr_oc,11,TRUE)*boc_rr_oc_ooph-VLOOKUP(AZ75,mortt,2,FALSE))</f>
        <v>#N/A</v>
      </c>
      <c r="BC75" s="260" t="e">
        <f>BC74*(1-VLOOKUP(AZ75,boc_trpr_bc,11,TRUE)*boc_rr_bc_both-VLOOKUP(AZ75,boc_trpr_oc,11,TRUE)*boc_rr_oc_both-VLOOKUP(AZ75,mortt,2,FALSE))</f>
        <v>#N/A</v>
      </c>
      <c r="BD75" s="289" t="e">
        <f>BD74*(1-VLOOKUP(AZ75,boc_trpr_bc,11,TRUE)*boc_rr_bc_hip-VLOOKUP(AZ75,boc_trpr_oc,11,TRUE)*boc_rr_oc_hip-VLOOKUP(AZ75,mortt,2,FALSE))</f>
        <v>#N/A</v>
      </c>
      <c r="BE75" s="289" t="e">
        <f>BE74*(1-VLOOKUP(AZ75,boc_trpr_bc,11,TRUE)*boc_rr_bc_hiv-VLOOKUP(AZ75,boc_trpr_oc,11,TRUE)*boc_rr_oc_hiv-VLOOKUP(AZ75,mortt,2,FALSE))</f>
        <v>#N/A</v>
      </c>
      <c r="BF75" s="289" t="e">
        <f>BF74*(1-VLOOKUP(AZ75,boc_trpr_bc,11,TRUE)*boc_rr_bc_modp-VLOOKUP(AZ75,boc_trpr_oc,11,TRUE)*boc_rr_oc_modp-VLOOKUP(AZ75,mortt,2,FALSE))</f>
        <v>#N/A</v>
      </c>
      <c r="BG75" s="289" t="e">
        <f>BG74*(1-VLOOKUP(AZ75,boc_trpr_bc,11,TRUE)*boc_rr_bc_modv-VLOOKUP(AZ75,boc_trpr_oc,11,TRUE)*boc_rr_oc_modv-VLOOKUP(AZ75,mortt,2,FALSE))</f>
        <v>#N/A</v>
      </c>
      <c r="BH75" s="289" t="e">
        <f>BH74*(1-VLOOKUP(AZ75,boc_trpr_bc,11,TRUE)*boc_rr_bc_lop-VLOOKUP(AZ75,boc_trpr_oc,11,TRUE)*boc_rr_oc_lop-VLOOKUP(AZ75,mortt,2,FALSE))</f>
        <v>#N/A</v>
      </c>
      <c r="BI75" s="289" t="e">
        <f>BI74*(1-VLOOKUP(AZ75,boc_trpr_bc,11,TRUE)*boc_rr_bc_lov-VLOOKUP(AZ75,boc_trpr_oc,11,TRUE)*boc_rr_oc_lov-VLOOKUP(AZ75,mortt,2,FALSE))</f>
        <v>#N/A</v>
      </c>
      <c r="BJ75" s="260" t="e">
        <f>BJ74*(1-VLOOKUP(AZ75,boc_trpr_bc,11,TRUE)*boc_rr_bc_np-VLOOKUP(AZ75,boc_trpr_oc,11,TRUE)*boc_rr_oc_np-VLOOKUP(AZ75,mortt,2,FALSE))</f>
        <v>#N/A</v>
      </c>
      <c r="BK75" s="260" t="e">
        <f>BA74*VLOOKUP(AZ75,boc_trpr_bc,11,TRUE)*boc_rr_bc_mast+BB74*VLOOKUP(AZ75,boc_trpr_bc,11,TRUE)*boc_rr_bc_ooph+BC74*VLOOKUP(AZ75,boc_trpr_bc,11,TRUE)*boc_rr_bc_both+BD74*VLOOKUP(AZ75,boc_trpr_bc,11,TRUE)*boc_rr_bc_hip+BE74*VLOOKUP(AZ75,boc_trpr_bc,11,TRUE)*boc_rr_bc_hiv+BF74*VLOOKUP(AZ75,boc_trpr_bc,11,TRUE)*boc_rr_bc_modp+BG74*VLOOKUP(AZ75,boc_trpr_bc,11,TRUE)*boc_rr_bc_modv+BH74*VLOOKUP(AZ75,boc_trpr_bc,11,TRUE)*boc_rr_bc_lop+BI74*VLOOKUP(AZ75,boc_trpr_bc,11,TRUE)*boc_rr_bc_lov+BJ74*VLOOKUP(AZ75,boc_trpr_bc,11,TRUE)*boc_rr_bc_np</f>
        <v>#N/A</v>
      </c>
      <c r="BL75" s="260" t="e">
        <f>BA74*VLOOKUP(AZ75,boc_trpr_oc,11,TRUE)*boc_rr_oc_mast+BB74*VLOOKUP(AZ75,boc_trpr_oc,11,TRUE)*boc_rr_oc_ooph+BC74*VLOOKUP(AZ75,boc_trpr_oc,11,TRUE)*boc_rr_oc_both+BD74*VLOOKUP(AZ75,boc_trpr_oc,11,TRUE)*boc_rr_oc_hip+BE74*VLOOKUP(AZ75,boc_trpr_oc,11,TRUE)*boc_rr_oc_hiv+BF74*VLOOKUP(AZ75,boc_trpr_oc,11,TRUE)*boc_rr_oc_modp+BG74*VLOOKUP(AZ75,boc_trpr_oc,11,TRUE)*boc_rr_oc_modv+BH74*VLOOKUP(AZ75,boc_trpr_oc,11,TRUE)*boc_rr_oc_lop+BI74*VLOOKUP(AZ75,boc_trpr_oc,11,TRUE)*boc_rr_oc_lov+BJ74*VLOOKUP(AZ75,boc_trpr_oc,11,TRUE)*boc_rr_oc_np</f>
        <v>#N/A</v>
      </c>
      <c r="BM75" s="260" t="e">
        <f>BK74*(1-VLOOKUP(AZ75,boc_trpr_bc_death,20,TRUE))+BL74*(1-VLOOKUP(AZ75,boc_trpr_oc_death,20,TRUE))+BM74*(1-VLOOKUP(AZ75,mortt,2,FALSE)*boc_rr_death_pc)</f>
        <v>#N/A</v>
      </c>
      <c r="BN75" s="260" t="e">
        <f>BN74+SUM(BA74:BJ74)*VLOOKUP(AZ75,mortt,2,FALSE)+BK74*VLOOKUP(AZ75,boc_trpr_bc_death,20,TRUE)+BL74*VLOOKUP(AZ75,boc_trpr_bc_death,20,TRUE)+BM74*VLOOKUP(AZ75,mortt,2,FALSE)*boc_rr_death_pc</f>
        <v>#N/A</v>
      </c>
      <c r="BO75" s="260" t="e">
        <f t="shared" si="41"/>
        <v>#N/A</v>
      </c>
      <c r="BP75" s="118" t="e">
        <f>(boc_cost_mast*SUM(BD75,BF75,BH75)*(boc_tr_mast_path+boc_tr_both_path)+SUM(BE75,BG75,BI75)*(boc_tr_mast_vus+boc_tr_both_vus)+BK75*boc_cost_bc+BL75*boc_cost_oc+BM75*boc_cost_pc+(BK75*VLOOKUP(AZ75,boc_trpr_bc_death,20,TRUE)+BL75*VLOOKUP(AZ75,boc_trpr_oc_death,TRUE)*boc_cost_death))/((1+discount)^AY75)</f>
        <v>#N/A</v>
      </c>
      <c r="BQ75" s="35" t="e">
        <f t="shared" si="65"/>
        <v>#N/A</v>
      </c>
      <c r="BR75" s="35" t="e">
        <f t="shared" si="66"/>
        <v>#N/A</v>
      </c>
      <c r="BS75" s="35"/>
      <c r="BU75" s="33">
        <v>5</v>
      </c>
      <c r="BV75" t="str">
        <f>$M$123</f>
        <v>boc_util_int</v>
      </c>
      <c r="BW75" s="35">
        <f>$F$123</f>
        <v>0.9</v>
      </c>
      <c r="BX75" s="35">
        <f>$G$123</f>
        <v>1</v>
      </c>
      <c r="BY75" s="311">
        <v>-7.5531978571930267</v>
      </c>
      <c r="BZ75" s="311">
        <v>-7.5531978571930267</v>
      </c>
      <c r="CA75" s="311">
        <f t="shared" si="57"/>
        <v>0</v>
      </c>
      <c r="CD75" s="138">
        <v>70</v>
      </c>
      <c r="CE75" s="291">
        <v>1.5139E-2</v>
      </c>
    </row>
    <row r="76" spans="2:83" ht="15" customHeight="1" x14ac:dyDescent="0.2">
      <c r="B76" s="3" t="s">
        <v>235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Q76" s="11"/>
      <c r="S76" s="11"/>
      <c r="AD76" s="12">
        <v>70</v>
      </c>
      <c r="AE76" s="12">
        <f t="shared" si="61"/>
        <v>115</v>
      </c>
      <c r="AF76" s="260" t="e">
        <f>AF75*(1-VLOOKUP(AE76,boc_trpr_bc,11,TRUE)*boc_rr_bc_mast-VLOOKUP(AE76,boc_trpr_oc,11,TRUE)*boc_rr_oc_mast-VLOOKUP(AE76,mortt,2,FALSE))+SUM(AI75,AK75,AM75)*boc_tr_mast_path+SUM(AJ75,AL75,AN75)*boc_tr_mast_vus</f>
        <v>#N/A</v>
      </c>
      <c r="AG76" s="260" t="e">
        <f>AG75*(1-VLOOKUP(AE76,boc_trpr_bc,11,TRUE)*boc_rr_bc_ooph-VLOOKUP(AE76,boc_trpr_oc,11,TRUE)*boc_rr_oc_ooph-VLOOKUP(AE76,mortt,2,FALSE))+SUM(AI75,AK75,AM75)*boc_tr_ooph_path+SUM(AJ75,AL75,AN75)*boc_tr_ooph_vus</f>
        <v>#N/A</v>
      </c>
      <c r="AH76" s="260" t="e">
        <f>AH75*(1-VLOOKUP(AE76,boc_trpr_bc,11,TRUE)*boc_rr_bc_both-VLOOKUP(AE76,boc_trpr_oc,11,TRUE)*boc_rr_oc_both-VLOOKUP(AE76,mortt,2,FALSE))+SUM(AI75,AK75,AM75)*boc_tr_both_path+SUM(AJ75,AL75,AN75)*boc_tr_both_vus</f>
        <v>#N/A</v>
      </c>
      <c r="AI76" s="289" t="e">
        <f>AI75*(1-VLOOKUP(AE76,boc_trpr_bc,11,TRUE)*boc_rr_bc_hip-VLOOKUP(AE76,boc_trpr_oc,11,TRUE)*boc_rr_oc_hip-boc_tr_mast_path-boc_tr_ooph_path-boc_tr_both_path-VLOOKUP(AE76,mortt,2,FALSE))</f>
        <v>#N/A</v>
      </c>
      <c r="AJ76" s="289" t="e">
        <f>AJ75*(1-VLOOKUP(AE76,boc_trpr_bc,11,TRUE)*boc_rr_bc_hiv-VLOOKUP(AE76,boc_trpr_oc,11,TRUE)*boc_rr_oc_hiv-boc_tr_mast_vus-boc_tr_ooph_vus-boc_tr_both_vus-VLOOKUP(AE76,mortt,2,FALSE))</f>
        <v>#N/A</v>
      </c>
      <c r="AK76" s="289" t="e">
        <f>AK75*(1-VLOOKUP(AE76,boc_trpr_bc,11,TRUE)*boc_rr_bc_modp-VLOOKUP(AE76,boc_trpr_oc,11,TRUE)*boc_rr_oc_modp-boc_tr_mast_path-boc_tr_ooph_path-boc_tr_both_path-VLOOKUP(AE76,mortt,2,FALSE))</f>
        <v>#N/A</v>
      </c>
      <c r="AL76" s="289" t="e">
        <f>AL75*(1-VLOOKUP(AE76,boc_trpr_bc,11,TRUE)*boc_rr_bc_modv-VLOOKUP(AE76,boc_trpr_oc,11,TRUE)*boc_rr_oc_modv-boc_tr_mast_vus-boc_tr_ooph_vus-boc_tr_both_vus-VLOOKUP(AE76,mortt,2,FALSE))</f>
        <v>#N/A</v>
      </c>
      <c r="AM76" s="289" t="e">
        <f>AM75*(1-VLOOKUP(AE76,boc_trpr_bc,11,TRUE)*boc_rr_bc_lop-VLOOKUP(AE76,boc_trpr_oc,11,TRUE)*boc_rr_oc_lop-boc_tr_mast_path-boc_tr_ooph_path-boc_tr_both_path-VLOOKUP(AE76,mortt,2,FALSE))</f>
        <v>#N/A</v>
      </c>
      <c r="AN76" s="289" t="e">
        <f>AN75*(1-VLOOKUP(AE76,boc_trpr_bc,11,TRUE)*boc_rr_bc_lov-VLOOKUP(AE76,boc_trpr_oc,11,TRUE)*boc_rr_oc_lov-boc_tr_mast_vus-boc_tr_ooph_vus-boc_tr_both_vus-VLOOKUP(AE76,mortt,2,FALSE))</f>
        <v>#N/A</v>
      </c>
      <c r="AO76" s="260" t="e">
        <f>AO75*(1-VLOOKUP(AE76,boc_trpr_bc,11,TRUE)*boc_rr_bc_np-VLOOKUP(AE76,boc_trpr_oc,11,TRUE)*boc_rr_oc_np-VLOOKUP(AE76,mortt,2,FALSE))</f>
        <v>#N/A</v>
      </c>
      <c r="AP76" s="260" t="e">
        <f>AF75*VLOOKUP(AE76,boc_trpr_bc,11,TRUE)*boc_rr_bc_mast+AG75*VLOOKUP(AE76,boc_trpr_bc,11,TRUE)*boc_rr_bc_ooph+AH75*VLOOKUP(AE76,boc_trpr_bc,11,TRUE)*boc_rr_bc_both+AI75*VLOOKUP(AE76,boc_trpr_bc,11,TRUE)*boc_rr_bc_hip+AJ75*VLOOKUP(AE76,boc_trpr_bc,11,TRUE)*boc_rr_bc_hiv+AK75*VLOOKUP(AE76,boc_trpr_bc,11,TRUE)*boc_rr_bc_modp+AL75*VLOOKUP(AE76,boc_trpr_bc,11,TRUE)*boc_rr_bc_modv+AM75*VLOOKUP(AE76,boc_trpr_bc,11,TRUE)*boc_rr_bc_lop+AN75*VLOOKUP(AE76,boc_trpr_bc,11,TRUE)*boc_rr_bc_lov+AO75*VLOOKUP(AE76,boc_trpr_bc,11,TRUE)*boc_rr_bc_np</f>
        <v>#N/A</v>
      </c>
      <c r="AQ76" s="260" t="e">
        <f>AF75*VLOOKUP(AE76,boc_trpr_oc,11,TRUE)*boc_rr_oc_mast+AG75*VLOOKUP(AE76,boc_trpr_oc,11,TRUE)*boc_rr_oc_ooph+AH75*VLOOKUP(AE76,boc_trpr_oc,11,TRUE)*boc_rr_oc_both+AI75*VLOOKUP(AE76,boc_trpr_oc,11,TRUE)*boc_rr_oc_hip+AJ75*VLOOKUP(AE76,boc_trpr_oc,11,TRUE)*boc_rr_oc_hiv+AK75*VLOOKUP(AE76,boc_trpr_oc,11,TRUE)*boc_rr_oc_modp+AL75*VLOOKUP(AE76,boc_trpr_oc,11,TRUE)*boc_rr_oc_modv+AM75*VLOOKUP(AE76,boc_trpr_oc,11,TRUE)*boc_rr_oc_lop+AN75*VLOOKUP(AE76,boc_trpr_oc,11,TRUE)*boc_rr_oc_lov+AO75*VLOOKUP(AE76,boc_trpr_oc,11,TRUE)*boc_rr_oc_np</f>
        <v>#N/A</v>
      </c>
      <c r="AR76" s="260" t="e">
        <f>AP75*(1-VLOOKUP(AE76,boc_trpr_bc_death,20,TRUE))+AQ75*(1-VLOOKUP(AE76,boc_trpr_oc_death,20,TRUE))+AR75*(1-VLOOKUP(AE76,mortt,2,FALSE)*boc_rr_death_pc)</f>
        <v>#N/A</v>
      </c>
      <c r="AS76" s="260" t="e">
        <f>AS75+SUM(AF75:AO75)*VLOOKUP(AE76,mortt,2,FALSE)+AP75*VLOOKUP(AE76,boc_trpr_bc_death,20,TRUE)+AQ75*VLOOKUP(AE76,boc_trpr_bc_death,20,TRUE)+AR75*VLOOKUP(AE76,mortt,2,FALSE)*boc_rr_death_pc</f>
        <v>#N/A</v>
      </c>
      <c r="AT76" s="260" t="e">
        <f t="shared" si="52"/>
        <v>#N/A</v>
      </c>
      <c r="AU76" s="118" t="e">
        <f>(boc_cost_mast*SUM(AI76,AK76,AM76)*(boc_tr_mast_path+boc_tr_both_path)+SUM(AJ76,AL76,AN76)*(boc_tr_mast_vus+boc_tr_both_vus)+AP76*boc_cost_bc+AQ76*boc_cost_oc+AR76*boc_cost_pc+(AP76*VLOOKUP(AE76,boc_trpr_bc_death,20,TRUE)+AQ76*VLOOKUP(AE76,boc_trpr_oc_death,TRUE)*boc_cost_death))/((1+discount)^AD76)</f>
        <v>#N/A</v>
      </c>
      <c r="AV76" s="35" t="e">
        <f t="shared" si="62"/>
        <v>#N/A</v>
      </c>
      <c r="AW76" s="35" t="e">
        <f t="shared" si="63"/>
        <v>#N/A</v>
      </c>
      <c r="AY76" s="12">
        <v>70</v>
      </c>
      <c r="AZ76" s="12">
        <f t="shared" si="64"/>
        <v>115</v>
      </c>
      <c r="BA76" s="260" t="e">
        <f>BA75*(1-VLOOKUP(AZ76,boc_trpr_bc,11,TRUE)*boc_rr_bc_mast-VLOOKUP(AZ76,boc_trpr_oc,11,TRUE)*boc_rr_oc_mast-VLOOKUP(AZ76,mortt,2,FALSE))</f>
        <v>#N/A</v>
      </c>
      <c r="BB76" s="260" t="e">
        <f>BB75*(1-VLOOKUP(AZ76,boc_trpr_bc,11,TRUE)*boc_rr_bc_ooph-VLOOKUP(AZ76,boc_trpr_oc,11,TRUE)*boc_rr_oc_ooph-VLOOKUP(AZ76,mortt,2,FALSE))</f>
        <v>#N/A</v>
      </c>
      <c r="BC76" s="260" t="e">
        <f>BC75*(1-VLOOKUP(AZ76,boc_trpr_bc,11,TRUE)*boc_rr_bc_both-VLOOKUP(AZ76,boc_trpr_oc,11,TRUE)*boc_rr_oc_both-VLOOKUP(AZ76,mortt,2,FALSE))</f>
        <v>#N/A</v>
      </c>
      <c r="BD76" s="289" t="e">
        <f>BD75*(1-VLOOKUP(AZ76,boc_trpr_bc,11,TRUE)*boc_rr_bc_hip-VLOOKUP(AZ76,boc_trpr_oc,11,TRUE)*boc_rr_oc_hip-VLOOKUP(AZ76,mortt,2,FALSE))</f>
        <v>#N/A</v>
      </c>
      <c r="BE76" s="289" t="e">
        <f>BE75*(1-VLOOKUP(AZ76,boc_trpr_bc,11,TRUE)*boc_rr_bc_hiv-VLOOKUP(AZ76,boc_trpr_oc,11,TRUE)*boc_rr_oc_hiv-VLOOKUP(AZ76,mortt,2,FALSE))</f>
        <v>#N/A</v>
      </c>
      <c r="BF76" s="289" t="e">
        <f>BF75*(1-VLOOKUP(AZ76,boc_trpr_bc,11,TRUE)*boc_rr_bc_modp-VLOOKUP(AZ76,boc_trpr_oc,11,TRUE)*boc_rr_oc_modp-VLOOKUP(AZ76,mortt,2,FALSE))</f>
        <v>#N/A</v>
      </c>
      <c r="BG76" s="289" t="e">
        <f>BG75*(1-VLOOKUP(AZ76,boc_trpr_bc,11,TRUE)*boc_rr_bc_modv-VLOOKUP(AZ76,boc_trpr_oc,11,TRUE)*boc_rr_oc_modv-VLOOKUP(AZ76,mortt,2,FALSE))</f>
        <v>#N/A</v>
      </c>
      <c r="BH76" s="289" t="e">
        <f>BH75*(1-VLOOKUP(AZ76,boc_trpr_bc,11,TRUE)*boc_rr_bc_lop-VLOOKUP(AZ76,boc_trpr_oc,11,TRUE)*boc_rr_oc_lop-VLOOKUP(AZ76,mortt,2,FALSE))</f>
        <v>#N/A</v>
      </c>
      <c r="BI76" s="289" t="e">
        <f>BI75*(1-VLOOKUP(AZ76,boc_trpr_bc,11,TRUE)*boc_rr_bc_lov-VLOOKUP(AZ76,boc_trpr_oc,11,TRUE)*boc_rr_oc_lov-VLOOKUP(AZ76,mortt,2,FALSE))</f>
        <v>#N/A</v>
      </c>
      <c r="BJ76" s="260" t="e">
        <f>BJ75*(1-VLOOKUP(AZ76,boc_trpr_bc,11,TRUE)*boc_rr_bc_np-VLOOKUP(AZ76,boc_trpr_oc,11,TRUE)*boc_rr_oc_np-VLOOKUP(AZ76,mortt,2,FALSE))</f>
        <v>#N/A</v>
      </c>
      <c r="BK76" s="260" t="e">
        <f>BA75*VLOOKUP(AZ76,boc_trpr_bc,11,TRUE)*boc_rr_bc_mast+BB75*VLOOKUP(AZ76,boc_trpr_bc,11,TRUE)*boc_rr_bc_ooph+BC75*VLOOKUP(AZ76,boc_trpr_bc,11,TRUE)*boc_rr_bc_both+BD75*VLOOKUP(AZ76,boc_trpr_bc,11,TRUE)*boc_rr_bc_hip+BE75*VLOOKUP(AZ76,boc_trpr_bc,11,TRUE)*boc_rr_bc_hiv+BF75*VLOOKUP(AZ76,boc_trpr_bc,11,TRUE)*boc_rr_bc_modp+BG75*VLOOKUP(AZ76,boc_trpr_bc,11,TRUE)*boc_rr_bc_modv+BH75*VLOOKUP(AZ76,boc_trpr_bc,11,TRUE)*boc_rr_bc_lop+BI75*VLOOKUP(AZ76,boc_trpr_bc,11,TRUE)*boc_rr_bc_lov+BJ75*VLOOKUP(AZ76,boc_trpr_bc,11,TRUE)*boc_rr_bc_np</f>
        <v>#N/A</v>
      </c>
      <c r="BL76" s="260" t="e">
        <f>BA75*VLOOKUP(AZ76,boc_trpr_oc,11,TRUE)*boc_rr_oc_mast+BB75*VLOOKUP(AZ76,boc_trpr_oc,11,TRUE)*boc_rr_oc_ooph+BC75*VLOOKUP(AZ76,boc_trpr_oc,11,TRUE)*boc_rr_oc_both+BD75*VLOOKUP(AZ76,boc_trpr_oc,11,TRUE)*boc_rr_oc_hip+BE75*VLOOKUP(AZ76,boc_trpr_oc,11,TRUE)*boc_rr_oc_hiv+BF75*VLOOKUP(AZ76,boc_trpr_oc,11,TRUE)*boc_rr_oc_modp+BG75*VLOOKUP(AZ76,boc_trpr_oc,11,TRUE)*boc_rr_oc_modv+BH75*VLOOKUP(AZ76,boc_trpr_oc,11,TRUE)*boc_rr_oc_lop+BI75*VLOOKUP(AZ76,boc_trpr_oc,11,TRUE)*boc_rr_oc_lov+BJ75*VLOOKUP(AZ76,boc_trpr_oc,11,TRUE)*boc_rr_oc_np</f>
        <v>#N/A</v>
      </c>
      <c r="BM76" s="260" t="e">
        <f>BK75*(1-VLOOKUP(AZ76,boc_trpr_bc_death,20,TRUE))+BL75*(1-VLOOKUP(AZ76,boc_trpr_oc_death,20,TRUE))+BM75*(1-VLOOKUP(AZ76,mortt,2,FALSE)*boc_rr_death_pc)</f>
        <v>#N/A</v>
      </c>
      <c r="BN76" s="260" t="e">
        <f>BN75+SUM(BA75:BJ75)*VLOOKUP(AZ76,mortt,2,FALSE)+BK75*VLOOKUP(AZ76,boc_trpr_bc_death,20,TRUE)+BL75*VLOOKUP(AZ76,boc_trpr_bc_death,20,TRUE)+BM75*VLOOKUP(AZ76,mortt,2,FALSE)*boc_rr_death_pc</f>
        <v>#N/A</v>
      </c>
      <c r="BO76" s="260" t="e">
        <f t="shared" si="41"/>
        <v>#N/A</v>
      </c>
      <c r="BP76" s="118" t="e">
        <f>(boc_cost_mast*SUM(BD76,BF76,BH76)*(boc_tr_mast_path+boc_tr_both_path)+SUM(BE76,BG76,BI76)*(boc_tr_mast_vus+boc_tr_both_vus)+BK76*boc_cost_bc+BL76*boc_cost_oc+BM76*boc_cost_pc+(BK76*VLOOKUP(AZ76,boc_trpr_bc_death,20,TRUE)+BL76*VLOOKUP(AZ76,boc_trpr_oc_death,TRUE)*boc_cost_death))/((1+discount)^AY76)</f>
        <v>#N/A</v>
      </c>
      <c r="BQ76" s="35" t="e">
        <f t="shared" si="65"/>
        <v>#N/A</v>
      </c>
      <c r="BR76" s="35" t="e">
        <f t="shared" si="66"/>
        <v>#N/A</v>
      </c>
      <c r="BS76" s="35"/>
      <c r="BU76" s="33">
        <v>6</v>
      </c>
      <c r="BV76" t="str">
        <f>$M$124</f>
        <v>boc_util_no_v</v>
      </c>
      <c r="BW76" s="35">
        <f>$F$124</f>
        <v>0.9</v>
      </c>
      <c r="BX76" s="35">
        <f>$G$124</f>
        <v>1</v>
      </c>
      <c r="BY76" s="311">
        <v>-7.5531978571930267</v>
      </c>
      <c r="BZ76" s="311">
        <v>-7.5531978571930267</v>
      </c>
      <c r="CA76" s="311">
        <f t="shared" si="57"/>
        <v>0</v>
      </c>
      <c r="CD76" s="138">
        <v>71</v>
      </c>
      <c r="CE76" s="291">
        <v>1.6756E-2</v>
      </c>
    </row>
    <row r="77" spans="2:83" ht="15" customHeight="1" x14ac:dyDescent="0.2">
      <c r="B77" s="8" t="s">
        <v>27</v>
      </c>
      <c r="C77" s="13" t="s">
        <v>32</v>
      </c>
      <c r="D77" s="13" t="s">
        <v>33</v>
      </c>
      <c r="E77" s="13" t="s">
        <v>34</v>
      </c>
      <c r="F77" s="17" t="s">
        <v>36</v>
      </c>
      <c r="G77" s="17"/>
      <c r="H77" s="13" t="s">
        <v>41</v>
      </c>
      <c r="I77" s="13" t="s">
        <v>37</v>
      </c>
      <c r="J77" s="13" t="s">
        <v>35</v>
      </c>
      <c r="K77" s="13" t="s">
        <v>39</v>
      </c>
      <c r="L77" s="13" t="s">
        <v>63</v>
      </c>
      <c r="M77" s="13" t="s">
        <v>158</v>
      </c>
      <c r="N77" s="13" t="s">
        <v>40</v>
      </c>
      <c r="Q77" s="11"/>
      <c r="S77" s="11"/>
      <c r="U77" s="9" t="s">
        <v>7</v>
      </c>
      <c r="V77" s="250">
        <f>boc_unk_int_mast</f>
        <v>0.01</v>
      </c>
      <c r="X77" s="261">
        <f>R78*T78*V77</f>
        <v>1.3521466542971633E-4</v>
      </c>
      <c r="AD77" s="12">
        <v>71</v>
      </c>
      <c r="AE77" s="12">
        <f t="shared" si="61"/>
        <v>116</v>
      </c>
      <c r="AF77" s="260" t="e">
        <f>AF76*(1-VLOOKUP(AE77,boc_trpr_bc,11,TRUE)*boc_rr_bc_mast-VLOOKUP(AE77,boc_trpr_oc,11,TRUE)*boc_rr_oc_mast-VLOOKUP(AE77,mortt,2,FALSE))+SUM(AI76,AK76,AM76)*boc_tr_mast_path+SUM(AJ76,AL76,AN76)*boc_tr_mast_vus</f>
        <v>#N/A</v>
      </c>
      <c r="AG77" s="260" t="e">
        <f>AG76*(1-VLOOKUP(AE77,boc_trpr_bc,11,TRUE)*boc_rr_bc_ooph-VLOOKUP(AE77,boc_trpr_oc,11,TRUE)*boc_rr_oc_ooph-VLOOKUP(AE77,mortt,2,FALSE))+SUM(AI76,AK76,AM76)*boc_tr_ooph_path+SUM(AJ76,AL76,AN76)*boc_tr_ooph_vus</f>
        <v>#N/A</v>
      </c>
      <c r="AH77" s="260" t="e">
        <f>AH76*(1-VLOOKUP(AE77,boc_trpr_bc,11,TRUE)*boc_rr_bc_both-VLOOKUP(AE77,boc_trpr_oc,11,TRUE)*boc_rr_oc_both-VLOOKUP(AE77,mortt,2,FALSE))+SUM(AI76,AK76,AM76)*boc_tr_both_path+SUM(AJ76,AL76,AN76)*boc_tr_both_vus</f>
        <v>#N/A</v>
      </c>
      <c r="AI77" s="289" t="e">
        <f>AI76*(1-VLOOKUP(AE77,boc_trpr_bc,11,TRUE)*boc_rr_bc_hip-VLOOKUP(AE77,boc_trpr_oc,11,TRUE)*boc_rr_oc_hip-boc_tr_mast_path-boc_tr_ooph_path-boc_tr_both_path-VLOOKUP(AE77,mortt,2,FALSE))</f>
        <v>#N/A</v>
      </c>
      <c r="AJ77" s="289" t="e">
        <f>AJ76*(1-VLOOKUP(AE77,boc_trpr_bc,11,TRUE)*boc_rr_bc_hiv-VLOOKUP(AE77,boc_trpr_oc,11,TRUE)*boc_rr_oc_hiv-boc_tr_mast_vus-boc_tr_ooph_vus-boc_tr_both_vus-VLOOKUP(AE77,mortt,2,FALSE))</f>
        <v>#N/A</v>
      </c>
      <c r="AK77" s="289" t="e">
        <f>AK76*(1-VLOOKUP(AE77,boc_trpr_bc,11,TRUE)*boc_rr_bc_modp-VLOOKUP(AE77,boc_trpr_oc,11,TRUE)*boc_rr_oc_modp-boc_tr_mast_path-boc_tr_ooph_path-boc_tr_both_path-VLOOKUP(AE77,mortt,2,FALSE))</f>
        <v>#N/A</v>
      </c>
      <c r="AL77" s="289" t="e">
        <f>AL76*(1-VLOOKUP(AE77,boc_trpr_bc,11,TRUE)*boc_rr_bc_modv-VLOOKUP(AE77,boc_trpr_oc,11,TRUE)*boc_rr_oc_modv-boc_tr_mast_vus-boc_tr_ooph_vus-boc_tr_both_vus-VLOOKUP(AE77,mortt,2,FALSE))</f>
        <v>#N/A</v>
      </c>
      <c r="AM77" s="289" t="e">
        <f>AM76*(1-VLOOKUP(AE77,boc_trpr_bc,11,TRUE)*boc_rr_bc_lop-VLOOKUP(AE77,boc_trpr_oc,11,TRUE)*boc_rr_oc_lop-boc_tr_mast_path-boc_tr_ooph_path-boc_tr_both_path-VLOOKUP(AE77,mortt,2,FALSE))</f>
        <v>#N/A</v>
      </c>
      <c r="AN77" s="289" t="e">
        <f>AN76*(1-VLOOKUP(AE77,boc_trpr_bc,11,TRUE)*boc_rr_bc_lov-VLOOKUP(AE77,boc_trpr_oc,11,TRUE)*boc_rr_oc_lov-boc_tr_mast_vus-boc_tr_ooph_vus-boc_tr_both_vus-VLOOKUP(AE77,mortt,2,FALSE))</f>
        <v>#N/A</v>
      </c>
      <c r="AO77" s="260" t="e">
        <f>AO76*(1-VLOOKUP(AE77,boc_trpr_bc,11,TRUE)*boc_rr_bc_np-VLOOKUP(AE77,boc_trpr_oc,11,TRUE)*boc_rr_oc_np-VLOOKUP(AE77,mortt,2,FALSE))</f>
        <v>#N/A</v>
      </c>
      <c r="AP77" s="260" t="e">
        <f>AF76*VLOOKUP(AE77,boc_trpr_bc,11,TRUE)*boc_rr_bc_mast+AG76*VLOOKUP(AE77,boc_trpr_bc,11,TRUE)*boc_rr_bc_ooph+AH76*VLOOKUP(AE77,boc_trpr_bc,11,TRUE)*boc_rr_bc_both+AI76*VLOOKUP(AE77,boc_trpr_bc,11,TRUE)*boc_rr_bc_hip+AJ76*VLOOKUP(AE77,boc_trpr_bc,11,TRUE)*boc_rr_bc_hiv+AK76*VLOOKUP(AE77,boc_trpr_bc,11,TRUE)*boc_rr_bc_modp+AL76*VLOOKUP(AE77,boc_trpr_bc,11,TRUE)*boc_rr_bc_modv+AM76*VLOOKUP(AE77,boc_trpr_bc,11,TRUE)*boc_rr_bc_lop+AN76*VLOOKUP(AE77,boc_trpr_bc,11,TRUE)*boc_rr_bc_lov+AO76*VLOOKUP(AE77,boc_trpr_bc,11,TRUE)*boc_rr_bc_np</f>
        <v>#N/A</v>
      </c>
      <c r="AQ77" s="260" t="e">
        <f>AF76*VLOOKUP(AE77,boc_trpr_oc,11,TRUE)*boc_rr_oc_mast+AG76*VLOOKUP(AE77,boc_trpr_oc,11,TRUE)*boc_rr_oc_ooph+AH76*VLOOKUP(AE77,boc_trpr_oc,11,TRUE)*boc_rr_oc_both+AI76*VLOOKUP(AE77,boc_trpr_oc,11,TRUE)*boc_rr_oc_hip+AJ76*VLOOKUP(AE77,boc_trpr_oc,11,TRUE)*boc_rr_oc_hiv+AK76*VLOOKUP(AE77,boc_trpr_oc,11,TRUE)*boc_rr_oc_modp+AL76*VLOOKUP(AE77,boc_trpr_oc,11,TRUE)*boc_rr_oc_modv+AM76*VLOOKUP(AE77,boc_trpr_oc,11,TRUE)*boc_rr_oc_lop+AN76*VLOOKUP(AE77,boc_trpr_oc,11,TRUE)*boc_rr_oc_lov+AO76*VLOOKUP(AE77,boc_trpr_oc,11,TRUE)*boc_rr_oc_np</f>
        <v>#N/A</v>
      </c>
      <c r="AR77" s="260" t="e">
        <f>AP76*(1-VLOOKUP(AE77,boc_trpr_bc_death,20,TRUE))+AQ76*(1-VLOOKUP(AE77,boc_trpr_oc_death,20,TRUE))+AR76*(1-VLOOKUP(AE77,mortt,2,FALSE)*boc_rr_death_pc)</f>
        <v>#N/A</v>
      </c>
      <c r="AS77" s="260" t="e">
        <f>AS76+SUM(AF76:AO76)*VLOOKUP(AE77,mortt,2,FALSE)+AP76*VLOOKUP(AE77,boc_trpr_bc_death,20,TRUE)+AQ76*VLOOKUP(AE77,boc_trpr_bc_death,20,TRUE)+AR76*VLOOKUP(AE77,mortt,2,FALSE)*boc_rr_death_pc</f>
        <v>#N/A</v>
      </c>
      <c r="AT77" s="260" t="e">
        <f t="shared" si="52"/>
        <v>#N/A</v>
      </c>
      <c r="AU77" s="118" t="e">
        <f>(boc_cost_mast*SUM(AI77,AK77,AM77)*(boc_tr_mast_path+boc_tr_both_path)+SUM(AJ77,AL77,AN77)*(boc_tr_mast_vus+boc_tr_both_vus)+AP77*boc_cost_bc+AQ77*boc_cost_oc+AR77*boc_cost_pc+(AP77*VLOOKUP(AE77,boc_trpr_bc_death,20,TRUE)+AQ77*VLOOKUP(AE77,boc_trpr_oc_death,TRUE)*boc_cost_death))/((1+discount)^AD77)</f>
        <v>#N/A</v>
      </c>
      <c r="AV77" s="35" t="e">
        <f t="shared" si="62"/>
        <v>#N/A</v>
      </c>
      <c r="AW77" s="35" t="e">
        <f t="shared" si="63"/>
        <v>#N/A</v>
      </c>
      <c r="AY77" s="12">
        <v>71</v>
      </c>
      <c r="AZ77" s="12">
        <f t="shared" si="64"/>
        <v>116</v>
      </c>
      <c r="BA77" s="260" t="e">
        <f>BA76*(1-VLOOKUP(AZ77,boc_trpr_bc,11,TRUE)*boc_rr_bc_mast-VLOOKUP(AZ77,boc_trpr_oc,11,TRUE)*boc_rr_oc_mast-VLOOKUP(AZ77,mortt,2,FALSE))</f>
        <v>#N/A</v>
      </c>
      <c r="BB77" s="260" t="e">
        <f>BB76*(1-VLOOKUP(AZ77,boc_trpr_bc,11,TRUE)*boc_rr_bc_ooph-VLOOKUP(AZ77,boc_trpr_oc,11,TRUE)*boc_rr_oc_ooph-VLOOKUP(AZ77,mortt,2,FALSE))</f>
        <v>#N/A</v>
      </c>
      <c r="BC77" s="260" t="e">
        <f>BC76*(1-VLOOKUP(AZ77,boc_trpr_bc,11,TRUE)*boc_rr_bc_both-VLOOKUP(AZ77,boc_trpr_oc,11,TRUE)*boc_rr_oc_both-VLOOKUP(AZ77,mortt,2,FALSE))</f>
        <v>#N/A</v>
      </c>
      <c r="BD77" s="289" t="e">
        <f>BD76*(1-VLOOKUP(AZ77,boc_trpr_bc,11,TRUE)*boc_rr_bc_hip-VLOOKUP(AZ77,boc_trpr_oc,11,TRUE)*boc_rr_oc_hip-VLOOKUP(AZ77,mortt,2,FALSE))</f>
        <v>#N/A</v>
      </c>
      <c r="BE77" s="289" t="e">
        <f>BE76*(1-VLOOKUP(AZ77,boc_trpr_bc,11,TRUE)*boc_rr_bc_hiv-VLOOKUP(AZ77,boc_trpr_oc,11,TRUE)*boc_rr_oc_hiv-VLOOKUP(AZ77,mortt,2,FALSE))</f>
        <v>#N/A</v>
      </c>
      <c r="BF77" s="289" t="e">
        <f>BF76*(1-VLOOKUP(AZ77,boc_trpr_bc,11,TRUE)*boc_rr_bc_modp-VLOOKUP(AZ77,boc_trpr_oc,11,TRUE)*boc_rr_oc_modp-VLOOKUP(AZ77,mortt,2,FALSE))</f>
        <v>#N/A</v>
      </c>
      <c r="BG77" s="289" t="e">
        <f>BG76*(1-VLOOKUP(AZ77,boc_trpr_bc,11,TRUE)*boc_rr_bc_modv-VLOOKUP(AZ77,boc_trpr_oc,11,TRUE)*boc_rr_oc_modv-VLOOKUP(AZ77,mortt,2,FALSE))</f>
        <v>#N/A</v>
      </c>
      <c r="BH77" s="289" t="e">
        <f>BH76*(1-VLOOKUP(AZ77,boc_trpr_bc,11,TRUE)*boc_rr_bc_lop-VLOOKUP(AZ77,boc_trpr_oc,11,TRUE)*boc_rr_oc_lop-VLOOKUP(AZ77,mortt,2,FALSE))</f>
        <v>#N/A</v>
      </c>
      <c r="BI77" s="289" t="e">
        <f>BI76*(1-VLOOKUP(AZ77,boc_trpr_bc,11,TRUE)*boc_rr_bc_lov-VLOOKUP(AZ77,boc_trpr_oc,11,TRUE)*boc_rr_oc_lov-VLOOKUP(AZ77,mortt,2,FALSE))</f>
        <v>#N/A</v>
      </c>
      <c r="BJ77" s="260" t="e">
        <f>BJ76*(1-VLOOKUP(AZ77,boc_trpr_bc,11,TRUE)*boc_rr_bc_np-VLOOKUP(AZ77,boc_trpr_oc,11,TRUE)*boc_rr_oc_np-VLOOKUP(AZ77,mortt,2,FALSE))</f>
        <v>#N/A</v>
      </c>
      <c r="BK77" s="260" t="e">
        <f>BA76*VLOOKUP(AZ77,boc_trpr_bc,11,TRUE)*boc_rr_bc_mast+BB76*VLOOKUP(AZ77,boc_trpr_bc,11,TRUE)*boc_rr_bc_ooph+BC76*VLOOKUP(AZ77,boc_trpr_bc,11,TRUE)*boc_rr_bc_both+BD76*VLOOKUP(AZ77,boc_trpr_bc,11,TRUE)*boc_rr_bc_hip+BE76*VLOOKUP(AZ77,boc_trpr_bc,11,TRUE)*boc_rr_bc_hiv+BF76*VLOOKUP(AZ77,boc_trpr_bc,11,TRUE)*boc_rr_bc_modp+BG76*VLOOKUP(AZ77,boc_trpr_bc,11,TRUE)*boc_rr_bc_modv+BH76*VLOOKUP(AZ77,boc_trpr_bc,11,TRUE)*boc_rr_bc_lop+BI76*VLOOKUP(AZ77,boc_trpr_bc,11,TRUE)*boc_rr_bc_lov+BJ76*VLOOKUP(AZ77,boc_trpr_bc,11,TRUE)*boc_rr_bc_np</f>
        <v>#N/A</v>
      </c>
      <c r="BL77" s="260" t="e">
        <f>BA76*VLOOKUP(AZ77,boc_trpr_oc,11,TRUE)*boc_rr_oc_mast+BB76*VLOOKUP(AZ77,boc_trpr_oc,11,TRUE)*boc_rr_oc_ooph+BC76*VLOOKUP(AZ77,boc_trpr_oc,11,TRUE)*boc_rr_oc_both+BD76*VLOOKUP(AZ77,boc_trpr_oc,11,TRUE)*boc_rr_oc_hip+BE76*VLOOKUP(AZ77,boc_trpr_oc,11,TRUE)*boc_rr_oc_hiv+BF76*VLOOKUP(AZ77,boc_trpr_oc,11,TRUE)*boc_rr_oc_modp+BG76*VLOOKUP(AZ77,boc_trpr_oc,11,TRUE)*boc_rr_oc_modv+BH76*VLOOKUP(AZ77,boc_trpr_oc,11,TRUE)*boc_rr_oc_lop+BI76*VLOOKUP(AZ77,boc_trpr_oc,11,TRUE)*boc_rr_oc_lov+BJ76*VLOOKUP(AZ77,boc_trpr_oc,11,TRUE)*boc_rr_oc_np</f>
        <v>#N/A</v>
      </c>
      <c r="BM77" s="260" t="e">
        <f>BK76*(1-VLOOKUP(AZ77,boc_trpr_bc_death,20,TRUE))+BL76*(1-VLOOKUP(AZ77,boc_trpr_oc_death,20,TRUE))+BM76*(1-VLOOKUP(AZ77,mortt,2,FALSE)*boc_rr_death_pc)</f>
        <v>#N/A</v>
      </c>
      <c r="BN77" s="260" t="e">
        <f>BN76+SUM(BA76:BJ76)*VLOOKUP(AZ77,mortt,2,FALSE)+BK76*VLOOKUP(AZ77,boc_trpr_bc_death,20,TRUE)+BL76*VLOOKUP(AZ77,boc_trpr_bc_death,20,TRUE)+BM76*VLOOKUP(AZ77,mortt,2,FALSE)*boc_rr_death_pc</f>
        <v>#N/A</v>
      </c>
      <c r="BO77" s="260" t="e">
        <f t="shared" si="41"/>
        <v>#N/A</v>
      </c>
      <c r="BP77" s="118" t="e">
        <f>(boc_cost_mast*SUM(BD77,BF77,BH77)*(boc_tr_mast_path+boc_tr_both_path)+SUM(BE77,BG77,BI77)*(boc_tr_mast_vus+boc_tr_both_vus)+BK77*boc_cost_bc+BL77*boc_cost_oc+BM77*boc_cost_pc+(BK77*VLOOKUP(AZ77,boc_trpr_bc_death,20,TRUE)+BL77*VLOOKUP(AZ77,boc_trpr_oc_death,TRUE)*boc_cost_death))/((1+discount)^AY77)</f>
        <v>#N/A</v>
      </c>
      <c r="BQ77" s="35" t="e">
        <f t="shared" si="65"/>
        <v>#N/A</v>
      </c>
      <c r="BR77" s="35" t="e">
        <f t="shared" si="66"/>
        <v>#N/A</v>
      </c>
      <c r="BS77" s="35"/>
      <c r="BU77" s="33">
        <v>7</v>
      </c>
      <c r="BV77" t="str">
        <f>$M$125</f>
        <v>boc_util_no_nv</v>
      </c>
      <c r="BW77" s="35">
        <f>$F$125</f>
        <v>0.9</v>
      </c>
      <c r="BX77" s="35">
        <f>$G$125</f>
        <v>1</v>
      </c>
      <c r="BY77" s="311">
        <v>-7.5531978571930267</v>
      </c>
      <c r="BZ77" s="311">
        <v>-7.5531978571930267</v>
      </c>
      <c r="CA77" s="311">
        <f t="shared" si="57"/>
        <v>0</v>
      </c>
      <c r="CD77" s="138">
        <v>72</v>
      </c>
      <c r="CE77" s="291">
        <v>1.848E-2</v>
      </c>
    </row>
    <row r="78" spans="2:83" ht="15" customHeight="1" x14ac:dyDescent="0.2">
      <c r="Q78" s="9" t="s">
        <v>15</v>
      </c>
      <c r="R78" s="263">
        <f>$L$7*boc_find_mod</f>
        <v>4.9865229100000005E-2</v>
      </c>
      <c r="S78" s="9" t="s">
        <v>12</v>
      </c>
      <c r="T78" s="251">
        <f>boc_path_mod_vus</f>
        <v>0.27116022099999998</v>
      </c>
      <c r="U78" s="9" t="s">
        <v>8</v>
      </c>
      <c r="V78" s="250">
        <f>boc_unk_int_ooph</f>
        <v>0.01</v>
      </c>
      <c r="Y78" s="261">
        <f>R78*T78*V78</f>
        <v>1.3521466542971633E-4</v>
      </c>
      <c r="AD78" s="12">
        <v>72</v>
      </c>
      <c r="AE78" s="12">
        <f t="shared" si="61"/>
        <v>117</v>
      </c>
      <c r="AF78" s="260" t="e">
        <f>AF77*(1-VLOOKUP(AE78,boc_trpr_bc,11,TRUE)*boc_rr_bc_mast-VLOOKUP(AE78,boc_trpr_oc,11,TRUE)*boc_rr_oc_mast-VLOOKUP(AE78,mortt,2,FALSE))+SUM(AI77,AK77,AM77)*boc_tr_mast_path+SUM(AJ77,AL77,AN77)*boc_tr_mast_vus</f>
        <v>#N/A</v>
      </c>
      <c r="AG78" s="260" t="e">
        <f>AG77*(1-VLOOKUP(AE78,boc_trpr_bc,11,TRUE)*boc_rr_bc_ooph-VLOOKUP(AE78,boc_trpr_oc,11,TRUE)*boc_rr_oc_ooph-VLOOKUP(AE78,mortt,2,FALSE))+SUM(AI77,AK77,AM77)*boc_tr_ooph_path+SUM(AJ77,AL77,AN77)*boc_tr_ooph_vus</f>
        <v>#N/A</v>
      </c>
      <c r="AH78" s="260" t="e">
        <f>AH77*(1-VLOOKUP(AE78,boc_trpr_bc,11,TRUE)*boc_rr_bc_both-VLOOKUP(AE78,boc_trpr_oc,11,TRUE)*boc_rr_oc_both-VLOOKUP(AE78,mortt,2,FALSE))+SUM(AI77,AK77,AM77)*boc_tr_both_path+SUM(AJ77,AL77,AN77)*boc_tr_both_vus</f>
        <v>#N/A</v>
      </c>
      <c r="AI78" s="289" t="e">
        <f>AI77*(1-VLOOKUP(AE78,boc_trpr_bc,11,TRUE)*boc_rr_bc_hip-VLOOKUP(AE78,boc_trpr_oc,11,TRUE)*boc_rr_oc_hip-boc_tr_mast_path-boc_tr_ooph_path-boc_tr_both_path-VLOOKUP(AE78,mortt,2,FALSE))</f>
        <v>#N/A</v>
      </c>
      <c r="AJ78" s="289" t="e">
        <f>AJ77*(1-VLOOKUP(AE78,boc_trpr_bc,11,TRUE)*boc_rr_bc_hiv-VLOOKUP(AE78,boc_trpr_oc,11,TRUE)*boc_rr_oc_hiv-boc_tr_mast_vus-boc_tr_ooph_vus-boc_tr_both_vus-VLOOKUP(AE78,mortt,2,FALSE))</f>
        <v>#N/A</v>
      </c>
      <c r="AK78" s="289" t="e">
        <f>AK77*(1-VLOOKUP(AE78,boc_trpr_bc,11,TRUE)*boc_rr_bc_modp-VLOOKUP(AE78,boc_trpr_oc,11,TRUE)*boc_rr_oc_modp-boc_tr_mast_path-boc_tr_ooph_path-boc_tr_both_path-VLOOKUP(AE78,mortt,2,FALSE))</f>
        <v>#N/A</v>
      </c>
      <c r="AL78" s="289" t="e">
        <f>AL77*(1-VLOOKUP(AE78,boc_trpr_bc,11,TRUE)*boc_rr_bc_modv-VLOOKUP(AE78,boc_trpr_oc,11,TRUE)*boc_rr_oc_modv-boc_tr_mast_vus-boc_tr_ooph_vus-boc_tr_both_vus-VLOOKUP(AE78,mortt,2,FALSE))</f>
        <v>#N/A</v>
      </c>
      <c r="AM78" s="289" t="e">
        <f>AM77*(1-VLOOKUP(AE78,boc_trpr_bc,11,TRUE)*boc_rr_bc_lop-VLOOKUP(AE78,boc_trpr_oc,11,TRUE)*boc_rr_oc_lop-boc_tr_mast_path-boc_tr_ooph_path-boc_tr_both_path-VLOOKUP(AE78,mortt,2,FALSE))</f>
        <v>#N/A</v>
      </c>
      <c r="AN78" s="289" t="e">
        <f>AN77*(1-VLOOKUP(AE78,boc_trpr_bc,11,TRUE)*boc_rr_bc_lov-VLOOKUP(AE78,boc_trpr_oc,11,TRUE)*boc_rr_oc_lov-boc_tr_mast_vus-boc_tr_ooph_vus-boc_tr_both_vus-VLOOKUP(AE78,mortt,2,FALSE))</f>
        <v>#N/A</v>
      </c>
      <c r="AO78" s="260" t="e">
        <f>AO77*(1-VLOOKUP(AE78,boc_trpr_bc,11,TRUE)*boc_rr_bc_np-VLOOKUP(AE78,boc_trpr_oc,11,TRUE)*boc_rr_oc_np-VLOOKUP(AE78,mortt,2,FALSE))</f>
        <v>#N/A</v>
      </c>
      <c r="AP78" s="260" t="e">
        <f>AF77*VLOOKUP(AE78,boc_trpr_bc,11,TRUE)*boc_rr_bc_mast+AG77*VLOOKUP(AE78,boc_trpr_bc,11,TRUE)*boc_rr_bc_ooph+AH77*VLOOKUP(AE78,boc_trpr_bc,11,TRUE)*boc_rr_bc_both+AI77*VLOOKUP(AE78,boc_trpr_bc,11,TRUE)*boc_rr_bc_hip+AJ77*VLOOKUP(AE78,boc_trpr_bc,11,TRUE)*boc_rr_bc_hiv+AK77*VLOOKUP(AE78,boc_trpr_bc,11,TRUE)*boc_rr_bc_modp+AL77*VLOOKUP(AE78,boc_trpr_bc,11,TRUE)*boc_rr_bc_modv+AM77*VLOOKUP(AE78,boc_trpr_bc,11,TRUE)*boc_rr_bc_lop+AN77*VLOOKUP(AE78,boc_trpr_bc,11,TRUE)*boc_rr_bc_lov+AO77*VLOOKUP(AE78,boc_trpr_bc,11,TRUE)*boc_rr_bc_np</f>
        <v>#N/A</v>
      </c>
      <c r="AQ78" s="260" t="e">
        <f>AF77*VLOOKUP(AE78,boc_trpr_oc,11,TRUE)*boc_rr_oc_mast+AG77*VLOOKUP(AE78,boc_trpr_oc,11,TRUE)*boc_rr_oc_ooph+AH77*VLOOKUP(AE78,boc_trpr_oc,11,TRUE)*boc_rr_oc_both+AI77*VLOOKUP(AE78,boc_trpr_oc,11,TRUE)*boc_rr_oc_hip+AJ77*VLOOKUP(AE78,boc_trpr_oc,11,TRUE)*boc_rr_oc_hiv+AK77*VLOOKUP(AE78,boc_trpr_oc,11,TRUE)*boc_rr_oc_modp+AL77*VLOOKUP(AE78,boc_trpr_oc,11,TRUE)*boc_rr_oc_modv+AM77*VLOOKUP(AE78,boc_trpr_oc,11,TRUE)*boc_rr_oc_lop+AN77*VLOOKUP(AE78,boc_trpr_oc,11,TRUE)*boc_rr_oc_lov+AO77*VLOOKUP(AE78,boc_trpr_oc,11,TRUE)*boc_rr_oc_np</f>
        <v>#N/A</v>
      </c>
      <c r="AR78" s="260" t="e">
        <f>AP77*(1-VLOOKUP(AE78,boc_trpr_bc_death,20,TRUE))+AQ77*(1-VLOOKUP(AE78,boc_trpr_oc_death,20,TRUE))+AR77*(1-VLOOKUP(AE78,mortt,2,FALSE)*boc_rr_death_pc)</f>
        <v>#N/A</v>
      </c>
      <c r="AS78" s="260" t="e">
        <f>AS77+SUM(AF77:AO77)*VLOOKUP(AE78,mortt,2,FALSE)+AP77*VLOOKUP(AE78,boc_trpr_bc_death,20,TRUE)+AQ77*VLOOKUP(AE78,boc_trpr_bc_death,20,TRUE)+AR77*VLOOKUP(AE78,mortt,2,FALSE)*boc_rr_death_pc</f>
        <v>#N/A</v>
      </c>
      <c r="AT78" s="260" t="e">
        <f t="shared" si="52"/>
        <v>#N/A</v>
      </c>
      <c r="AU78" s="118" t="e">
        <f>(boc_cost_mast*SUM(AI78,AK78,AM78)*(boc_tr_mast_path+boc_tr_both_path)+SUM(AJ78,AL78,AN78)*(boc_tr_mast_vus+boc_tr_both_vus)+AP78*boc_cost_bc+AQ78*boc_cost_oc+AR78*boc_cost_pc+(AP78*VLOOKUP(AE78,boc_trpr_bc_death,20,TRUE)+AQ78*VLOOKUP(AE78,boc_trpr_oc_death,TRUE)*boc_cost_death))/((1+discount)^AD78)</f>
        <v>#N/A</v>
      </c>
      <c r="AV78" s="35" t="e">
        <f t="shared" si="62"/>
        <v>#N/A</v>
      </c>
      <c r="AW78" s="35" t="e">
        <f t="shared" si="63"/>
        <v>#N/A</v>
      </c>
      <c r="AY78" s="12">
        <v>72</v>
      </c>
      <c r="AZ78" s="12">
        <f t="shared" si="64"/>
        <v>117</v>
      </c>
      <c r="BA78" s="260" t="e">
        <f>BA77*(1-VLOOKUP(AZ78,boc_trpr_bc,11,TRUE)*boc_rr_bc_mast-VLOOKUP(AZ78,boc_trpr_oc,11,TRUE)*boc_rr_oc_mast-VLOOKUP(AZ78,mortt,2,FALSE))</f>
        <v>#N/A</v>
      </c>
      <c r="BB78" s="260" t="e">
        <f>BB77*(1-VLOOKUP(AZ78,boc_trpr_bc,11,TRUE)*boc_rr_bc_ooph-VLOOKUP(AZ78,boc_trpr_oc,11,TRUE)*boc_rr_oc_ooph-VLOOKUP(AZ78,mortt,2,FALSE))</f>
        <v>#N/A</v>
      </c>
      <c r="BC78" s="260" t="e">
        <f>BC77*(1-VLOOKUP(AZ78,boc_trpr_bc,11,TRUE)*boc_rr_bc_both-VLOOKUP(AZ78,boc_trpr_oc,11,TRUE)*boc_rr_oc_both-VLOOKUP(AZ78,mortt,2,FALSE))</f>
        <v>#N/A</v>
      </c>
      <c r="BD78" s="289" t="e">
        <f>BD77*(1-VLOOKUP(AZ78,boc_trpr_bc,11,TRUE)*boc_rr_bc_hip-VLOOKUP(AZ78,boc_trpr_oc,11,TRUE)*boc_rr_oc_hip-VLOOKUP(AZ78,mortt,2,FALSE))</f>
        <v>#N/A</v>
      </c>
      <c r="BE78" s="289" t="e">
        <f>BE77*(1-VLOOKUP(AZ78,boc_trpr_bc,11,TRUE)*boc_rr_bc_hiv-VLOOKUP(AZ78,boc_trpr_oc,11,TRUE)*boc_rr_oc_hiv-VLOOKUP(AZ78,mortt,2,FALSE))</f>
        <v>#N/A</v>
      </c>
      <c r="BF78" s="289" t="e">
        <f>BF77*(1-VLOOKUP(AZ78,boc_trpr_bc,11,TRUE)*boc_rr_bc_modp-VLOOKUP(AZ78,boc_trpr_oc,11,TRUE)*boc_rr_oc_modp-VLOOKUP(AZ78,mortt,2,FALSE))</f>
        <v>#N/A</v>
      </c>
      <c r="BG78" s="289" t="e">
        <f>BG77*(1-VLOOKUP(AZ78,boc_trpr_bc,11,TRUE)*boc_rr_bc_modv-VLOOKUP(AZ78,boc_trpr_oc,11,TRUE)*boc_rr_oc_modv-VLOOKUP(AZ78,mortt,2,FALSE))</f>
        <v>#N/A</v>
      </c>
      <c r="BH78" s="289" t="e">
        <f>BH77*(1-VLOOKUP(AZ78,boc_trpr_bc,11,TRUE)*boc_rr_bc_lop-VLOOKUP(AZ78,boc_trpr_oc,11,TRUE)*boc_rr_oc_lop-VLOOKUP(AZ78,mortt,2,FALSE))</f>
        <v>#N/A</v>
      </c>
      <c r="BI78" s="289" t="e">
        <f>BI77*(1-VLOOKUP(AZ78,boc_trpr_bc,11,TRUE)*boc_rr_bc_lov-VLOOKUP(AZ78,boc_trpr_oc,11,TRUE)*boc_rr_oc_lov-VLOOKUP(AZ78,mortt,2,FALSE))</f>
        <v>#N/A</v>
      </c>
      <c r="BJ78" s="260" t="e">
        <f>BJ77*(1-VLOOKUP(AZ78,boc_trpr_bc,11,TRUE)*boc_rr_bc_np-VLOOKUP(AZ78,boc_trpr_oc,11,TRUE)*boc_rr_oc_np-VLOOKUP(AZ78,mortt,2,FALSE))</f>
        <v>#N/A</v>
      </c>
      <c r="BK78" s="260" t="e">
        <f>BA77*VLOOKUP(AZ78,boc_trpr_bc,11,TRUE)*boc_rr_bc_mast+BB77*VLOOKUP(AZ78,boc_trpr_bc,11,TRUE)*boc_rr_bc_ooph+BC77*VLOOKUP(AZ78,boc_trpr_bc,11,TRUE)*boc_rr_bc_both+BD77*VLOOKUP(AZ78,boc_trpr_bc,11,TRUE)*boc_rr_bc_hip+BE77*VLOOKUP(AZ78,boc_trpr_bc,11,TRUE)*boc_rr_bc_hiv+BF77*VLOOKUP(AZ78,boc_trpr_bc,11,TRUE)*boc_rr_bc_modp+BG77*VLOOKUP(AZ78,boc_trpr_bc,11,TRUE)*boc_rr_bc_modv+BH77*VLOOKUP(AZ78,boc_trpr_bc,11,TRUE)*boc_rr_bc_lop+BI77*VLOOKUP(AZ78,boc_trpr_bc,11,TRUE)*boc_rr_bc_lov+BJ77*VLOOKUP(AZ78,boc_trpr_bc,11,TRUE)*boc_rr_bc_np</f>
        <v>#N/A</v>
      </c>
      <c r="BL78" s="260" t="e">
        <f>BA77*VLOOKUP(AZ78,boc_trpr_oc,11,TRUE)*boc_rr_oc_mast+BB77*VLOOKUP(AZ78,boc_trpr_oc,11,TRUE)*boc_rr_oc_ooph+BC77*VLOOKUP(AZ78,boc_trpr_oc,11,TRUE)*boc_rr_oc_both+BD77*VLOOKUP(AZ78,boc_trpr_oc,11,TRUE)*boc_rr_oc_hip+BE77*VLOOKUP(AZ78,boc_trpr_oc,11,TRUE)*boc_rr_oc_hiv+BF77*VLOOKUP(AZ78,boc_trpr_oc,11,TRUE)*boc_rr_oc_modp+BG77*VLOOKUP(AZ78,boc_trpr_oc,11,TRUE)*boc_rr_oc_modv+BH77*VLOOKUP(AZ78,boc_trpr_oc,11,TRUE)*boc_rr_oc_lop+BI77*VLOOKUP(AZ78,boc_trpr_oc,11,TRUE)*boc_rr_oc_lov+BJ77*VLOOKUP(AZ78,boc_trpr_oc,11,TRUE)*boc_rr_oc_np</f>
        <v>#N/A</v>
      </c>
      <c r="BM78" s="260" t="e">
        <f>BK77*(1-VLOOKUP(AZ78,boc_trpr_bc_death,20,TRUE))+BL77*(1-VLOOKUP(AZ78,boc_trpr_oc_death,20,TRUE))+BM77*(1-VLOOKUP(AZ78,mortt,2,FALSE)*boc_rr_death_pc)</f>
        <v>#N/A</v>
      </c>
      <c r="BN78" s="260" t="e">
        <f>BN77+SUM(BA77:BJ77)*VLOOKUP(AZ78,mortt,2,FALSE)+BK77*VLOOKUP(AZ78,boc_trpr_bc_death,20,TRUE)+BL77*VLOOKUP(AZ78,boc_trpr_bc_death,20,TRUE)+BM77*VLOOKUP(AZ78,mortt,2,FALSE)*boc_rr_death_pc</f>
        <v>#N/A</v>
      </c>
      <c r="BO78" s="260" t="e">
        <f t="shared" si="41"/>
        <v>#N/A</v>
      </c>
      <c r="BP78" s="118" t="e">
        <f>(boc_cost_mast*SUM(BD78,BF78,BH78)*(boc_tr_mast_path+boc_tr_both_path)+SUM(BE78,BG78,BI78)*(boc_tr_mast_vus+boc_tr_both_vus)+BK78*boc_cost_bc+BL78*boc_cost_oc+BM78*boc_cost_pc+(BK78*VLOOKUP(AZ78,boc_trpr_bc_death,20,TRUE)+BL78*VLOOKUP(AZ78,boc_trpr_oc_death,TRUE)*boc_cost_death))/((1+discount)^AY78)</f>
        <v>#N/A</v>
      </c>
      <c r="BQ78" s="35" t="e">
        <f t="shared" si="65"/>
        <v>#N/A</v>
      </c>
      <c r="BR78" s="35" t="e">
        <f t="shared" si="66"/>
        <v>#N/A</v>
      </c>
      <c r="BS78" s="35"/>
      <c r="BU78" s="33">
        <v>8</v>
      </c>
      <c r="BV78" t="str">
        <f>$M$126</f>
        <v>boc_util_c</v>
      </c>
      <c r="BW78" s="35">
        <f>$F$126</f>
        <v>0.64000000000000012</v>
      </c>
      <c r="BX78" s="35">
        <f>$G$126</f>
        <v>0.96</v>
      </c>
      <c r="BY78" s="311">
        <v>-7.5531978571930267</v>
      </c>
      <c r="BZ78" s="311">
        <v>-7.5531978571930267</v>
      </c>
      <c r="CA78" s="311">
        <f t="shared" si="57"/>
        <v>0</v>
      </c>
      <c r="CD78" s="138">
        <v>73</v>
      </c>
      <c r="CE78" s="291">
        <v>2.0353E-2</v>
      </c>
    </row>
    <row r="79" spans="2:83" ht="15" customHeight="1" x14ac:dyDescent="0.25">
      <c r="B79" s="94" t="s">
        <v>221</v>
      </c>
      <c r="Q79" s="11"/>
      <c r="S79" s="11"/>
      <c r="U79" s="9" t="s">
        <v>6</v>
      </c>
      <c r="V79" s="250">
        <f>boc_unk_int_both</f>
        <v>0.01</v>
      </c>
      <c r="Z79" s="261">
        <f>R78*T78*V79</f>
        <v>1.3521466542971633E-4</v>
      </c>
      <c r="AD79" s="12">
        <v>73</v>
      </c>
      <c r="AE79" s="12">
        <f t="shared" si="61"/>
        <v>118</v>
      </c>
      <c r="AF79" s="260" t="e">
        <f>AF78*(1-VLOOKUP(AE79,boc_trpr_bc,11,TRUE)*boc_rr_bc_mast-VLOOKUP(AE79,boc_trpr_oc,11,TRUE)*boc_rr_oc_mast-VLOOKUP(AE79,mortt,2,FALSE))+SUM(AI78,AK78,AM78)*boc_tr_mast_path+SUM(AJ78,AL78,AN78)*boc_tr_mast_vus</f>
        <v>#N/A</v>
      </c>
      <c r="AG79" s="260" t="e">
        <f>AG78*(1-VLOOKUP(AE79,boc_trpr_bc,11,TRUE)*boc_rr_bc_ooph-VLOOKUP(AE79,boc_trpr_oc,11,TRUE)*boc_rr_oc_ooph-VLOOKUP(AE79,mortt,2,FALSE))+SUM(AI78,AK78,AM78)*boc_tr_ooph_path+SUM(AJ78,AL78,AN78)*boc_tr_ooph_vus</f>
        <v>#N/A</v>
      </c>
      <c r="AH79" s="260" t="e">
        <f>AH78*(1-VLOOKUP(AE79,boc_trpr_bc,11,TRUE)*boc_rr_bc_both-VLOOKUP(AE79,boc_trpr_oc,11,TRUE)*boc_rr_oc_both-VLOOKUP(AE79,mortt,2,FALSE))+SUM(AI78,AK78,AM78)*boc_tr_both_path+SUM(AJ78,AL78,AN78)*boc_tr_both_vus</f>
        <v>#N/A</v>
      </c>
      <c r="AI79" s="289" t="e">
        <f>AI78*(1-VLOOKUP(AE79,boc_trpr_bc,11,TRUE)*boc_rr_bc_hip-VLOOKUP(AE79,boc_trpr_oc,11,TRUE)*boc_rr_oc_hip-boc_tr_mast_path-boc_tr_ooph_path-boc_tr_both_path-VLOOKUP(AE79,mortt,2,FALSE))</f>
        <v>#N/A</v>
      </c>
      <c r="AJ79" s="289" t="e">
        <f>AJ78*(1-VLOOKUP(AE79,boc_trpr_bc,11,TRUE)*boc_rr_bc_hiv-VLOOKUP(AE79,boc_trpr_oc,11,TRUE)*boc_rr_oc_hiv-boc_tr_mast_vus-boc_tr_ooph_vus-boc_tr_both_vus-VLOOKUP(AE79,mortt,2,FALSE))</f>
        <v>#N/A</v>
      </c>
      <c r="AK79" s="289" t="e">
        <f>AK78*(1-VLOOKUP(AE79,boc_trpr_bc,11,TRUE)*boc_rr_bc_modp-VLOOKUP(AE79,boc_trpr_oc,11,TRUE)*boc_rr_oc_modp-boc_tr_mast_path-boc_tr_ooph_path-boc_tr_both_path-VLOOKUP(AE79,mortt,2,FALSE))</f>
        <v>#N/A</v>
      </c>
      <c r="AL79" s="289" t="e">
        <f>AL78*(1-VLOOKUP(AE79,boc_trpr_bc,11,TRUE)*boc_rr_bc_modv-VLOOKUP(AE79,boc_trpr_oc,11,TRUE)*boc_rr_oc_modv-boc_tr_mast_vus-boc_tr_ooph_vus-boc_tr_both_vus-VLOOKUP(AE79,mortt,2,FALSE))</f>
        <v>#N/A</v>
      </c>
      <c r="AM79" s="289" t="e">
        <f>AM78*(1-VLOOKUP(AE79,boc_trpr_bc,11,TRUE)*boc_rr_bc_lop-VLOOKUP(AE79,boc_trpr_oc,11,TRUE)*boc_rr_oc_lop-boc_tr_mast_path-boc_tr_ooph_path-boc_tr_both_path-VLOOKUP(AE79,mortt,2,FALSE))</f>
        <v>#N/A</v>
      </c>
      <c r="AN79" s="289" t="e">
        <f>AN78*(1-VLOOKUP(AE79,boc_trpr_bc,11,TRUE)*boc_rr_bc_lov-VLOOKUP(AE79,boc_trpr_oc,11,TRUE)*boc_rr_oc_lov-boc_tr_mast_vus-boc_tr_ooph_vus-boc_tr_both_vus-VLOOKUP(AE79,mortt,2,FALSE))</f>
        <v>#N/A</v>
      </c>
      <c r="AO79" s="260" t="e">
        <f>AO78*(1-VLOOKUP(AE79,boc_trpr_bc,11,TRUE)*boc_rr_bc_np-VLOOKUP(AE79,boc_trpr_oc,11,TRUE)*boc_rr_oc_np-VLOOKUP(AE79,mortt,2,FALSE))</f>
        <v>#N/A</v>
      </c>
      <c r="AP79" s="260" t="e">
        <f>AF78*VLOOKUP(AE79,boc_trpr_bc,11,TRUE)*boc_rr_bc_mast+AG78*VLOOKUP(AE79,boc_trpr_bc,11,TRUE)*boc_rr_bc_ooph+AH78*VLOOKUP(AE79,boc_trpr_bc,11,TRUE)*boc_rr_bc_both+AI78*VLOOKUP(AE79,boc_trpr_bc,11,TRUE)*boc_rr_bc_hip+AJ78*VLOOKUP(AE79,boc_trpr_bc,11,TRUE)*boc_rr_bc_hiv+AK78*VLOOKUP(AE79,boc_trpr_bc,11,TRUE)*boc_rr_bc_modp+AL78*VLOOKUP(AE79,boc_trpr_bc,11,TRUE)*boc_rr_bc_modv+AM78*VLOOKUP(AE79,boc_trpr_bc,11,TRUE)*boc_rr_bc_lop+AN78*VLOOKUP(AE79,boc_trpr_bc,11,TRUE)*boc_rr_bc_lov+AO78*VLOOKUP(AE79,boc_trpr_bc,11,TRUE)*boc_rr_bc_np</f>
        <v>#N/A</v>
      </c>
      <c r="AQ79" s="260" t="e">
        <f>AF78*VLOOKUP(AE79,boc_trpr_oc,11,TRUE)*boc_rr_oc_mast+AG78*VLOOKUP(AE79,boc_trpr_oc,11,TRUE)*boc_rr_oc_ooph+AH78*VLOOKUP(AE79,boc_trpr_oc,11,TRUE)*boc_rr_oc_both+AI78*VLOOKUP(AE79,boc_trpr_oc,11,TRUE)*boc_rr_oc_hip+AJ78*VLOOKUP(AE79,boc_trpr_oc,11,TRUE)*boc_rr_oc_hiv+AK78*VLOOKUP(AE79,boc_trpr_oc,11,TRUE)*boc_rr_oc_modp+AL78*VLOOKUP(AE79,boc_trpr_oc,11,TRUE)*boc_rr_oc_modv+AM78*VLOOKUP(AE79,boc_trpr_oc,11,TRUE)*boc_rr_oc_lop+AN78*VLOOKUP(AE79,boc_trpr_oc,11,TRUE)*boc_rr_oc_lov+AO78*VLOOKUP(AE79,boc_trpr_oc,11,TRUE)*boc_rr_oc_np</f>
        <v>#N/A</v>
      </c>
      <c r="AR79" s="260" t="e">
        <f>AP78*(1-VLOOKUP(AE79,boc_trpr_bc_death,20,TRUE))+AQ78*(1-VLOOKUP(AE79,boc_trpr_oc_death,20,TRUE))+AR78*(1-VLOOKUP(AE79,mortt,2,FALSE)*boc_rr_death_pc)</f>
        <v>#N/A</v>
      </c>
      <c r="AS79" s="260" t="e">
        <f>AS78+SUM(AF78:AO78)*VLOOKUP(AE79,mortt,2,FALSE)+AP78*VLOOKUP(AE79,boc_trpr_bc_death,20,TRUE)+AQ78*VLOOKUP(AE79,boc_trpr_bc_death,20,TRUE)+AR78*VLOOKUP(AE79,mortt,2,FALSE)*boc_rr_death_pc</f>
        <v>#N/A</v>
      </c>
      <c r="AT79" s="260" t="e">
        <f t="shared" si="52"/>
        <v>#N/A</v>
      </c>
      <c r="AU79" s="118" t="e">
        <f>(boc_cost_mast*SUM(AI79,AK79,AM79)*(boc_tr_mast_path+boc_tr_both_path)+SUM(AJ79,AL79,AN79)*(boc_tr_mast_vus+boc_tr_both_vus)+AP79*boc_cost_bc+AQ79*boc_cost_oc+AR79*boc_cost_pc+(AP79*VLOOKUP(AE79,boc_trpr_bc_death,20,TRUE)+AQ79*VLOOKUP(AE79,boc_trpr_oc_death,TRUE)*boc_cost_death))/((1+discount)^AD79)</f>
        <v>#N/A</v>
      </c>
      <c r="AV79" s="35" t="e">
        <f t="shared" si="62"/>
        <v>#N/A</v>
      </c>
      <c r="AW79" s="35" t="e">
        <f t="shared" si="63"/>
        <v>#N/A</v>
      </c>
      <c r="AY79" s="12">
        <v>73</v>
      </c>
      <c r="AZ79" s="12">
        <f t="shared" si="64"/>
        <v>118</v>
      </c>
      <c r="BA79" s="260" t="e">
        <f>BA78*(1-VLOOKUP(AZ79,boc_trpr_bc,11,TRUE)*boc_rr_bc_mast-VLOOKUP(AZ79,boc_trpr_oc,11,TRUE)*boc_rr_oc_mast-VLOOKUP(AZ79,mortt,2,FALSE))</f>
        <v>#N/A</v>
      </c>
      <c r="BB79" s="260" t="e">
        <f>BB78*(1-VLOOKUP(AZ79,boc_trpr_bc,11,TRUE)*boc_rr_bc_ooph-VLOOKUP(AZ79,boc_trpr_oc,11,TRUE)*boc_rr_oc_ooph-VLOOKUP(AZ79,mortt,2,FALSE))</f>
        <v>#N/A</v>
      </c>
      <c r="BC79" s="260" t="e">
        <f>BC78*(1-VLOOKUP(AZ79,boc_trpr_bc,11,TRUE)*boc_rr_bc_both-VLOOKUP(AZ79,boc_trpr_oc,11,TRUE)*boc_rr_oc_both-VLOOKUP(AZ79,mortt,2,FALSE))</f>
        <v>#N/A</v>
      </c>
      <c r="BD79" s="289" t="e">
        <f>BD78*(1-VLOOKUP(AZ79,boc_trpr_bc,11,TRUE)*boc_rr_bc_hip-VLOOKUP(AZ79,boc_trpr_oc,11,TRUE)*boc_rr_oc_hip-VLOOKUP(AZ79,mortt,2,FALSE))</f>
        <v>#N/A</v>
      </c>
      <c r="BE79" s="289" t="e">
        <f>BE78*(1-VLOOKUP(AZ79,boc_trpr_bc,11,TRUE)*boc_rr_bc_hiv-VLOOKUP(AZ79,boc_trpr_oc,11,TRUE)*boc_rr_oc_hiv-VLOOKUP(AZ79,mortt,2,FALSE))</f>
        <v>#N/A</v>
      </c>
      <c r="BF79" s="289" t="e">
        <f>BF78*(1-VLOOKUP(AZ79,boc_trpr_bc,11,TRUE)*boc_rr_bc_modp-VLOOKUP(AZ79,boc_trpr_oc,11,TRUE)*boc_rr_oc_modp-VLOOKUP(AZ79,mortt,2,FALSE))</f>
        <v>#N/A</v>
      </c>
      <c r="BG79" s="289" t="e">
        <f>BG78*(1-VLOOKUP(AZ79,boc_trpr_bc,11,TRUE)*boc_rr_bc_modv-VLOOKUP(AZ79,boc_trpr_oc,11,TRUE)*boc_rr_oc_modv-VLOOKUP(AZ79,mortt,2,FALSE))</f>
        <v>#N/A</v>
      </c>
      <c r="BH79" s="289" t="e">
        <f>BH78*(1-VLOOKUP(AZ79,boc_trpr_bc,11,TRUE)*boc_rr_bc_lop-VLOOKUP(AZ79,boc_trpr_oc,11,TRUE)*boc_rr_oc_lop-VLOOKUP(AZ79,mortt,2,FALSE))</f>
        <v>#N/A</v>
      </c>
      <c r="BI79" s="289" t="e">
        <f>BI78*(1-VLOOKUP(AZ79,boc_trpr_bc,11,TRUE)*boc_rr_bc_lov-VLOOKUP(AZ79,boc_trpr_oc,11,TRUE)*boc_rr_oc_lov-VLOOKUP(AZ79,mortt,2,FALSE))</f>
        <v>#N/A</v>
      </c>
      <c r="BJ79" s="260" t="e">
        <f>BJ78*(1-VLOOKUP(AZ79,boc_trpr_bc,11,TRUE)*boc_rr_bc_np-VLOOKUP(AZ79,boc_trpr_oc,11,TRUE)*boc_rr_oc_np-VLOOKUP(AZ79,mortt,2,FALSE))</f>
        <v>#N/A</v>
      </c>
      <c r="BK79" s="260" t="e">
        <f>BA78*VLOOKUP(AZ79,boc_trpr_bc,11,TRUE)*boc_rr_bc_mast+BB78*VLOOKUP(AZ79,boc_trpr_bc,11,TRUE)*boc_rr_bc_ooph+BC78*VLOOKUP(AZ79,boc_trpr_bc,11,TRUE)*boc_rr_bc_both+BD78*VLOOKUP(AZ79,boc_trpr_bc,11,TRUE)*boc_rr_bc_hip+BE78*VLOOKUP(AZ79,boc_trpr_bc,11,TRUE)*boc_rr_bc_hiv+BF78*VLOOKUP(AZ79,boc_trpr_bc,11,TRUE)*boc_rr_bc_modp+BG78*VLOOKUP(AZ79,boc_trpr_bc,11,TRUE)*boc_rr_bc_modv+BH78*VLOOKUP(AZ79,boc_trpr_bc,11,TRUE)*boc_rr_bc_lop+BI78*VLOOKUP(AZ79,boc_trpr_bc,11,TRUE)*boc_rr_bc_lov+BJ78*VLOOKUP(AZ79,boc_trpr_bc,11,TRUE)*boc_rr_bc_np</f>
        <v>#N/A</v>
      </c>
      <c r="BL79" s="260" t="e">
        <f>BA78*VLOOKUP(AZ79,boc_trpr_oc,11,TRUE)*boc_rr_oc_mast+BB78*VLOOKUP(AZ79,boc_trpr_oc,11,TRUE)*boc_rr_oc_ooph+BC78*VLOOKUP(AZ79,boc_trpr_oc,11,TRUE)*boc_rr_oc_both+BD78*VLOOKUP(AZ79,boc_trpr_oc,11,TRUE)*boc_rr_oc_hip+BE78*VLOOKUP(AZ79,boc_trpr_oc,11,TRUE)*boc_rr_oc_hiv+BF78*VLOOKUP(AZ79,boc_trpr_oc,11,TRUE)*boc_rr_oc_modp+BG78*VLOOKUP(AZ79,boc_trpr_oc,11,TRUE)*boc_rr_oc_modv+BH78*VLOOKUP(AZ79,boc_trpr_oc,11,TRUE)*boc_rr_oc_lop+BI78*VLOOKUP(AZ79,boc_trpr_oc,11,TRUE)*boc_rr_oc_lov+BJ78*VLOOKUP(AZ79,boc_trpr_oc,11,TRUE)*boc_rr_oc_np</f>
        <v>#N/A</v>
      </c>
      <c r="BM79" s="260" t="e">
        <f>BK78*(1-VLOOKUP(AZ79,boc_trpr_bc_death,20,TRUE))+BL78*(1-VLOOKUP(AZ79,boc_trpr_oc_death,20,TRUE))+BM78*(1-VLOOKUP(AZ79,mortt,2,FALSE)*boc_rr_death_pc)</f>
        <v>#N/A</v>
      </c>
      <c r="BN79" s="260" t="e">
        <f>BN78+SUM(BA78:BJ78)*VLOOKUP(AZ79,mortt,2,FALSE)+BK78*VLOOKUP(AZ79,boc_trpr_bc_death,20,TRUE)+BL78*VLOOKUP(AZ79,boc_trpr_bc_death,20,TRUE)+BM78*VLOOKUP(AZ79,mortt,2,FALSE)*boc_rr_death_pc</f>
        <v>#N/A</v>
      </c>
      <c r="BO79" s="260" t="e">
        <f t="shared" si="41"/>
        <v>#N/A</v>
      </c>
      <c r="BP79" s="118" t="e">
        <f>(boc_cost_mast*SUM(BD79,BF79,BH79)*(boc_tr_mast_path+boc_tr_both_path)+SUM(BE79,BG79,BI79)*(boc_tr_mast_vus+boc_tr_both_vus)+BK79*boc_cost_bc+BL79*boc_cost_oc+BM79*boc_cost_pc+(BK79*VLOOKUP(AZ79,boc_trpr_bc_death,20,TRUE)+BL79*VLOOKUP(AZ79,boc_trpr_oc_death,TRUE)*boc_cost_death))/((1+discount)^AY79)</f>
        <v>#N/A</v>
      </c>
      <c r="BQ79" s="35" t="e">
        <f t="shared" si="65"/>
        <v>#N/A</v>
      </c>
      <c r="BR79" s="35" t="e">
        <f t="shared" si="66"/>
        <v>#N/A</v>
      </c>
      <c r="BS79" s="35"/>
      <c r="BU79" s="33">
        <v>14</v>
      </c>
      <c r="BV79" t="str">
        <f>$M$127</f>
        <v>boc_util_pc</v>
      </c>
      <c r="BW79" s="35">
        <f>$F$127</f>
        <v>0.8</v>
      </c>
      <c r="BX79" s="35">
        <f>$G$127</f>
        <v>0.9</v>
      </c>
      <c r="BY79" s="311">
        <v>-7.5531978571930267</v>
      </c>
      <c r="BZ79" s="311">
        <v>-7.5531978571930267</v>
      </c>
      <c r="CA79" s="311">
        <f t="shared" si="57"/>
        <v>0</v>
      </c>
      <c r="CD79" s="138">
        <v>74</v>
      </c>
      <c r="CE79" s="291">
        <v>2.2372E-2</v>
      </c>
    </row>
    <row r="80" spans="2:83" ht="15" customHeight="1" x14ac:dyDescent="0.2">
      <c r="B80" s="19" t="s">
        <v>225</v>
      </c>
      <c r="C80" s="35">
        <f t="shared" ref="C80:C85" si="69">IF(psa,J80,IF(owsa_low=L80,F80,IF(owsa_high=L80,G80,IF(ISNUMBER(D80),D80,E80))))</f>
        <v>0.25</v>
      </c>
      <c r="D80" s="158"/>
      <c r="E80" s="12">
        <v>0.25</v>
      </c>
      <c r="F80" s="35">
        <f t="shared" ref="F80:F85" si="70">IF(ISNUMBER(D80),D80,E80)*(1-owsa_boc)</f>
        <v>0.2</v>
      </c>
      <c r="G80" s="35">
        <f t="shared" ref="G80:G85" si="71">MIN(1,IF(ISNUMBER(D80),D80,E80)*(1+owsa_boc))</f>
        <v>0.3</v>
      </c>
      <c r="H80" s="48">
        <f t="shared" ref="H80:H85" si="72">IF(ISNUMBER(D80),D80,E80)^2*(1-IF(ISNUMBER(D80),D80,E80))/((G80-F80)/(2*z))^2-IF(ISNUMBER(D80),D80,E80)</f>
        <v>71.777352888014846</v>
      </c>
      <c r="I80" s="48">
        <f t="shared" ref="I80:I85" si="73">(IF(ISNUMBER(D80),D80,E80)^2*(1-IF(ISNUMBER(D80),D80,E80))/((G80-F80)/(2*z))^2-IF(ISNUMBER(D80),D80,E80))*(1-IF(ISNUMBER(D80),D80,E80))/IF(ISNUMBER(D80),D80,E80)</f>
        <v>215.33205866404455</v>
      </c>
      <c r="J80" s="35">
        <f t="shared" ref="J80:J85" ca="1" si="74">_xlfn.BETA.INV(RAND(),H80,I80)</f>
        <v>0.23635272982275546</v>
      </c>
      <c r="K80" s="12" t="s">
        <v>71</v>
      </c>
      <c r="L80" s="40">
        <v>23</v>
      </c>
      <c r="M80" s="247" t="s">
        <v>240</v>
      </c>
      <c r="N80" s="39" t="s">
        <v>48</v>
      </c>
      <c r="Q80" s="11"/>
      <c r="S80" s="11"/>
      <c r="U80" s="9" t="s">
        <v>9</v>
      </c>
      <c r="V80" s="250">
        <f>1-SUM(V77,V78,V79)</f>
        <v>0.97</v>
      </c>
      <c r="AA80" s="261">
        <f>R78*T78*V80</f>
        <v>1.3115822546682483E-2</v>
      </c>
      <c r="AD80" s="12">
        <v>74</v>
      </c>
      <c r="AE80" s="12">
        <f t="shared" si="61"/>
        <v>119</v>
      </c>
      <c r="AF80" s="260" t="e">
        <f>AF79*(1-VLOOKUP(AE80,boc_trpr_bc,11,TRUE)*boc_rr_bc_mast-VLOOKUP(AE80,boc_trpr_oc,11,TRUE)*boc_rr_oc_mast-VLOOKUP(AE80,mortt,2,FALSE))+SUM(AI79,AK79,AM79)*boc_tr_mast_path+SUM(AJ79,AL79,AN79)*boc_tr_mast_vus</f>
        <v>#N/A</v>
      </c>
      <c r="AG80" s="260" t="e">
        <f>AG79*(1-VLOOKUP(AE80,boc_trpr_bc,11,TRUE)*boc_rr_bc_ooph-VLOOKUP(AE80,boc_trpr_oc,11,TRUE)*boc_rr_oc_ooph-VLOOKUP(AE80,mortt,2,FALSE))+SUM(AI79,AK79,AM79)*boc_tr_ooph_path+SUM(AJ79,AL79,AN79)*boc_tr_ooph_vus</f>
        <v>#N/A</v>
      </c>
      <c r="AH80" s="260" t="e">
        <f>AH79*(1-VLOOKUP(AE80,boc_trpr_bc,11,TRUE)*boc_rr_bc_both-VLOOKUP(AE80,boc_trpr_oc,11,TRUE)*boc_rr_oc_both-VLOOKUP(AE80,mortt,2,FALSE))+SUM(AI79,AK79,AM79)*boc_tr_both_path+SUM(AJ79,AL79,AN79)*boc_tr_both_vus</f>
        <v>#N/A</v>
      </c>
      <c r="AI80" s="289" t="e">
        <f>AI79*(1-VLOOKUP(AE80,boc_trpr_bc,11,TRUE)*boc_rr_bc_hip-VLOOKUP(AE80,boc_trpr_oc,11,TRUE)*boc_rr_oc_hip-boc_tr_mast_path-boc_tr_ooph_path-boc_tr_both_path-VLOOKUP(AE80,mortt,2,FALSE))</f>
        <v>#N/A</v>
      </c>
      <c r="AJ80" s="289" t="e">
        <f>AJ79*(1-VLOOKUP(AE80,boc_trpr_bc,11,TRUE)*boc_rr_bc_hiv-VLOOKUP(AE80,boc_trpr_oc,11,TRUE)*boc_rr_oc_hiv-boc_tr_mast_vus-boc_tr_ooph_vus-boc_tr_both_vus-VLOOKUP(AE80,mortt,2,FALSE))</f>
        <v>#N/A</v>
      </c>
      <c r="AK80" s="289" t="e">
        <f>AK79*(1-VLOOKUP(AE80,boc_trpr_bc,11,TRUE)*boc_rr_bc_modp-VLOOKUP(AE80,boc_trpr_oc,11,TRUE)*boc_rr_oc_modp-boc_tr_mast_path-boc_tr_ooph_path-boc_tr_both_path-VLOOKUP(AE80,mortt,2,FALSE))</f>
        <v>#N/A</v>
      </c>
      <c r="AL80" s="289" t="e">
        <f>AL79*(1-VLOOKUP(AE80,boc_trpr_bc,11,TRUE)*boc_rr_bc_modv-VLOOKUP(AE80,boc_trpr_oc,11,TRUE)*boc_rr_oc_modv-boc_tr_mast_vus-boc_tr_ooph_vus-boc_tr_both_vus-VLOOKUP(AE80,mortt,2,FALSE))</f>
        <v>#N/A</v>
      </c>
      <c r="AM80" s="289" t="e">
        <f>AM79*(1-VLOOKUP(AE80,boc_trpr_bc,11,TRUE)*boc_rr_bc_lop-VLOOKUP(AE80,boc_trpr_oc,11,TRUE)*boc_rr_oc_lop-boc_tr_mast_path-boc_tr_ooph_path-boc_tr_both_path-VLOOKUP(AE80,mortt,2,FALSE))</f>
        <v>#N/A</v>
      </c>
      <c r="AN80" s="289" t="e">
        <f>AN79*(1-VLOOKUP(AE80,boc_trpr_bc,11,TRUE)*boc_rr_bc_lov-VLOOKUP(AE80,boc_trpr_oc,11,TRUE)*boc_rr_oc_lov-boc_tr_mast_vus-boc_tr_ooph_vus-boc_tr_both_vus-VLOOKUP(AE80,mortt,2,FALSE))</f>
        <v>#N/A</v>
      </c>
      <c r="AO80" s="260" t="e">
        <f>AO79*(1-VLOOKUP(AE80,boc_trpr_bc,11,TRUE)*boc_rr_bc_np-VLOOKUP(AE80,boc_trpr_oc,11,TRUE)*boc_rr_oc_np-VLOOKUP(AE80,mortt,2,FALSE))</f>
        <v>#N/A</v>
      </c>
      <c r="AP80" s="260" t="e">
        <f>AF79*VLOOKUP(AE80,boc_trpr_bc,11,TRUE)*boc_rr_bc_mast+AG79*VLOOKUP(AE80,boc_trpr_bc,11,TRUE)*boc_rr_bc_ooph+AH79*VLOOKUP(AE80,boc_trpr_bc,11,TRUE)*boc_rr_bc_both+AI79*VLOOKUP(AE80,boc_trpr_bc,11,TRUE)*boc_rr_bc_hip+AJ79*VLOOKUP(AE80,boc_trpr_bc,11,TRUE)*boc_rr_bc_hiv+AK79*VLOOKUP(AE80,boc_trpr_bc,11,TRUE)*boc_rr_bc_modp+AL79*VLOOKUP(AE80,boc_trpr_bc,11,TRUE)*boc_rr_bc_modv+AM79*VLOOKUP(AE80,boc_trpr_bc,11,TRUE)*boc_rr_bc_lop+AN79*VLOOKUP(AE80,boc_trpr_bc,11,TRUE)*boc_rr_bc_lov+AO79*VLOOKUP(AE80,boc_trpr_bc,11,TRUE)*boc_rr_bc_np</f>
        <v>#N/A</v>
      </c>
      <c r="AQ80" s="260" t="e">
        <f>AF79*VLOOKUP(AE80,boc_trpr_oc,11,TRUE)*boc_rr_oc_mast+AG79*VLOOKUP(AE80,boc_trpr_oc,11,TRUE)*boc_rr_oc_ooph+AH79*VLOOKUP(AE80,boc_trpr_oc,11,TRUE)*boc_rr_oc_both+AI79*VLOOKUP(AE80,boc_trpr_oc,11,TRUE)*boc_rr_oc_hip+AJ79*VLOOKUP(AE80,boc_trpr_oc,11,TRUE)*boc_rr_oc_hiv+AK79*VLOOKUP(AE80,boc_trpr_oc,11,TRUE)*boc_rr_oc_modp+AL79*VLOOKUP(AE80,boc_trpr_oc,11,TRUE)*boc_rr_oc_modv+AM79*VLOOKUP(AE80,boc_trpr_oc,11,TRUE)*boc_rr_oc_lop+AN79*VLOOKUP(AE80,boc_trpr_oc,11,TRUE)*boc_rr_oc_lov+AO79*VLOOKUP(AE80,boc_trpr_oc,11,TRUE)*boc_rr_oc_np</f>
        <v>#N/A</v>
      </c>
      <c r="AR80" s="260" t="e">
        <f>AP79*(1-VLOOKUP(AE80,boc_trpr_bc_death,20,TRUE))+AQ79*(1-VLOOKUP(AE80,boc_trpr_oc_death,20,TRUE))+AR79*(1-VLOOKUP(AE80,mortt,2,FALSE)*boc_rr_death_pc)</f>
        <v>#N/A</v>
      </c>
      <c r="AS80" s="260" t="e">
        <f>AS79+SUM(AF79:AO79)*VLOOKUP(AE80,mortt,2,FALSE)+AP79*VLOOKUP(AE80,boc_trpr_bc_death,20,TRUE)+AQ79*VLOOKUP(AE80,boc_trpr_bc_death,20,TRUE)+AR79*VLOOKUP(AE80,mortt,2,FALSE)*boc_rr_death_pc</f>
        <v>#N/A</v>
      </c>
      <c r="AT80" s="260" t="e">
        <f t="shared" si="52"/>
        <v>#N/A</v>
      </c>
      <c r="AU80" s="118" t="e">
        <f>(boc_cost_mast*SUM(AI80,AK80,AM80)*(boc_tr_mast_path+boc_tr_both_path)+SUM(AJ80,AL80,AN80)*(boc_tr_mast_vus+boc_tr_both_vus)+AP80*boc_cost_bc+AQ80*boc_cost_oc+AR80*boc_cost_pc+(AP80*VLOOKUP(AE80,boc_trpr_bc_death,20,TRUE)+AQ80*VLOOKUP(AE80,boc_trpr_oc_death,TRUE)*boc_cost_death))/((1+discount)^AD80)</f>
        <v>#N/A</v>
      </c>
      <c r="AV80" s="35" t="e">
        <f t="shared" si="62"/>
        <v>#N/A</v>
      </c>
      <c r="AW80" s="35" t="e">
        <f t="shared" si="63"/>
        <v>#N/A</v>
      </c>
      <c r="AY80" s="12">
        <v>74</v>
      </c>
      <c r="AZ80" s="12">
        <f t="shared" si="64"/>
        <v>119</v>
      </c>
      <c r="BA80" s="260" t="e">
        <f>BA79*(1-VLOOKUP(AZ80,boc_trpr_bc,11,TRUE)*boc_rr_bc_mast-VLOOKUP(AZ80,boc_trpr_oc,11,TRUE)*boc_rr_oc_mast-VLOOKUP(AZ80,mortt,2,FALSE))</f>
        <v>#N/A</v>
      </c>
      <c r="BB80" s="260" t="e">
        <f>BB79*(1-VLOOKUP(AZ80,boc_trpr_bc,11,TRUE)*boc_rr_bc_ooph-VLOOKUP(AZ80,boc_trpr_oc,11,TRUE)*boc_rr_oc_ooph-VLOOKUP(AZ80,mortt,2,FALSE))</f>
        <v>#N/A</v>
      </c>
      <c r="BC80" s="260" t="e">
        <f>BC79*(1-VLOOKUP(AZ80,boc_trpr_bc,11,TRUE)*boc_rr_bc_both-VLOOKUP(AZ80,boc_trpr_oc,11,TRUE)*boc_rr_oc_both-VLOOKUP(AZ80,mortt,2,FALSE))</f>
        <v>#N/A</v>
      </c>
      <c r="BD80" s="289" t="e">
        <f>BD79*(1-VLOOKUP(AZ80,boc_trpr_bc,11,TRUE)*boc_rr_bc_hip-VLOOKUP(AZ80,boc_trpr_oc,11,TRUE)*boc_rr_oc_hip-VLOOKUP(AZ80,mortt,2,FALSE))</f>
        <v>#N/A</v>
      </c>
      <c r="BE80" s="289" t="e">
        <f>BE79*(1-VLOOKUP(AZ80,boc_trpr_bc,11,TRUE)*boc_rr_bc_hiv-VLOOKUP(AZ80,boc_trpr_oc,11,TRUE)*boc_rr_oc_hiv-VLOOKUP(AZ80,mortt,2,FALSE))</f>
        <v>#N/A</v>
      </c>
      <c r="BF80" s="289" t="e">
        <f>BF79*(1-VLOOKUP(AZ80,boc_trpr_bc,11,TRUE)*boc_rr_bc_modp-VLOOKUP(AZ80,boc_trpr_oc,11,TRUE)*boc_rr_oc_modp-VLOOKUP(AZ80,mortt,2,FALSE))</f>
        <v>#N/A</v>
      </c>
      <c r="BG80" s="289" t="e">
        <f>BG79*(1-VLOOKUP(AZ80,boc_trpr_bc,11,TRUE)*boc_rr_bc_modv-VLOOKUP(AZ80,boc_trpr_oc,11,TRUE)*boc_rr_oc_modv-VLOOKUP(AZ80,mortt,2,FALSE))</f>
        <v>#N/A</v>
      </c>
      <c r="BH80" s="289" t="e">
        <f>BH79*(1-VLOOKUP(AZ80,boc_trpr_bc,11,TRUE)*boc_rr_bc_lop-VLOOKUP(AZ80,boc_trpr_oc,11,TRUE)*boc_rr_oc_lop-VLOOKUP(AZ80,mortt,2,FALSE))</f>
        <v>#N/A</v>
      </c>
      <c r="BI80" s="289" t="e">
        <f>BI79*(1-VLOOKUP(AZ80,boc_trpr_bc,11,TRUE)*boc_rr_bc_lov-VLOOKUP(AZ80,boc_trpr_oc,11,TRUE)*boc_rr_oc_lov-VLOOKUP(AZ80,mortt,2,FALSE))</f>
        <v>#N/A</v>
      </c>
      <c r="BJ80" s="260" t="e">
        <f>BJ79*(1-VLOOKUP(AZ80,boc_trpr_bc,11,TRUE)*boc_rr_bc_np-VLOOKUP(AZ80,boc_trpr_oc,11,TRUE)*boc_rr_oc_np-VLOOKUP(AZ80,mortt,2,FALSE))</f>
        <v>#N/A</v>
      </c>
      <c r="BK80" s="260" t="e">
        <f>BA79*VLOOKUP(AZ80,boc_trpr_bc,11,TRUE)*boc_rr_bc_mast+BB79*VLOOKUP(AZ80,boc_trpr_bc,11,TRUE)*boc_rr_bc_ooph+BC79*VLOOKUP(AZ80,boc_trpr_bc,11,TRUE)*boc_rr_bc_both+BD79*VLOOKUP(AZ80,boc_trpr_bc,11,TRUE)*boc_rr_bc_hip+BE79*VLOOKUP(AZ80,boc_trpr_bc,11,TRUE)*boc_rr_bc_hiv+BF79*VLOOKUP(AZ80,boc_trpr_bc,11,TRUE)*boc_rr_bc_modp+BG79*VLOOKUP(AZ80,boc_trpr_bc,11,TRUE)*boc_rr_bc_modv+BH79*VLOOKUP(AZ80,boc_trpr_bc,11,TRUE)*boc_rr_bc_lop+BI79*VLOOKUP(AZ80,boc_trpr_bc,11,TRUE)*boc_rr_bc_lov+BJ79*VLOOKUP(AZ80,boc_trpr_bc,11,TRUE)*boc_rr_bc_np</f>
        <v>#N/A</v>
      </c>
      <c r="BL80" s="260" t="e">
        <f>BA79*VLOOKUP(AZ80,boc_trpr_oc,11,TRUE)*boc_rr_oc_mast+BB79*VLOOKUP(AZ80,boc_trpr_oc,11,TRUE)*boc_rr_oc_ooph+BC79*VLOOKUP(AZ80,boc_trpr_oc,11,TRUE)*boc_rr_oc_both+BD79*VLOOKUP(AZ80,boc_trpr_oc,11,TRUE)*boc_rr_oc_hip+BE79*VLOOKUP(AZ80,boc_trpr_oc,11,TRUE)*boc_rr_oc_hiv+BF79*VLOOKUP(AZ80,boc_trpr_oc,11,TRUE)*boc_rr_oc_modp+BG79*VLOOKUP(AZ80,boc_trpr_oc,11,TRUE)*boc_rr_oc_modv+BH79*VLOOKUP(AZ80,boc_trpr_oc,11,TRUE)*boc_rr_oc_lop+BI79*VLOOKUP(AZ80,boc_trpr_oc,11,TRUE)*boc_rr_oc_lov+BJ79*VLOOKUP(AZ80,boc_trpr_oc,11,TRUE)*boc_rr_oc_np</f>
        <v>#N/A</v>
      </c>
      <c r="BM80" s="260" t="e">
        <f>BK79*(1-VLOOKUP(AZ80,boc_trpr_bc_death,20,TRUE))+BL79*(1-VLOOKUP(AZ80,boc_trpr_oc_death,20,TRUE))+BM79*(1-VLOOKUP(AZ80,mortt,2,FALSE)*boc_rr_death_pc)</f>
        <v>#N/A</v>
      </c>
      <c r="BN80" s="260" t="e">
        <f>BN79+SUM(BA79:BJ79)*VLOOKUP(AZ80,mortt,2,FALSE)+BK79*VLOOKUP(AZ80,boc_trpr_bc_death,20,TRUE)+BL79*VLOOKUP(AZ80,boc_trpr_bc_death,20,TRUE)+BM79*VLOOKUP(AZ80,mortt,2,FALSE)*boc_rr_death_pc</f>
        <v>#N/A</v>
      </c>
      <c r="BO80" s="260" t="e">
        <f t="shared" si="41"/>
        <v>#N/A</v>
      </c>
      <c r="BP80" s="118" t="e">
        <f>(boc_cost_mast*SUM(BD80,BF80,BH80)*(boc_tr_mast_path+boc_tr_both_path)+SUM(BE80,BG80,BI80)*(boc_tr_mast_vus+boc_tr_both_vus)+BK80*boc_cost_bc+BL80*boc_cost_oc+BM80*boc_cost_pc+(BK80*VLOOKUP(AZ80,boc_trpr_bc_death,20,TRUE)+BL80*VLOOKUP(AZ80,boc_trpr_oc_death,TRUE)*boc_cost_death))/((1+discount)^AY80)</f>
        <v>#N/A</v>
      </c>
      <c r="BQ80" s="35" t="e">
        <f t="shared" si="65"/>
        <v>#N/A</v>
      </c>
      <c r="BR80" s="35" t="e">
        <f t="shared" si="66"/>
        <v>#N/A</v>
      </c>
      <c r="BS80" s="35"/>
      <c r="BU80" s="33">
        <v>52</v>
      </c>
      <c r="BV80" t="str">
        <f>$M$130</f>
        <v>boc_disutil_mast</v>
      </c>
      <c r="BW80" s="35">
        <f>$F$130</f>
        <v>4.0000000000000008E-2</v>
      </c>
      <c r="BX80" s="35">
        <f>$G$130</f>
        <v>0.06</v>
      </c>
      <c r="BY80" s="311">
        <v>-7.5531978571930267</v>
      </c>
      <c r="BZ80" s="311">
        <v>-7.5531978571930267</v>
      </c>
      <c r="CA80" s="311">
        <f t="shared" si="57"/>
        <v>0</v>
      </c>
      <c r="CD80" s="138">
        <v>75</v>
      </c>
      <c r="CE80" s="291">
        <v>2.4579E-2</v>
      </c>
    </row>
    <row r="81" spans="2:83" ht="15" customHeight="1" x14ac:dyDescent="0.2">
      <c r="B81" s="19" t="s">
        <v>226</v>
      </c>
      <c r="C81" s="35">
        <f t="shared" si="69"/>
        <v>0.25</v>
      </c>
      <c r="D81" s="158"/>
      <c r="E81" s="35">
        <v>0.25</v>
      </c>
      <c r="F81" s="35">
        <f t="shared" si="70"/>
        <v>0.2</v>
      </c>
      <c r="G81" s="35">
        <f t="shared" si="71"/>
        <v>0.3</v>
      </c>
      <c r="H81" s="48">
        <f t="shared" si="72"/>
        <v>71.777352888014846</v>
      </c>
      <c r="I81" s="48">
        <f t="shared" si="73"/>
        <v>215.33205866404455</v>
      </c>
      <c r="J81" s="35">
        <f t="shared" ca="1" si="74"/>
        <v>0.21881722728828884</v>
      </c>
      <c r="K81" s="12" t="s">
        <v>71</v>
      </c>
      <c r="L81" s="40">
        <v>24</v>
      </c>
      <c r="M81" s="247" t="s">
        <v>241</v>
      </c>
      <c r="N81" s="39" t="s">
        <v>48</v>
      </c>
      <c r="Q81" s="11"/>
      <c r="S81" s="11"/>
      <c r="AD81" s="12">
        <v>75</v>
      </c>
      <c r="AE81" s="12">
        <f t="shared" si="61"/>
        <v>120</v>
      </c>
      <c r="AF81" s="260" t="e">
        <f>AF80*(1-VLOOKUP(AE81,boc_trpr_bc,11,TRUE)*boc_rr_bc_mast-VLOOKUP(AE81,boc_trpr_oc,11,TRUE)*boc_rr_oc_mast-VLOOKUP(AE81,mortt,2,FALSE))+SUM(AI80,AK80,AM80)*boc_tr_mast_path+SUM(AJ80,AL80,AN80)*boc_tr_mast_vus</f>
        <v>#N/A</v>
      </c>
      <c r="AG81" s="260" t="e">
        <f>AG80*(1-VLOOKUP(AE81,boc_trpr_bc,11,TRUE)*boc_rr_bc_ooph-VLOOKUP(AE81,boc_trpr_oc,11,TRUE)*boc_rr_oc_ooph-VLOOKUP(AE81,mortt,2,FALSE))+SUM(AI80,AK80,AM80)*boc_tr_ooph_path+SUM(AJ80,AL80,AN80)*boc_tr_ooph_vus</f>
        <v>#N/A</v>
      </c>
      <c r="AH81" s="260" t="e">
        <f>AH80*(1-VLOOKUP(AE81,boc_trpr_bc,11,TRUE)*boc_rr_bc_both-VLOOKUP(AE81,boc_trpr_oc,11,TRUE)*boc_rr_oc_both-VLOOKUP(AE81,mortt,2,FALSE))+SUM(AI80,AK80,AM80)*boc_tr_both_path+SUM(AJ80,AL80,AN80)*boc_tr_both_vus</f>
        <v>#N/A</v>
      </c>
      <c r="AI81" s="289" t="e">
        <f>AI80*(1-VLOOKUP(AE81,boc_trpr_bc,11,TRUE)*boc_rr_bc_hip-VLOOKUP(AE81,boc_trpr_oc,11,TRUE)*boc_rr_oc_hip-boc_tr_mast_path-boc_tr_ooph_path-boc_tr_both_path-VLOOKUP(AE81,mortt,2,FALSE))</f>
        <v>#N/A</v>
      </c>
      <c r="AJ81" s="289" t="e">
        <f>AJ80*(1-VLOOKUP(AE81,boc_trpr_bc,11,TRUE)*boc_rr_bc_hiv-VLOOKUP(AE81,boc_trpr_oc,11,TRUE)*boc_rr_oc_hiv-boc_tr_mast_vus-boc_tr_ooph_vus-boc_tr_both_vus-VLOOKUP(AE81,mortt,2,FALSE))</f>
        <v>#N/A</v>
      </c>
      <c r="AK81" s="289" t="e">
        <f>AK80*(1-VLOOKUP(AE81,boc_trpr_bc,11,TRUE)*boc_rr_bc_modp-VLOOKUP(AE81,boc_trpr_oc,11,TRUE)*boc_rr_oc_modp-boc_tr_mast_path-boc_tr_ooph_path-boc_tr_both_path-VLOOKUP(AE81,mortt,2,FALSE))</f>
        <v>#N/A</v>
      </c>
      <c r="AL81" s="289" t="e">
        <f>AL80*(1-VLOOKUP(AE81,boc_trpr_bc,11,TRUE)*boc_rr_bc_modv-VLOOKUP(AE81,boc_trpr_oc,11,TRUE)*boc_rr_oc_modv-boc_tr_mast_vus-boc_tr_ooph_vus-boc_tr_both_vus-VLOOKUP(AE81,mortt,2,FALSE))</f>
        <v>#N/A</v>
      </c>
      <c r="AM81" s="289" t="e">
        <f>AM80*(1-VLOOKUP(AE81,boc_trpr_bc,11,TRUE)*boc_rr_bc_lop-VLOOKUP(AE81,boc_trpr_oc,11,TRUE)*boc_rr_oc_lop-boc_tr_mast_path-boc_tr_ooph_path-boc_tr_both_path-VLOOKUP(AE81,mortt,2,FALSE))</f>
        <v>#N/A</v>
      </c>
      <c r="AN81" s="289" t="e">
        <f>AN80*(1-VLOOKUP(AE81,boc_trpr_bc,11,TRUE)*boc_rr_bc_lov-VLOOKUP(AE81,boc_trpr_oc,11,TRUE)*boc_rr_oc_lov-boc_tr_mast_vus-boc_tr_ooph_vus-boc_tr_both_vus-VLOOKUP(AE81,mortt,2,FALSE))</f>
        <v>#N/A</v>
      </c>
      <c r="AO81" s="260" t="e">
        <f>AO80*(1-VLOOKUP(AE81,boc_trpr_bc,11,TRUE)*boc_rr_bc_np-VLOOKUP(AE81,boc_trpr_oc,11,TRUE)*boc_rr_oc_np-VLOOKUP(AE81,mortt,2,FALSE))</f>
        <v>#N/A</v>
      </c>
      <c r="AP81" s="260" t="e">
        <f>AF80*VLOOKUP(AE81,boc_trpr_bc,11,TRUE)*boc_rr_bc_mast+AG80*VLOOKUP(AE81,boc_trpr_bc,11,TRUE)*boc_rr_bc_ooph+AH80*VLOOKUP(AE81,boc_trpr_bc,11,TRUE)*boc_rr_bc_both+AI80*VLOOKUP(AE81,boc_trpr_bc,11,TRUE)*boc_rr_bc_hip+AJ80*VLOOKUP(AE81,boc_trpr_bc,11,TRUE)*boc_rr_bc_hiv+AK80*VLOOKUP(AE81,boc_trpr_bc,11,TRUE)*boc_rr_bc_modp+AL80*VLOOKUP(AE81,boc_trpr_bc,11,TRUE)*boc_rr_bc_modv+AM80*VLOOKUP(AE81,boc_trpr_bc,11,TRUE)*boc_rr_bc_lop+AN80*VLOOKUP(AE81,boc_trpr_bc,11,TRUE)*boc_rr_bc_lov+AO80*VLOOKUP(AE81,boc_trpr_bc,11,TRUE)*boc_rr_bc_np</f>
        <v>#N/A</v>
      </c>
      <c r="AQ81" s="260" t="e">
        <f>AF80*VLOOKUP(AE81,boc_trpr_oc,11,TRUE)*boc_rr_oc_mast+AG80*VLOOKUP(AE81,boc_trpr_oc,11,TRUE)*boc_rr_oc_ooph+AH80*VLOOKUP(AE81,boc_trpr_oc,11,TRUE)*boc_rr_oc_both+AI80*VLOOKUP(AE81,boc_trpr_oc,11,TRUE)*boc_rr_oc_hip+AJ80*VLOOKUP(AE81,boc_trpr_oc,11,TRUE)*boc_rr_oc_hiv+AK80*VLOOKUP(AE81,boc_trpr_oc,11,TRUE)*boc_rr_oc_modp+AL80*VLOOKUP(AE81,boc_trpr_oc,11,TRUE)*boc_rr_oc_modv+AM80*VLOOKUP(AE81,boc_trpr_oc,11,TRUE)*boc_rr_oc_lop+AN80*VLOOKUP(AE81,boc_trpr_oc,11,TRUE)*boc_rr_oc_lov+AO80*VLOOKUP(AE81,boc_trpr_oc,11,TRUE)*boc_rr_oc_np</f>
        <v>#N/A</v>
      </c>
      <c r="AR81" s="260" t="e">
        <f>AP80*(1-VLOOKUP(AE81,boc_trpr_bc_death,20,TRUE))+AQ80*(1-VLOOKUP(AE81,boc_trpr_oc_death,20,TRUE))+AR80*(1-VLOOKUP(AE81,mortt,2,FALSE)*boc_rr_death_pc)</f>
        <v>#N/A</v>
      </c>
      <c r="AS81" s="260" t="e">
        <f>AS80+SUM(AF80:AO80)*VLOOKUP(AE81,mortt,2,FALSE)+AP80*VLOOKUP(AE81,boc_trpr_bc_death,20,TRUE)+AQ80*VLOOKUP(AE81,boc_trpr_bc_death,20,TRUE)+AR80*VLOOKUP(AE81,mortt,2,FALSE)*boc_rr_death_pc</f>
        <v>#N/A</v>
      </c>
      <c r="AT81" s="260" t="e">
        <f t="shared" si="52"/>
        <v>#N/A</v>
      </c>
      <c r="AU81" s="118" t="e">
        <f>(boc_cost_mast*SUM(AI81,AK81,AM81)*(boc_tr_mast_path+boc_tr_both_path)+SUM(AJ81,AL81,AN81)*(boc_tr_mast_vus+boc_tr_both_vus)+AP81*boc_cost_bc+AQ81*boc_cost_oc+AR81*boc_cost_pc+(AP81*VLOOKUP(AE81,boc_trpr_bc_death,20,TRUE)+AQ81*VLOOKUP(AE81,boc_trpr_oc_death,TRUE)*boc_cost_death))/((1+discount)^AD81)</f>
        <v>#N/A</v>
      </c>
      <c r="AV81" s="35" t="e">
        <f t="shared" si="62"/>
        <v>#N/A</v>
      </c>
      <c r="AW81" s="35" t="e">
        <f t="shared" si="63"/>
        <v>#N/A</v>
      </c>
      <c r="AY81" s="12">
        <v>75</v>
      </c>
      <c r="AZ81" s="12">
        <f t="shared" si="64"/>
        <v>120</v>
      </c>
      <c r="BA81" s="260" t="e">
        <f>BA80*(1-VLOOKUP(AZ81,boc_trpr_bc,11,TRUE)*boc_rr_bc_mast-VLOOKUP(AZ81,boc_trpr_oc,11,TRUE)*boc_rr_oc_mast-VLOOKUP(AZ81,mortt,2,FALSE))</f>
        <v>#N/A</v>
      </c>
      <c r="BB81" s="260" t="e">
        <f>BB80*(1-VLOOKUP(AZ81,boc_trpr_bc,11,TRUE)*boc_rr_bc_ooph-VLOOKUP(AZ81,boc_trpr_oc,11,TRUE)*boc_rr_oc_ooph-VLOOKUP(AZ81,mortt,2,FALSE))</f>
        <v>#N/A</v>
      </c>
      <c r="BC81" s="260" t="e">
        <f>BC80*(1-VLOOKUP(AZ81,boc_trpr_bc,11,TRUE)*boc_rr_bc_both-VLOOKUP(AZ81,boc_trpr_oc,11,TRUE)*boc_rr_oc_both-VLOOKUP(AZ81,mortt,2,FALSE))</f>
        <v>#N/A</v>
      </c>
      <c r="BD81" s="289" t="e">
        <f>BD80*(1-VLOOKUP(AZ81,boc_trpr_bc,11,TRUE)*boc_rr_bc_hip-VLOOKUP(AZ81,boc_trpr_oc,11,TRUE)*boc_rr_oc_hip-VLOOKUP(AZ81,mortt,2,FALSE))</f>
        <v>#N/A</v>
      </c>
      <c r="BE81" s="289" t="e">
        <f>BE80*(1-VLOOKUP(AZ81,boc_trpr_bc,11,TRUE)*boc_rr_bc_hiv-VLOOKUP(AZ81,boc_trpr_oc,11,TRUE)*boc_rr_oc_hiv-VLOOKUP(AZ81,mortt,2,FALSE))</f>
        <v>#N/A</v>
      </c>
      <c r="BF81" s="289" t="e">
        <f>BF80*(1-VLOOKUP(AZ81,boc_trpr_bc,11,TRUE)*boc_rr_bc_modp-VLOOKUP(AZ81,boc_trpr_oc,11,TRUE)*boc_rr_oc_modp-VLOOKUP(AZ81,mortt,2,FALSE))</f>
        <v>#N/A</v>
      </c>
      <c r="BG81" s="289" t="e">
        <f>BG80*(1-VLOOKUP(AZ81,boc_trpr_bc,11,TRUE)*boc_rr_bc_modv-VLOOKUP(AZ81,boc_trpr_oc,11,TRUE)*boc_rr_oc_modv-VLOOKUP(AZ81,mortt,2,FALSE))</f>
        <v>#N/A</v>
      </c>
      <c r="BH81" s="289" t="e">
        <f>BH80*(1-VLOOKUP(AZ81,boc_trpr_bc,11,TRUE)*boc_rr_bc_lop-VLOOKUP(AZ81,boc_trpr_oc,11,TRUE)*boc_rr_oc_lop-VLOOKUP(AZ81,mortt,2,FALSE))</f>
        <v>#N/A</v>
      </c>
      <c r="BI81" s="289" t="e">
        <f>BI80*(1-VLOOKUP(AZ81,boc_trpr_bc,11,TRUE)*boc_rr_bc_lov-VLOOKUP(AZ81,boc_trpr_oc,11,TRUE)*boc_rr_oc_lov-VLOOKUP(AZ81,mortt,2,FALSE))</f>
        <v>#N/A</v>
      </c>
      <c r="BJ81" s="260" t="e">
        <f>BJ80*(1-VLOOKUP(AZ81,boc_trpr_bc,11,TRUE)*boc_rr_bc_np-VLOOKUP(AZ81,boc_trpr_oc,11,TRUE)*boc_rr_oc_np-VLOOKUP(AZ81,mortt,2,FALSE))</f>
        <v>#N/A</v>
      </c>
      <c r="BK81" s="260" t="e">
        <f>BA80*VLOOKUP(AZ81,boc_trpr_bc,11,TRUE)*boc_rr_bc_mast+BB80*VLOOKUP(AZ81,boc_trpr_bc,11,TRUE)*boc_rr_bc_ooph+BC80*VLOOKUP(AZ81,boc_trpr_bc,11,TRUE)*boc_rr_bc_both+BD80*VLOOKUP(AZ81,boc_trpr_bc,11,TRUE)*boc_rr_bc_hip+BE80*VLOOKUP(AZ81,boc_trpr_bc,11,TRUE)*boc_rr_bc_hiv+BF80*VLOOKUP(AZ81,boc_trpr_bc,11,TRUE)*boc_rr_bc_modp+BG80*VLOOKUP(AZ81,boc_trpr_bc,11,TRUE)*boc_rr_bc_modv+BH80*VLOOKUP(AZ81,boc_trpr_bc,11,TRUE)*boc_rr_bc_lop+BI80*VLOOKUP(AZ81,boc_trpr_bc,11,TRUE)*boc_rr_bc_lov+BJ80*VLOOKUP(AZ81,boc_trpr_bc,11,TRUE)*boc_rr_bc_np</f>
        <v>#N/A</v>
      </c>
      <c r="BL81" s="260" t="e">
        <f>BA80*VLOOKUP(AZ81,boc_trpr_oc,11,TRUE)*boc_rr_oc_mast+BB80*VLOOKUP(AZ81,boc_trpr_oc,11,TRUE)*boc_rr_oc_ooph+BC80*VLOOKUP(AZ81,boc_trpr_oc,11,TRUE)*boc_rr_oc_both+BD80*VLOOKUP(AZ81,boc_trpr_oc,11,TRUE)*boc_rr_oc_hip+BE80*VLOOKUP(AZ81,boc_trpr_oc,11,TRUE)*boc_rr_oc_hiv+BF80*VLOOKUP(AZ81,boc_trpr_oc,11,TRUE)*boc_rr_oc_modp+BG80*VLOOKUP(AZ81,boc_trpr_oc,11,TRUE)*boc_rr_oc_modv+BH80*VLOOKUP(AZ81,boc_trpr_oc,11,TRUE)*boc_rr_oc_lop+BI80*VLOOKUP(AZ81,boc_trpr_oc,11,TRUE)*boc_rr_oc_lov+BJ80*VLOOKUP(AZ81,boc_trpr_oc,11,TRUE)*boc_rr_oc_np</f>
        <v>#N/A</v>
      </c>
      <c r="BM81" s="260" t="e">
        <f>BK80*(1-VLOOKUP(AZ81,boc_trpr_bc_death,20,TRUE))+BL80*(1-VLOOKUP(AZ81,boc_trpr_oc_death,20,TRUE))+BM80*(1-VLOOKUP(AZ81,mortt,2,FALSE)*boc_rr_death_pc)</f>
        <v>#N/A</v>
      </c>
      <c r="BN81" s="260" t="e">
        <f>BN80+SUM(BA80:BJ80)*VLOOKUP(AZ81,mortt,2,FALSE)+BK80*VLOOKUP(AZ81,boc_trpr_bc_death,20,TRUE)+BL80*VLOOKUP(AZ81,boc_trpr_bc_death,20,TRUE)+BM80*VLOOKUP(AZ81,mortt,2,FALSE)*boc_rr_death_pc</f>
        <v>#N/A</v>
      </c>
      <c r="BO81" s="260" t="e">
        <f t="shared" si="41"/>
        <v>#N/A</v>
      </c>
      <c r="BP81" s="118" t="e">
        <f>(boc_cost_mast*SUM(BD81,BF81,BH81)*(boc_tr_mast_path+boc_tr_both_path)+SUM(BE81,BG81,BI81)*(boc_tr_mast_vus+boc_tr_both_vus)+BK81*boc_cost_bc+BL81*boc_cost_oc+BM81*boc_cost_pc+(BK81*VLOOKUP(AZ81,boc_trpr_bc_death,20,TRUE)+BL81*VLOOKUP(AZ81,boc_trpr_oc_death,TRUE)*boc_cost_death))/((1+discount)^AY81)</f>
        <v>#N/A</v>
      </c>
      <c r="BQ81" s="35" t="e">
        <f t="shared" si="65"/>
        <v>#N/A</v>
      </c>
      <c r="BR81" s="35" t="e">
        <f t="shared" si="66"/>
        <v>#N/A</v>
      </c>
      <c r="BS81" s="35"/>
      <c r="BU81" s="33">
        <v>53</v>
      </c>
      <c r="BV81" t="str">
        <f>$M$131</f>
        <v>boc_disutil_ooph</v>
      </c>
      <c r="BW81" s="35">
        <f>$F$131</f>
        <v>4.0000000000000008E-2</v>
      </c>
      <c r="BX81" s="35">
        <f>$G$131</f>
        <v>0.06</v>
      </c>
      <c r="BY81" s="311">
        <v>-7.5531978571930267</v>
      </c>
      <c r="BZ81" s="311">
        <v>-7.5531978571930267</v>
      </c>
      <c r="CA81" s="311">
        <f t="shared" si="57"/>
        <v>0</v>
      </c>
      <c r="CD81" s="138">
        <v>76</v>
      </c>
      <c r="CE81" s="291">
        <v>2.7147000000000001E-2</v>
      </c>
    </row>
    <row r="82" spans="2:83" ht="15" customHeight="1" x14ac:dyDescent="0.2">
      <c r="B82" s="19" t="s">
        <v>227</v>
      </c>
      <c r="C82" s="35">
        <f t="shared" si="69"/>
        <v>0.25</v>
      </c>
      <c r="D82" s="158"/>
      <c r="E82" s="12">
        <v>0.25</v>
      </c>
      <c r="F82" s="35">
        <f t="shared" si="70"/>
        <v>0.2</v>
      </c>
      <c r="G82" s="35">
        <f t="shared" si="71"/>
        <v>0.3</v>
      </c>
      <c r="H82" s="48">
        <f t="shared" si="72"/>
        <v>71.777352888014846</v>
      </c>
      <c r="I82" s="48">
        <f t="shared" si="73"/>
        <v>215.33205866404455</v>
      </c>
      <c r="J82" s="35">
        <f t="shared" ca="1" si="74"/>
        <v>0.28018061533353833</v>
      </c>
      <c r="K82" s="12" t="s">
        <v>71</v>
      </c>
      <c r="L82" s="40">
        <v>25</v>
      </c>
      <c r="M82" s="247" t="s">
        <v>242</v>
      </c>
      <c r="N82" s="39" t="s">
        <v>48</v>
      </c>
      <c r="Q82" s="11"/>
      <c r="S82" s="11"/>
      <c r="U82" s="9" t="s">
        <v>7</v>
      </c>
      <c r="V82" s="250">
        <f>boc_unk_int_mast</f>
        <v>0.01</v>
      </c>
      <c r="X82" s="261">
        <f>R78*T83*V82</f>
        <v>3.1649268080929076E-4</v>
      </c>
      <c r="AD82" s="12">
        <v>76</v>
      </c>
      <c r="AE82" s="12">
        <f t="shared" si="61"/>
        <v>121</v>
      </c>
      <c r="AF82" s="260" t="e">
        <f>AF81*(1-VLOOKUP(AE82,boc_trpr_bc,11,TRUE)*boc_rr_bc_mast-VLOOKUP(AE82,boc_trpr_oc,11,TRUE)*boc_rr_oc_mast-VLOOKUP(AE82,mortt,2,FALSE))+SUM(AI81,AK81,AM81)*boc_tr_mast_path+SUM(AJ81,AL81,AN81)*boc_tr_mast_vus</f>
        <v>#N/A</v>
      </c>
      <c r="AG82" s="260" t="e">
        <f>AG81*(1-VLOOKUP(AE82,boc_trpr_bc,11,TRUE)*boc_rr_bc_ooph-VLOOKUP(AE82,boc_trpr_oc,11,TRUE)*boc_rr_oc_ooph-VLOOKUP(AE82,mortt,2,FALSE))+SUM(AI81,AK81,AM81)*boc_tr_ooph_path+SUM(AJ81,AL81,AN81)*boc_tr_ooph_vus</f>
        <v>#N/A</v>
      </c>
      <c r="AH82" s="260" t="e">
        <f>AH81*(1-VLOOKUP(AE82,boc_trpr_bc,11,TRUE)*boc_rr_bc_both-VLOOKUP(AE82,boc_trpr_oc,11,TRUE)*boc_rr_oc_both-VLOOKUP(AE82,mortt,2,FALSE))+SUM(AI81,AK81,AM81)*boc_tr_both_path+SUM(AJ81,AL81,AN81)*boc_tr_both_vus</f>
        <v>#N/A</v>
      </c>
      <c r="AI82" s="289" t="e">
        <f>AI81*(1-VLOOKUP(AE82,boc_trpr_bc,11,TRUE)*boc_rr_bc_hip-VLOOKUP(AE82,boc_trpr_oc,11,TRUE)*boc_rr_oc_hip-boc_tr_mast_path-boc_tr_ooph_path-boc_tr_both_path-VLOOKUP(AE82,mortt,2,FALSE))</f>
        <v>#N/A</v>
      </c>
      <c r="AJ82" s="289" t="e">
        <f>AJ81*(1-VLOOKUP(AE82,boc_trpr_bc,11,TRUE)*boc_rr_bc_hiv-VLOOKUP(AE82,boc_trpr_oc,11,TRUE)*boc_rr_oc_hiv-boc_tr_mast_vus-boc_tr_ooph_vus-boc_tr_both_vus-VLOOKUP(AE82,mortt,2,FALSE))</f>
        <v>#N/A</v>
      </c>
      <c r="AK82" s="289" t="e">
        <f>AK81*(1-VLOOKUP(AE82,boc_trpr_bc,11,TRUE)*boc_rr_bc_modp-VLOOKUP(AE82,boc_trpr_oc,11,TRUE)*boc_rr_oc_modp-boc_tr_mast_path-boc_tr_ooph_path-boc_tr_both_path-VLOOKUP(AE82,mortt,2,FALSE))</f>
        <v>#N/A</v>
      </c>
      <c r="AL82" s="289" t="e">
        <f>AL81*(1-VLOOKUP(AE82,boc_trpr_bc,11,TRUE)*boc_rr_bc_modv-VLOOKUP(AE82,boc_trpr_oc,11,TRUE)*boc_rr_oc_modv-boc_tr_mast_vus-boc_tr_ooph_vus-boc_tr_both_vus-VLOOKUP(AE82,mortt,2,FALSE))</f>
        <v>#N/A</v>
      </c>
      <c r="AM82" s="289" t="e">
        <f>AM81*(1-VLOOKUP(AE82,boc_trpr_bc,11,TRUE)*boc_rr_bc_lop-VLOOKUP(AE82,boc_trpr_oc,11,TRUE)*boc_rr_oc_lop-boc_tr_mast_path-boc_tr_ooph_path-boc_tr_both_path-VLOOKUP(AE82,mortt,2,FALSE))</f>
        <v>#N/A</v>
      </c>
      <c r="AN82" s="289" t="e">
        <f>AN81*(1-VLOOKUP(AE82,boc_trpr_bc,11,TRUE)*boc_rr_bc_lov-VLOOKUP(AE82,boc_trpr_oc,11,TRUE)*boc_rr_oc_lov-boc_tr_mast_vus-boc_tr_ooph_vus-boc_tr_both_vus-VLOOKUP(AE82,mortt,2,FALSE))</f>
        <v>#N/A</v>
      </c>
      <c r="AO82" s="260" t="e">
        <f>AO81*(1-VLOOKUP(AE82,boc_trpr_bc,11,TRUE)*boc_rr_bc_np-VLOOKUP(AE82,boc_trpr_oc,11,TRUE)*boc_rr_oc_np-VLOOKUP(AE82,mortt,2,FALSE))</f>
        <v>#N/A</v>
      </c>
      <c r="AP82" s="260" t="e">
        <f>AF81*VLOOKUP(AE82,boc_trpr_bc,11,TRUE)*boc_rr_bc_mast+AG81*VLOOKUP(AE82,boc_trpr_bc,11,TRUE)*boc_rr_bc_ooph+AH81*VLOOKUP(AE82,boc_trpr_bc,11,TRUE)*boc_rr_bc_both+AI81*VLOOKUP(AE82,boc_trpr_bc,11,TRUE)*boc_rr_bc_hip+AJ81*VLOOKUP(AE82,boc_trpr_bc,11,TRUE)*boc_rr_bc_hiv+AK81*VLOOKUP(AE82,boc_trpr_bc,11,TRUE)*boc_rr_bc_modp+AL81*VLOOKUP(AE82,boc_trpr_bc,11,TRUE)*boc_rr_bc_modv+AM81*VLOOKUP(AE82,boc_trpr_bc,11,TRUE)*boc_rr_bc_lop+AN81*VLOOKUP(AE82,boc_trpr_bc,11,TRUE)*boc_rr_bc_lov+AO81*VLOOKUP(AE82,boc_trpr_bc,11,TRUE)*boc_rr_bc_np</f>
        <v>#N/A</v>
      </c>
      <c r="AQ82" s="260" t="e">
        <f>AF81*VLOOKUP(AE82,boc_trpr_oc,11,TRUE)*boc_rr_oc_mast+AG81*VLOOKUP(AE82,boc_trpr_oc,11,TRUE)*boc_rr_oc_ooph+AH81*VLOOKUP(AE82,boc_trpr_oc,11,TRUE)*boc_rr_oc_both+AI81*VLOOKUP(AE82,boc_trpr_oc,11,TRUE)*boc_rr_oc_hip+AJ81*VLOOKUP(AE82,boc_trpr_oc,11,TRUE)*boc_rr_oc_hiv+AK81*VLOOKUP(AE82,boc_trpr_oc,11,TRUE)*boc_rr_oc_modp+AL81*VLOOKUP(AE82,boc_trpr_oc,11,TRUE)*boc_rr_oc_modv+AM81*VLOOKUP(AE82,boc_trpr_oc,11,TRUE)*boc_rr_oc_lop+AN81*VLOOKUP(AE82,boc_trpr_oc,11,TRUE)*boc_rr_oc_lov+AO81*VLOOKUP(AE82,boc_trpr_oc,11,TRUE)*boc_rr_oc_np</f>
        <v>#N/A</v>
      </c>
      <c r="AR82" s="260" t="e">
        <f>AP81*(1-VLOOKUP(AE82,boc_trpr_bc_death,20,TRUE))+AQ81*(1-VLOOKUP(AE82,boc_trpr_oc_death,20,TRUE))+AR81*(1-VLOOKUP(AE82,mortt,2,FALSE)*boc_rr_death_pc)</f>
        <v>#N/A</v>
      </c>
      <c r="AS82" s="260" t="e">
        <f>AS81+SUM(AF81:AO81)*VLOOKUP(AE82,mortt,2,FALSE)+AP81*VLOOKUP(AE82,boc_trpr_bc_death,20,TRUE)+AQ81*VLOOKUP(AE82,boc_trpr_bc_death,20,TRUE)+AR81*VLOOKUP(AE82,mortt,2,FALSE)*boc_rr_death_pc</f>
        <v>#N/A</v>
      </c>
      <c r="AT82" s="260" t="e">
        <f t="shared" si="52"/>
        <v>#N/A</v>
      </c>
      <c r="AU82" s="118" t="e">
        <f>(boc_cost_mast*SUM(AI82,AK82,AM82)*(boc_tr_mast_path+boc_tr_both_path)+SUM(AJ82,AL82,AN82)*(boc_tr_mast_vus+boc_tr_both_vus)+AP82*boc_cost_bc+AQ82*boc_cost_oc+AR82*boc_cost_pc+(AP82*VLOOKUP(AE82,boc_trpr_bc_death,20,TRUE)+AQ82*VLOOKUP(AE82,boc_trpr_oc_death,TRUE)*boc_cost_death))/((1+discount)^AD82)</f>
        <v>#N/A</v>
      </c>
      <c r="AV82" s="35" t="e">
        <f t="shared" si="62"/>
        <v>#N/A</v>
      </c>
      <c r="AW82" s="35" t="e">
        <f t="shared" si="63"/>
        <v>#N/A</v>
      </c>
      <c r="AY82" s="12">
        <v>76</v>
      </c>
      <c r="AZ82" s="12">
        <f t="shared" si="64"/>
        <v>121</v>
      </c>
      <c r="BA82" s="260" t="e">
        <f>BA81*(1-VLOOKUP(AZ82,boc_trpr_bc,11,TRUE)*boc_rr_bc_mast-VLOOKUP(AZ82,boc_trpr_oc,11,TRUE)*boc_rr_oc_mast-VLOOKUP(AZ82,mortt,2,FALSE))</f>
        <v>#N/A</v>
      </c>
      <c r="BB82" s="260" t="e">
        <f>BB81*(1-VLOOKUP(AZ82,boc_trpr_bc,11,TRUE)*boc_rr_bc_ooph-VLOOKUP(AZ82,boc_trpr_oc,11,TRUE)*boc_rr_oc_ooph-VLOOKUP(AZ82,mortt,2,FALSE))</f>
        <v>#N/A</v>
      </c>
      <c r="BC82" s="260" t="e">
        <f>BC81*(1-VLOOKUP(AZ82,boc_trpr_bc,11,TRUE)*boc_rr_bc_both-VLOOKUP(AZ82,boc_trpr_oc,11,TRUE)*boc_rr_oc_both-VLOOKUP(AZ82,mortt,2,FALSE))</f>
        <v>#N/A</v>
      </c>
      <c r="BD82" s="289" t="e">
        <f>BD81*(1-VLOOKUP(AZ82,boc_trpr_bc,11,TRUE)*boc_rr_bc_hip-VLOOKUP(AZ82,boc_trpr_oc,11,TRUE)*boc_rr_oc_hip-VLOOKUP(AZ82,mortt,2,FALSE))</f>
        <v>#N/A</v>
      </c>
      <c r="BE82" s="289" t="e">
        <f>BE81*(1-VLOOKUP(AZ82,boc_trpr_bc,11,TRUE)*boc_rr_bc_hiv-VLOOKUP(AZ82,boc_trpr_oc,11,TRUE)*boc_rr_oc_hiv-VLOOKUP(AZ82,mortt,2,FALSE))</f>
        <v>#N/A</v>
      </c>
      <c r="BF82" s="289" t="e">
        <f>BF81*(1-VLOOKUP(AZ82,boc_trpr_bc,11,TRUE)*boc_rr_bc_modp-VLOOKUP(AZ82,boc_trpr_oc,11,TRUE)*boc_rr_oc_modp-VLOOKUP(AZ82,mortt,2,FALSE))</f>
        <v>#N/A</v>
      </c>
      <c r="BG82" s="289" t="e">
        <f>BG81*(1-VLOOKUP(AZ82,boc_trpr_bc,11,TRUE)*boc_rr_bc_modv-VLOOKUP(AZ82,boc_trpr_oc,11,TRUE)*boc_rr_oc_modv-VLOOKUP(AZ82,mortt,2,FALSE))</f>
        <v>#N/A</v>
      </c>
      <c r="BH82" s="289" t="e">
        <f>BH81*(1-VLOOKUP(AZ82,boc_trpr_bc,11,TRUE)*boc_rr_bc_lop-VLOOKUP(AZ82,boc_trpr_oc,11,TRUE)*boc_rr_oc_lop-VLOOKUP(AZ82,mortt,2,FALSE))</f>
        <v>#N/A</v>
      </c>
      <c r="BI82" s="289" t="e">
        <f>BI81*(1-VLOOKUP(AZ82,boc_trpr_bc,11,TRUE)*boc_rr_bc_lov-VLOOKUP(AZ82,boc_trpr_oc,11,TRUE)*boc_rr_oc_lov-VLOOKUP(AZ82,mortt,2,FALSE))</f>
        <v>#N/A</v>
      </c>
      <c r="BJ82" s="260" t="e">
        <f>BJ81*(1-VLOOKUP(AZ82,boc_trpr_bc,11,TRUE)*boc_rr_bc_np-VLOOKUP(AZ82,boc_trpr_oc,11,TRUE)*boc_rr_oc_np-VLOOKUP(AZ82,mortt,2,FALSE))</f>
        <v>#N/A</v>
      </c>
      <c r="BK82" s="260" t="e">
        <f>BA81*VLOOKUP(AZ82,boc_trpr_bc,11,TRUE)*boc_rr_bc_mast+BB81*VLOOKUP(AZ82,boc_trpr_bc,11,TRUE)*boc_rr_bc_ooph+BC81*VLOOKUP(AZ82,boc_trpr_bc,11,TRUE)*boc_rr_bc_both+BD81*VLOOKUP(AZ82,boc_trpr_bc,11,TRUE)*boc_rr_bc_hip+BE81*VLOOKUP(AZ82,boc_trpr_bc,11,TRUE)*boc_rr_bc_hiv+BF81*VLOOKUP(AZ82,boc_trpr_bc,11,TRUE)*boc_rr_bc_modp+BG81*VLOOKUP(AZ82,boc_trpr_bc,11,TRUE)*boc_rr_bc_modv+BH81*VLOOKUP(AZ82,boc_trpr_bc,11,TRUE)*boc_rr_bc_lop+BI81*VLOOKUP(AZ82,boc_trpr_bc,11,TRUE)*boc_rr_bc_lov+BJ81*VLOOKUP(AZ82,boc_trpr_bc,11,TRUE)*boc_rr_bc_np</f>
        <v>#N/A</v>
      </c>
      <c r="BL82" s="260" t="e">
        <f>BA81*VLOOKUP(AZ82,boc_trpr_oc,11,TRUE)*boc_rr_oc_mast+BB81*VLOOKUP(AZ82,boc_trpr_oc,11,TRUE)*boc_rr_oc_ooph+BC81*VLOOKUP(AZ82,boc_trpr_oc,11,TRUE)*boc_rr_oc_both+BD81*VLOOKUP(AZ82,boc_trpr_oc,11,TRUE)*boc_rr_oc_hip+BE81*VLOOKUP(AZ82,boc_trpr_oc,11,TRUE)*boc_rr_oc_hiv+BF81*VLOOKUP(AZ82,boc_trpr_oc,11,TRUE)*boc_rr_oc_modp+BG81*VLOOKUP(AZ82,boc_trpr_oc,11,TRUE)*boc_rr_oc_modv+BH81*VLOOKUP(AZ82,boc_trpr_oc,11,TRUE)*boc_rr_oc_lop+BI81*VLOOKUP(AZ82,boc_trpr_oc,11,TRUE)*boc_rr_oc_lov+BJ81*VLOOKUP(AZ82,boc_trpr_oc,11,TRUE)*boc_rr_oc_np</f>
        <v>#N/A</v>
      </c>
      <c r="BM82" s="260" t="e">
        <f>BK81*(1-VLOOKUP(AZ82,boc_trpr_bc_death,20,TRUE))+BL81*(1-VLOOKUP(AZ82,boc_trpr_oc_death,20,TRUE))+BM81*(1-VLOOKUP(AZ82,mortt,2,FALSE)*boc_rr_death_pc)</f>
        <v>#N/A</v>
      </c>
      <c r="BN82" s="260" t="e">
        <f>BN81+SUM(BA81:BJ81)*VLOOKUP(AZ82,mortt,2,FALSE)+BK81*VLOOKUP(AZ82,boc_trpr_bc_death,20,TRUE)+BL81*VLOOKUP(AZ82,boc_trpr_bc_death,20,TRUE)+BM81*VLOOKUP(AZ82,mortt,2,FALSE)*boc_rr_death_pc</f>
        <v>#N/A</v>
      </c>
      <c r="BO82" s="260" t="e">
        <f t="shared" si="41"/>
        <v>#N/A</v>
      </c>
      <c r="BP82" s="118" t="e">
        <f>(boc_cost_mast*SUM(BD82,BF82,BH82)*(boc_tr_mast_path+boc_tr_both_path)+SUM(BE82,BG82,BI82)*(boc_tr_mast_vus+boc_tr_both_vus)+BK82*boc_cost_bc+BL82*boc_cost_oc+BM82*boc_cost_pc+(BK82*VLOOKUP(AZ82,boc_trpr_bc_death,20,TRUE)+BL82*VLOOKUP(AZ82,boc_trpr_oc_death,TRUE)*boc_cost_death))/((1+discount)^AY82)</f>
        <v>#N/A</v>
      </c>
      <c r="BQ82" s="35" t="e">
        <f t="shared" si="65"/>
        <v>#N/A</v>
      </c>
      <c r="BR82" s="35" t="e">
        <f t="shared" si="66"/>
        <v>#N/A</v>
      </c>
      <c r="BS82" s="35"/>
      <c r="BU82" s="33">
        <v>54</v>
      </c>
      <c r="BV82" t="str">
        <f>$M$132</f>
        <v>boc_disutil_both</v>
      </c>
      <c r="BW82" s="35">
        <f>$F$132</f>
        <v>8.0000000000000016E-2</v>
      </c>
      <c r="BX82" s="35">
        <f>$G$132</f>
        <v>0.12</v>
      </c>
      <c r="BY82" s="311">
        <v>-7.5531978571930267</v>
      </c>
      <c r="BZ82" s="311">
        <v>-7.5531978571930267</v>
      </c>
      <c r="CA82" s="311">
        <f t="shared" si="57"/>
        <v>0</v>
      </c>
      <c r="CD82" s="138">
        <v>77</v>
      </c>
      <c r="CE82" s="291">
        <v>3.0089000000000001E-2</v>
      </c>
    </row>
    <row r="83" spans="2:83" ht="15" customHeight="1" x14ac:dyDescent="0.2">
      <c r="B83" s="19" t="s">
        <v>222</v>
      </c>
      <c r="C83" s="35">
        <f t="shared" si="69"/>
        <v>0.05</v>
      </c>
      <c r="D83" s="158"/>
      <c r="E83" s="35">
        <v>0.05</v>
      </c>
      <c r="F83" s="35">
        <f t="shared" si="70"/>
        <v>4.0000000000000008E-2</v>
      </c>
      <c r="G83" s="35">
        <f t="shared" si="71"/>
        <v>0.06</v>
      </c>
      <c r="H83" s="48">
        <f t="shared" si="72"/>
        <v>91.184646991485536</v>
      </c>
      <c r="I83" s="48">
        <f t="shared" si="73"/>
        <v>1732.5082928382249</v>
      </c>
      <c r="J83" s="35">
        <f t="shared" ca="1" si="74"/>
        <v>4.5607230658295979E-2</v>
      </c>
      <c r="K83" s="12" t="s">
        <v>71</v>
      </c>
      <c r="L83" s="40">
        <v>26</v>
      </c>
      <c r="M83" s="247" t="s">
        <v>243</v>
      </c>
      <c r="N83" s="39" t="s">
        <v>48</v>
      </c>
      <c r="Q83" s="11"/>
      <c r="S83" s="9" t="s">
        <v>13</v>
      </c>
      <c r="T83" s="251">
        <f>boc_path_mod_np</f>
        <v>0.63469613300000005</v>
      </c>
      <c r="U83" s="9" t="s">
        <v>8</v>
      </c>
      <c r="V83" s="250">
        <f>boc_unk_int_ooph</f>
        <v>0.01</v>
      </c>
      <c r="Y83" s="261">
        <f>R78*T83*V83</f>
        <v>3.1649268080929076E-4</v>
      </c>
      <c r="AD83" s="12">
        <v>77</v>
      </c>
      <c r="AE83" s="12">
        <f t="shared" si="61"/>
        <v>122</v>
      </c>
      <c r="AF83" s="260" t="e">
        <f>AF82*(1-VLOOKUP(AE83,boc_trpr_bc,11,TRUE)*boc_rr_bc_mast-VLOOKUP(AE83,boc_trpr_oc,11,TRUE)*boc_rr_oc_mast-VLOOKUP(AE83,mortt,2,FALSE))+SUM(AI82,AK82,AM82)*boc_tr_mast_path+SUM(AJ82,AL82,AN82)*boc_tr_mast_vus</f>
        <v>#N/A</v>
      </c>
      <c r="AG83" s="260" t="e">
        <f>AG82*(1-VLOOKUP(AE83,boc_trpr_bc,11,TRUE)*boc_rr_bc_ooph-VLOOKUP(AE83,boc_trpr_oc,11,TRUE)*boc_rr_oc_ooph-VLOOKUP(AE83,mortt,2,FALSE))+SUM(AI82,AK82,AM82)*boc_tr_ooph_path+SUM(AJ82,AL82,AN82)*boc_tr_ooph_vus</f>
        <v>#N/A</v>
      </c>
      <c r="AH83" s="260" t="e">
        <f>AH82*(1-VLOOKUP(AE83,boc_trpr_bc,11,TRUE)*boc_rr_bc_both-VLOOKUP(AE83,boc_trpr_oc,11,TRUE)*boc_rr_oc_both-VLOOKUP(AE83,mortt,2,FALSE))+SUM(AI82,AK82,AM82)*boc_tr_both_path+SUM(AJ82,AL82,AN82)*boc_tr_both_vus</f>
        <v>#N/A</v>
      </c>
      <c r="AI83" s="289" t="e">
        <f>AI82*(1-VLOOKUP(AE83,boc_trpr_bc,11,TRUE)*boc_rr_bc_hip-VLOOKUP(AE83,boc_trpr_oc,11,TRUE)*boc_rr_oc_hip-boc_tr_mast_path-boc_tr_ooph_path-boc_tr_both_path-VLOOKUP(AE83,mortt,2,FALSE))</f>
        <v>#N/A</v>
      </c>
      <c r="AJ83" s="289" t="e">
        <f>AJ82*(1-VLOOKUP(AE83,boc_trpr_bc,11,TRUE)*boc_rr_bc_hiv-VLOOKUP(AE83,boc_trpr_oc,11,TRUE)*boc_rr_oc_hiv-boc_tr_mast_vus-boc_tr_ooph_vus-boc_tr_both_vus-VLOOKUP(AE83,mortt,2,FALSE))</f>
        <v>#N/A</v>
      </c>
      <c r="AK83" s="289" t="e">
        <f>AK82*(1-VLOOKUP(AE83,boc_trpr_bc,11,TRUE)*boc_rr_bc_modp-VLOOKUP(AE83,boc_trpr_oc,11,TRUE)*boc_rr_oc_modp-boc_tr_mast_path-boc_tr_ooph_path-boc_tr_both_path-VLOOKUP(AE83,mortt,2,FALSE))</f>
        <v>#N/A</v>
      </c>
      <c r="AL83" s="289" t="e">
        <f>AL82*(1-VLOOKUP(AE83,boc_trpr_bc,11,TRUE)*boc_rr_bc_modv-VLOOKUP(AE83,boc_trpr_oc,11,TRUE)*boc_rr_oc_modv-boc_tr_mast_vus-boc_tr_ooph_vus-boc_tr_both_vus-VLOOKUP(AE83,mortt,2,FALSE))</f>
        <v>#N/A</v>
      </c>
      <c r="AM83" s="289" t="e">
        <f>AM82*(1-VLOOKUP(AE83,boc_trpr_bc,11,TRUE)*boc_rr_bc_lop-VLOOKUP(AE83,boc_trpr_oc,11,TRUE)*boc_rr_oc_lop-boc_tr_mast_path-boc_tr_ooph_path-boc_tr_both_path-VLOOKUP(AE83,mortt,2,FALSE))</f>
        <v>#N/A</v>
      </c>
      <c r="AN83" s="289" t="e">
        <f>AN82*(1-VLOOKUP(AE83,boc_trpr_bc,11,TRUE)*boc_rr_bc_lov-VLOOKUP(AE83,boc_trpr_oc,11,TRUE)*boc_rr_oc_lov-boc_tr_mast_vus-boc_tr_ooph_vus-boc_tr_both_vus-VLOOKUP(AE83,mortt,2,FALSE))</f>
        <v>#N/A</v>
      </c>
      <c r="AO83" s="260" t="e">
        <f>AO82*(1-VLOOKUP(AE83,boc_trpr_bc,11,TRUE)*boc_rr_bc_np-VLOOKUP(AE83,boc_trpr_oc,11,TRUE)*boc_rr_oc_np-VLOOKUP(AE83,mortt,2,FALSE))</f>
        <v>#N/A</v>
      </c>
      <c r="AP83" s="260" t="e">
        <f>AF82*VLOOKUP(AE83,boc_trpr_bc,11,TRUE)*boc_rr_bc_mast+AG82*VLOOKUP(AE83,boc_trpr_bc,11,TRUE)*boc_rr_bc_ooph+AH82*VLOOKUP(AE83,boc_trpr_bc,11,TRUE)*boc_rr_bc_both+AI82*VLOOKUP(AE83,boc_trpr_bc,11,TRUE)*boc_rr_bc_hip+AJ82*VLOOKUP(AE83,boc_trpr_bc,11,TRUE)*boc_rr_bc_hiv+AK82*VLOOKUP(AE83,boc_trpr_bc,11,TRUE)*boc_rr_bc_modp+AL82*VLOOKUP(AE83,boc_trpr_bc,11,TRUE)*boc_rr_bc_modv+AM82*VLOOKUP(AE83,boc_trpr_bc,11,TRUE)*boc_rr_bc_lop+AN82*VLOOKUP(AE83,boc_trpr_bc,11,TRUE)*boc_rr_bc_lov+AO82*VLOOKUP(AE83,boc_trpr_bc,11,TRUE)*boc_rr_bc_np</f>
        <v>#N/A</v>
      </c>
      <c r="AQ83" s="260" t="e">
        <f>AF82*VLOOKUP(AE83,boc_trpr_oc,11,TRUE)*boc_rr_oc_mast+AG82*VLOOKUP(AE83,boc_trpr_oc,11,TRUE)*boc_rr_oc_ooph+AH82*VLOOKUP(AE83,boc_trpr_oc,11,TRUE)*boc_rr_oc_both+AI82*VLOOKUP(AE83,boc_trpr_oc,11,TRUE)*boc_rr_oc_hip+AJ82*VLOOKUP(AE83,boc_trpr_oc,11,TRUE)*boc_rr_oc_hiv+AK82*VLOOKUP(AE83,boc_trpr_oc,11,TRUE)*boc_rr_oc_modp+AL82*VLOOKUP(AE83,boc_trpr_oc,11,TRUE)*boc_rr_oc_modv+AM82*VLOOKUP(AE83,boc_trpr_oc,11,TRUE)*boc_rr_oc_lop+AN82*VLOOKUP(AE83,boc_trpr_oc,11,TRUE)*boc_rr_oc_lov+AO82*VLOOKUP(AE83,boc_trpr_oc,11,TRUE)*boc_rr_oc_np</f>
        <v>#N/A</v>
      </c>
      <c r="AR83" s="260" t="e">
        <f>AP82*(1-VLOOKUP(AE83,boc_trpr_bc_death,20,TRUE))+AQ82*(1-VLOOKUP(AE83,boc_trpr_oc_death,20,TRUE))+AR82*(1-VLOOKUP(AE83,mortt,2,FALSE)*boc_rr_death_pc)</f>
        <v>#N/A</v>
      </c>
      <c r="AS83" s="260" t="e">
        <f>AS82+SUM(AF82:AO82)*VLOOKUP(AE83,mortt,2,FALSE)+AP82*VLOOKUP(AE83,boc_trpr_bc_death,20,TRUE)+AQ82*VLOOKUP(AE83,boc_trpr_bc_death,20,TRUE)+AR82*VLOOKUP(AE83,mortt,2,FALSE)*boc_rr_death_pc</f>
        <v>#N/A</v>
      </c>
      <c r="AT83" s="260" t="e">
        <f t="shared" si="52"/>
        <v>#N/A</v>
      </c>
      <c r="AU83" s="118" t="e">
        <f>(boc_cost_mast*SUM(AI83,AK83,AM83)*(boc_tr_mast_path+boc_tr_both_path)+SUM(AJ83,AL83,AN83)*(boc_tr_mast_vus+boc_tr_both_vus)+AP83*boc_cost_bc+AQ83*boc_cost_oc+AR83*boc_cost_pc+(AP83*VLOOKUP(AE83,boc_trpr_bc_death,20,TRUE)+AQ83*VLOOKUP(AE83,boc_trpr_oc_death,TRUE)*boc_cost_death))/((1+discount)^AD83)</f>
        <v>#N/A</v>
      </c>
      <c r="AV83" s="35" t="e">
        <f t="shared" si="62"/>
        <v>#N/A</v>
      </c>
      <c r="AW83" s="35" t="e">
        <f t="shared" si="63"/>
        <v>#N/A</v>
      </c>
      <c r="AY83" s="12">
        <v>77</v>
      </c>
      <c r="AZ83" s="12">
        <f t="shared" si="64"/>
        <v>122</v>
      </c>
      <c r="BA83" s="260" t="e">
        <f>BA82*(1-VLOOKUP(AZ83,boc_trpr_bc,11,TRUE)*boc_rr_bc_mast-VLOOKUP(AZ83,boc_trpr_oc,11,TRUE)*boc_rr_oc_mast-VLOOKUP(AZ83,mortt,2,FALSE))</f>
        <v>#N/A</v>
      </c>
      <c r="BB83" s="260" t="e">
        <f>BB82*(1-VLOOKUP(AZ83,boc_trpr_bc,11,TRUE)*boc_rr_bc_ooph-VLOOKUP(AZ83,boc_trpr_oc,11,TRUE)*boc_rr_oc_ooph-VLOOKUP(AZ83,mortt,2,FALSE))</f>
        <v>#N/A</v>
      </c>
      <c r="BC83" s="260" t="e">
        <f>BC82*(1-VLOOKUP(AZ83,boc_trpr_bc,11,TRUE)*boc_rr_bc_both-VLOOKUP(AZ83,boc_trpr_oc,11,TRUE)*boc_rr_oc_both-VLOOKUP(AZ83,mortt,2,FALSE))</f>
        <v>#N/A</v>
      </c>
      <c r="BD83" s="289" t="e">
        <f>BD82*(1-VLOOKUP(AZ83,boc_trpr_bc,11,TRUE)*boc_rr_bc_hip-VLOOKUP(AZ83,boc_trpr_oc,11,TRUE)*boc_rr_oc_hip-VLOOKUP(AZ83,mortt,2,FALSE))</f>
        <v>#N/A</v>
      </c>
      <c r="BE83" s="289" t="e">
        <f>BE82*(1-VLOOKUP(AZ83,boc_trpr_bc,11,TRUE)*boc_rr_bc_hiv-VLOOKUP(AZ83,boc_trpr_oc,11,TRUE)*boc_rr_oc_hiv-VLOOKUP(AZ83,mortt,2,FALSE))</f>
        <v>#N/A</v>
      </c>
      <c r="BF83" s="289" t="e">
        <f>BF82*(1-VLOOKUP(AZ83,boc_trpr_bc,11,TRUE)*boc_rr_bc_modp-VLOOKUP(AZ83,boc_trpr_oc,11,TRUE)*boc_rr_oc_modp-VLOOKUP(AZ83,mortt,2,FALSE))</f>
        <v>#N/A</v>
      </c>
      <c r="BG83" s="289" t="e">
        <f>BG82*(1-VLOOKUP(AZ83,boc_trpr_bc,11,TRUE)*boc_rr_bc_modv-VLOOKUP(AZ83,boc_trpr_oc,11,TRUE)*boc_rr_oc_modv-VLOOKUP(AZ83,mortt,2,FALSE))</f>
        <v>#N/A</v>
      </c>
      <c r="BH83" s="289" t="e">
        <f>BH82*(1-VLOOKUP(AZ83,boc_trpr_bc,11,TRUE)*boc_rr_bc_lop-VLOOKUP(AZ83,boc_trpr_oc,11,TRUE)*boc_rr_oc_lop-VLOOKUP(AZ83,mortt,2,FALSE))</f>
        <v>#N/A</v>
      </c>
      <c r="BI83" s="289" t="e">
        <f>BI82*(1-VLOOKUP(AZ83,boc_trpr_bc,11,TRUE)*boc_rr_bc_lov-VLOOKUP(AZ83,boc_trpr_oc,11,TRUE)*boc_rr_oc_lov-VLOOKUP(AZ83,mortt,2,FALSE))</f>
        <v>#N/A</v>
      </c>
      <c r="BJ83" s="260" t="e">
        <f>BJ82*(1-VLOOKUP(AZ83,boc_trpr_bc,11,TRUE)*boc_rr_bc_np-VLOOKUP(AZ83,boc_trpr_oc,11,TRUE)*boc_rr_oc_np-VLOOKUP(AZ83,mortt,2,FALSE))</f>
        <v>#N/A</v>
      </c>
      <c r="BK83" s="260" t="e">
        <f>BA82*VLOOKUP(AZ83,boc_trpr_bc,11,TRUE)*boc_rr_bc_mast+BB82*VLOOKUP(AZ83,boc_trpr_bc,11,TRUE)*boc_rr_bc_ooph+BC82*VLOOKUP(AZ83,boc_trpr_bc,11,TRUE)*boc_rr_bc_both+BD82*VLOOKUP(AZ83,boc_trpr_bc,11,TRUE)*boc_rr_bc_hip+BE82*VLOOKUP(AZ83,boc_trpr_bc,11,TRUE)*boc_rr_bc_hiv+BF82*VLOOKUP(AZ83,boc_trpr_bc,11,TRUE)*boc_rr_bc_modp+BG82*VLOOKUP(AZ83,boc_trpr_bc,11,TRUE)*boc_rr_bc_modv+BH82*VLOOKUP(AZ83,boc_trpr_bc,11,TRUE)*boc_rr_bc_lop+BI82*VLOOKUP(AZ83,boc_trpr_bc,11,TRUE)*boc_rr_bc_lov+BJ82*VLOOKUP(AZ83,boc_trpr_bc,11,TRUE)*boc_rr_bc_np</f>
        <v>#N/A</v>
      </c>
      <c r="BL83" s="260" t="e">
        <f>BA82*VLOOKUP(AZ83,boc_trpr_oc,11,TRUE)*boc_rr_oc_mast+BB82*VLOOKUP(AZ83,boc_trpr_oc,11,TRUE)*boc_rr_oc_ooph+BC82*VLOOKUP(AZ83,boc_trpr_oc,11,TRUE)*boc_rr_oc_both+BD82*VLOOKUP(AZ83,boc_trpr_oc,11,TRUE)*boc_rr_oc_hip+BE82*VLOOKUP(AZ83,boc_trpr_oc,11,TRUE)*boc_rr_oc_hiv+BF82*VLOOKUP(AZ83,boc_trpr_oc,11,TRUE)*boc_rr_oc_modp+BG82*VLOOKUP(AZ83,boc_trpr_oc,11,TRUE)*boc_rr_oc_modv+BH82*VLOOKUP(AZ83,boc_trpr_oc,11,TRUE)*boc_rr_oc_lop+BI82*VLOOKUP(AZ83,boc_trpr_oc,11,TRUE)*boc_rr_oc_lov+BJ82*VLOOKUP(AZ83,boc_trpr_oc,11,TRUE)*boc_rr_oc_np</f>
        <v>#N/A</v>
      </c>
      <c r="BM83" s="260" t="e">
        <f>BK82*(1-VLOOKUP(AZ83,boc_trpr_bc_death,20,TRUE))+BL82*(1-VLOOKUP(AZ83,boc_trpr_oc_death,20,TRUE))+BM82*(1-VLOOKUP(AZ83,mortt,2,FALSE)*boc_rr_death_pc)</f>
        <v>#N/A</v>
      </c>
      <c r="BN83" s="260" t="e">
        <f>BN82+SUM(BA82:BJ82)*VLOOKUP(AZ83,mortt,2,FALSE)+BK82*VLOOKUP(AZ83,boc_trpr_bc_death,20,TRUE)+BL82*VLOOKUP(AZ83,boc_trpr_bc_death,20,TRUE)+BM82*VLOOKUP(AZ83,mortt,2,FALSE)*boc_rr_death_pc</f>
        <v>#N/A</v>
      </c>
      <c r="BO83" s="260" t="e">
        <f t="shared" si="41"/>
        <v>#N/A</v>
      </c>
      <c r="BP83" s="118" t="e">
        <f>(boc_cost_mast*SUM(BD83,BF83,BH83)*(boc_tr_mast_path+boc_tr_both_path)+SUM(BE83,BG83,BI83)*(boc_tr_mast_vus+boc_tr_both_vus)+BK83*boc_cost_bc+BL83*boc_cost_oc+BM83*boc_cost_pc+(BK83*VLOOKUP(AZ83,boc_trpr_bc_death,20,TRUE)+BL83*VLOOKUP(AZ83,boc_trpr_oc_death,TRUE)*boc_cost_death))/((1+discount)^AY83)</f>
        <v>#N/A</v>
      </c>
      <c r="BQ83" s="35" t="e">
        <f t="shared" si="65"/>
        <v>#N/A</v>
      </c>
      <c r="BR83" s="35" t="e">
        <f t="shared" si="66"/>
        <v>#N/A</v>
      </c>
      <c r="BS83" s="35"/>
      <c r="BU83" s="33">
        <v>55</v>
      </c>
      <c r="BV83" t="str">
        <f>$M$138</f>
        <v>boc_cost_mast</v>
      </c>
      <c r="BW83" s="118">
        <f>$F$138</f>
        <v>10076.800000000001</v>
      </c>
      <c r="BX83" s="118">
        <f>$G$138</f>
        <v>15115.199999999999</v>
      </c>
      <c r="BY83" s="311">
        <v>-7.5531978571930267</v>
      </c>
      <c r="BZ83" s="311">
        <v>-7.5531978571930267</v>
      </c>
      <c r="CA83" s="311">
        <f t="shared" si="57"/>
        <v>0</v>
      </c>
      <c r="CD83" s="138">
        <v>78</v>
      </c>
      <c r="CE83" s="291">
        <v>3.3590000000000002E-2</v>
      </c>
    </row>
    <row r="84" spans="2:83" ht="15" customHeight="1" x14ac:dyDescent="0.2">
      <c r="B84" s="19" t="s">
        <v>223</v>
      </c>
      <c r="C84" s="35">
        <f t="shared" si="69"/>
        <v>0.05</v>
      </c>
      <c r="D84" s="158"/>
      <c r="E84" s="35">
        <v>0.05</v>
      </c>
      <c r="F84" s="35">
        <f t="shared" si="70"/>
        <v>4.0000000000000008E-2</v>
      </c>
      <c r="G84" s="35">
        <f t="shared" si="71"/>
        <v>0.06</v>
      </c>
      <c r="H84" s="48">
        <f t="shared" si="72"/>
        <v>91.184646991485536</v>
      </c>
      <c r="I84" s="48">
        <f t="shared" si="73"/>
        <v>1732.5082928382249</v>
      </c>
      <c r="J84" s="35">
        <f t="shared" ca="1" si="74"/>
        <v>5.1412938889901616E-2</v>
      </c>
      <c r="K84" s="12" t="s">
        <v>71</v>
      </c>
      <c r="L84" s="40">
        <v>27</v>
      </c>
      <c r="M84" s="247" t="s">
        <v>244</v>
      </c>
      <c r="N84" s="39" t="s">
        <v>48</v>
      </c>
      <c r="Q84" s="11"/>
      <c r="U84" s="9" t="s">
        <v>6</v>
      </c>
      <c r="V84" s="250">
        <f>boc_unk_int_both</f>
        <v>0.01</v>
      </c>
      <c r="Z84" s="261">
        <f>R78*T83*V84</f>
        <v>3.1649268080929076E-4</v>
      </c>
      <c r="AD84" s="12">
        <v>78</v>
      </c>
      <c r="AE84" s="12">
        <f t="shared" si="61"/>
        <v>123</v>
      </c>
      <c r="AF84" s="260" t="e">
        <f>AF83*(1-VLOOKUP(AE84,boc_trpr_bc,11,TRUE)*boc_rr_bc_mast-VLOOKUP(AE84,boc_trpr_oc,11,TRUE)*boc_rr_oc_mast-VLOOKUP(AE84,mortt,2,FALSE))+SUM(AI83,AK83,AM83)*boc_tr_mast_path+SUM(AJ83,AL83,AN83)*boc_tr_mast_vus</f>
        <v>#N/A</v>
      </c>
      <c r="AG84" s="260" t="e">
        <f>AG83*(1-VLOOKUP(AE84,boc_trpr_bc,11,TRUE)*boc_rr_bc_ooph-VLOOKUP(AE84,boc_trpr_oc,11,TRUE)*boc_rr_oc_ooph-VLOOKUP(AE84,mortt,2,FALSE))+SUM(AI83,AK83,AM83)*boc_tr_ooph_path+SUM(AJ83,AL83,AN83)*boc_tr_ooph_vus</f>
        <v>#N/A</v>
      </c>
      <c r="AH84" s="260" t="e">
        <f>AH83*(1-VLOOKUP(AE84,boc_trpr_bc,11,TRUE)*boc_rr_bc_both-VLOOKUP(AE84,boc_trpr_oc,11,TRUE)*boc_rr_oc_both-VLOOKUP(AE84,mortt,2,FALSE))+SUM(AI83,AK83,AM83)*boc_tr_both_path+SUM(AJ83,AL83,AN83)*boc_tr_both_vus</f>
        <v>#N/A</v>
      </c>
      <c r="AI84" s="289" t="e">
        <f>AI83*(1-VLOOKUP(AE84,boc_trpr_bc,11,TRUE)*boc_rr_bc_hip-VLOOKUP(AE84,boc_trpr_oc,11,TRUE)*boc_rr_oc_hip-boc_tr_mast_path-boc_tr_ooph_path-boc_tr_both_path-VLOOKUP(AE84,mortt,2,FALSE))</f>
        <v>#N/A</v>
      </c>
      <c r="AJ84" s="289" t="e">
        <f>AJ83*(1-VLOOKUP(AE84,boc_trpr_bc,11,TRUE)*boc_rr_bc_hiv-VLOOKUP(AE84,boc_trpr_oc,11,TRUE)*boc_rr_oc_hiv-boc_tr_mast_vus-boc_tr_ooph_vus-boc_tr_both_vus-VLOOKUP(AE84,mortt,2,FALSE))</f>
        <v>#N/A</v>
      </c>
      <c r="AK84" s="289" t="e">
        <f>AK83*(1-VLOOKUP(AE84,boc_trpr_bc,11,TRUE)*boc_rr_bc_modp-VLOOKUP(AE84,boc_trpr_oc,11,TRUE)*boc_rr_oc_modp-boc_tr_mast_path-boc_tr_ooph_path-boc_tr_both_path-VLOOKUP(AE84,mortt,2,FALSE))</f>
        <v>#N/A</v>
      </c>
      <c r="AL84" s="289" t="e">
        <f>AL83*(1-VLOOKUP(AE84,boc_trpr_bc,11,TRUE)*boc_rr_bc_modv-VLOOKUP(AE84,boc_trpr_oc,11,TRUE)*boc_rr_oc_modv-boc_tr_mast_vus-boc_tr_ooph_vus-boc_tr_both_vus-VLOOKUP(AE84,mortt,2,FALSE))</f>
        <v>#N/A</v>
      </c>
      <c r="AM84" s="289" t="e">
        <f>AM83*(1-VLOOKUP(AE84,boc_trpr_bc,11,TRUE)*boc_rr_bc_lop-VLOOKUP(AE84,boc_trpr_oc,11,TRUE)*boc_rr_oc_lop-boc_tr_mast_path-boc_tr_ooph_path-boc_tr_both_path-VLOOKUP(AE84,mortt,2,FALSE))</f>
        <v>#N/A</v>
      </c>
      <c r="AN84" s="289" t="e">
        <f>AN83*(1-VLOOKUP(AE84,boc_trpr_bc,11,TRUE)*boc_rr_bc_lov-VLOOKUP(AE84,boc_trpr_oc,11,TRUE)*boc_rr_oc_lov-boc_tr_mast_vus-boc_tr_ooph_vus-boc_tr_both_vus-VLOOKUP(AE84,mortt,2,FALSE))</f>
        <v>#N/A</v>
      </c>
      <c r="AO84" s="260" t="e">
        <f>AO83*(1-VLOOKUP(AE84,boc_trpr_bc,11,TRUE)*boc_rr_bc_np-VLOOKUP(AE84,boc_trpr_oc,11,TRUE)*boc_rr_oc_np-VLOOKUP(AE84,mortt,2,FALSE))</f>
        <v>#N/A</v>
      </c>
      <c r="AP84" s="260" t="e">
        <f>AF83*VLOOKUP(AE84,boc_trpr_bc,11,TRUE)*boc_rr_bc_mast+AG83*VLOOKUP(AE84,boc_trpr_bc,11,TRUE)*boc_rr_bc_ooph+AH83*VLOOKUP(AE84,boc_trpr_bc,11,TRUE)*boc_rr_bc_both+AI83*VLOOKUP(AE84,boc_trpr_bc,11,TRUE)*boc_rr_bc_hip+AJ83*VLOOKUP(AE84,boc_trpr_bc,11,TRUE)*boc_rr_bc_hiv+AK83*VLOOKUP(AE84,boc_trpr_bc,11,TRUE)*boc_rr_bc_modp+AL83*VLOOKUP(AE84,boc_trpr_bc,11,TRUE)*boc_rr_bc_modv+AM83*VLOOKUP(AE84,boc_trpr_bc,11,TRUE)*boc_rr_bc_lop+AN83*VLOOKUP(AE84,boc_trpr_bc,11,TRUE)*boc_rr_bc_lov+AO83*VLOOKUP(AE84,boc_trpr_bc,11,TRUE)*boc_rr_bc_np</f>
        <v>#N/A</v>
      </c>
      <c r="AQ84" s="260" t="e">
        <f>AF83*VLOOKUP(AE84,boc_trpr_oc,11,TRUE)*boc_rr_oc_mast+AG83*VLOOKUP(AE84,boc_trpr_oc,11,TRUE)*boc_rr_oc_ooph+AH83*VLOOKUP(AE84,boc_trpr_oc,11,TRUE)*boc_rr_oc_both+AI83*VLOOKUP(AE84,boc_trpr_oc,11,TRUE)*boc_rr_oc_hip+AJ83*VLOOKUP(AE84,boc_trpr_oc,11,TRUE)*boc_rr_oc_hiv+AK83*VLOOKUP(AE84,boc_trpr_oc,11,TRUE)*boc_rr_oc_modp+AL83*VLOOKUP(AE84,boc_trpr_oc,11,TRUE)*boc_rr_oc_modv+AM83*VLOOKUP(AE84,boc_trpr_oc,11,TRUE)*boc_rr_oc_lop+AN83*VLOOKUP(AE84,boc_trpr_oc,11,TRUE)*boc_rr_oc_lov+AO83*VLOOKUP(AE84,boc_trpr_oc,11,TRUE)*boc_rr_oc_np</f>
        <v>#N/A</v>
      </c>
      <c r="AR84" s="260" t="e">
        <f>AP83*(1-VLOOKUP(AE84,boc_trpr_bc_death,20,TRUE))+AQ83*(1-VLOOKUP(AE84,boc_trpr_oc_death,20,TRUE))+AR83*(1-VLOOKUP(AE84,mortt,2,FALSE)*boc_rr_death_pc)</f>
        <v>#N/A</v>
      </c>
      <c r="AS84" s="260" t="e">
        <f>AS83+SUM(AF83:AO83)*VLOOKUP(AE84,mortt,2,FALSE)+AP83*VLOOKUP(AE84,boc_trpr_bc_death,20,TRUE)+AQ83*VLOOKUP(AE84,boc_trpr_bc_death,20,TRUE)+AR83*VLOOKUP(AE84,mortt,2,FALSE)*boc_rr_death_pc</f>
        <v>#N/A</v>
      </c>
      <c r="AT84" s="260" t="e">
        <f t="shared" si="52"/>
        <v>#N/A</v>
      </c>
      <c r="AU84" s="118" t="e">
        <f>(boc_cost_mast*SUM(AI84,AK84,AM84)*(boc_tr_mast_path+boc_tr_both_path)+SUM(AJ84,AL84,AN84)*(boc_tr_mast_vus+boc_tr_both_vus)+AP84*boc_cost_bc+AQ84*boc_cost_oc+AR84*boc_cost_pc+(AP84*VLOOKUP(AE84,boc_trpr_bc_death,20,TRUE)+AQ84*VLOOKUP(AE84,boc_trpr_oc_death,TRUE)*boc_cost_death))/((1+discount)^AD84)</f>
        <v>#N/A</v>
      </c>
      <c r="AV84" s="35" t="e">
        <f t="shared" si="62"/>
        <v>#N/A</v>
      </c>
      <c r="AW84" s="35" t="e">
        <f t="shared" si="63"/>
        <v>#N/A</v>
      </c>
      <c r="AY84" s="12">
        <v>78</v>
      </c>
      <c r="AZ84" s="12">
        <f t="shared" si="64"/>
        <v>123</v>
      </c>
      <c r="BA84" s="260" t="e">
        <f>BA83*(1-VLOOKUP(AZ84,boc_trpr_bc,11,TRUE)*boc_rr_bc_mast-VLOOKUP(AZ84,boc_trpr_oc,11,TRUE)*boc_rr_oc_mast-VLOOKUP(AZ84,mortt,2,FALSE))</f>
        <v>#N/A</v>
      </c>
      <c r="BB84" s="260" t="e">
        <f>BB83*(1-VLOOKUP(AZ84,boc_trpr_bc,11,TRUE)*boc_rr_bc_ooph-VLOOKUP(AZ84,boc_trpr_oc,11,TRUE)*boc_rr_oc_ooph-VLOOKUP(AZ84,mortt,2,FALSE))</f>
        <v>#N/A</v>
      </c>
      <c r="BC84" s="260" t="e">
        <f>BC83*(1-VLOOKUP(AZ84,boc_trpr_bc,11,TRUE)*boc_rr_bc_both-VLOOKUP(AZ84,boc_trpr_oc,11,TRUE)*boc_rr_oc_both-VLOOKUP(AZ84,mortt,2,FALSE))</f>
        <v>#N/A</v>
      </c>
      <c r="BD84" s="289" t="e">
        <f>BD83*(1-VLOOKUP(AZ84,boc_trpr_bc,11,TRUE)*boc_rr_bc_hip-VLOOKUP(AZ84,boc_trpr_oc,11,TRUE)*boc_rr_oc_hip-VLOOKUP(AZ84,mortt,2,FALSE))</f>
        <v>#N/A</v>
      </c>
      <c r="BE84" s="289" t="e">
        <f>BE83*(1-VLOOKUP(AZ84,boc_trpr_bc,11,TRUE)*boc_rr_bc_hiv-VLOOKUP(AZ84,boc_trpr_oc,11,TRUE)*boc_rr_oc_hiv-VLOOKUP(AZ84,mortt,2,FALSE))</f>
        <v>#N/A</v>
      </c>
      <c r="BF84" s="289" t="e">
        <f>BF83*(1-VLOOKUP(AZ84,boc_trpr_bc,11,TRUE)*boc_rr_bc_modp-VLOOKUP(AZ84,boc_trpr_oc,11,TRUE)*boc_rr_oc_modp-VLOOKUP(AZ84,mortt,2,FALSE))</f>
        <v>#N/A</v>
      </c>
      <c r="BG84" s="289" t="e">
        <f>BG83*(1-VLOOKUP(AZ84,boc_trpr_bc,11,TRUE)*boc_rr_bc_modv-VLOOKUP(AZ84,boc_trpr_oc,11,TRUE)*boc_rr_oc_modv-VLOOKUP(AZ84,mortt,2,FALSE))</f>
        <v>#N/A</v>
      </c>
      <c r="BH84" s="289" t="e">
        <f>BH83*(1-VLOOKUP(AZ84,boc_trpr_bc,11,TRUE)*boc_rr_bc_lop-VLOOKUP(AZ84,boc_trpr_oc,11,TRUE)*boc_rr_oc_lop-VLOOKUP(AZ84,mortt,2,FALSE))</f>
        <v>#N/A</v>
      </c>
      <c r="BI84" s="289" t="e">
        <f>BI83*(1-VLOOKUP(AZ84,boc_trpr_bc,11,TRUE)*boc_rr_bc_lov-VLOOKUP(AZ84,boc_trpr_oc,11,TRUE)*boc_rr_oc_lov-VLOOKUP(AZ84,mortt,2,FALSE))</f>
        <v>#N/A</v>
      </c>
      <c r="BJ84" s="260" t="e">
        <f>BJ83*(1-VLOOKUP(AZ84,boc_trpr_bc,11,TRUE)*boc_rr_bc_np-VLOOKUP(AZ84,boc_trpr_oc,11,TRUE)*boc_rr_oc_np-VLOOKUP(AZ84,mortt,2,FALSE))</f>
        <v>#N/A</v>
      </c>
      <c r="BK84" s="260" t="e">
        <f>BA83*VLOOKUP(AZ84,boc_trpr_bc,11,TRUE)*boc_rr_bc_mast+BB83*VLOOKUP(AZ84,boc_trpr_bc,11,TRUE)*boc_rr_bc_ooph+BC83*VLOOKUP(AZ84,boc_trpr_bc,11,TRUE)*boc_rr_bc_both+BD83*VLOOKUP(AZ84,boc_trpr_bc,11,TRUE)*boc_rr_bc_hip+BE83*VLOOKUP(AZ84,boc_trpr_bc,11,TRUE)*boc_rr_bc_hiv+BF83*VLOOKUP(AZ84,boc_trpr_bc,11,TRUE)*boc_rr_bc_modp+BG83*VLOOKUP(AZ84,boc_trpr_bc,11,TRUE)*boc_rr_bc_modv+BH83*VLOOKUP(AZ84,boc_trpr_bc,11,TRUE)*boc_rr_bc_lop+BI83*VLOOKUP(AZ84,boc_trpr_bc,11,TRUE)*boc_rr_bc_lov+BJ83*VLOOKUP(AZ84,boc_trpr_bc,11,TRUE)*boc_rr_bc_np</f>
        <v>#N/A</v>
      </c>
      <c r="BL84" s="260" t="e">
        <f>BA83*VLOOKUP(AZ84,boc_trpr_oc,11,TRUE)*boc_rr_oc_mast+BB83*VLOOKUP(AZ84,boc_trpr_oc,11,TRUE)*boc_rr_oc_ooph+BC83*VLOOKUP(AZ84,boc_trpr_oc,11,TRUE)*boc_rr_oc_both+BD83*VLOOKUP(AZ84,boc_trpr_oc,11,TRUE)*boc_rr_oc_hip+BE83*VLOOKUP(AZ84,boc_trpr_oc,11,TRUE)*boc_rr_oc_hiv+BF83*VLOOKUP(AZ84,boc_trpr_oc,11,TRUE)*boc_rr_oc_modp+BG83*VLOOKUP(AZ84,boc_trpr_oc,11,TRUE)*boc_rr_oc_modv+BH83*VLOOKUP(AZ84,boc_trpr_oc,11,TRUE)*boc_rr_oc_lop+BI83*VLOOKUP(AZ84,boc_trpr_oc,11,TRUE)*boc_rr_oc_lov+BJ83*VLOOKUP(AZ84,boc_trpr_oc,11,TRUE)*boc_rr_oc_np</f>
        <v>#N/A</v>
      </c>
      <c r="BM84" s="260" t="e">
        <f>BK83*(1-VLOOKUP(AZ84,boc_trpr_bc_death,20,TRUE))+BL83*(1-VLOOKUP(AZ84,boc_trpr_oc_death,20,TRUE))+BM83*(1-VLOOKUP(AZ84,mortt,2,FALSE)*boc_rr_death_pc)</f>
        <v>#N/A</v>
      </c>
      <c r="BN84" s="260" t="e">
        <f>BN83+SUM(BA83:BJ83)*VLOOKUP(AZ84,mortt,2,FALSE)+BK83*VLOOKUP(AZ84,boc_trpr_bc_death,20,TRUE)+BL83*VLOOKUP(AZ84,boc_trpr_bc_death,20,TRUE)+BM83*VLOOKUP(AZ84,mortt,2,FALSE)*boc_rr_death_pc</f>
        <v>#N/A</v>
      </c>
      <c r="BO84" s="260" t="e">
        <f t="shared" si="41"/>
        <v>#N/A</v>
      </c>
      <c r="BP84" s="118" t="e">
        <f>(boc_cost_mast*SUM(BD84,BF84,BH84)*(boc_tr_mast_path+boc_tr_both_path)+SUM(BE84,BG84,BI84)*(boc_tr_mast_vus+boc_tr_both_vus)+BK84*boc_cost_bc+BL84*boc_cost_oc+BM84*boc_cost_pc+(BK84*VLOOKUP(AZ84,boc_trpr_bc_death,20,TRUE)+BL84*VLOOKUP(AZ84,boc_trpr_oc_death,TRUE)*boc_cost_death))/((1+discount)^AY84)</f>
        <v>#N/A</v>
      </c>
      <c r="BQ84" s="35" t="e">
        <f t="shared" si="65"/>
        <v>#N/A</v>
      </c>
      <c r="BR84" s="35" t="e">
        <f t="shared" si="66"/>
        <v>#N/A</v>
      </c>
      <c r="BS84" s="35"/>
      <c r="BU84" s="33">
        <v>56</v>
      </c>
      <c r="BV84" t="str">
        <f>$M$139</f>
        <v>boc_cost_ooph</v>
      </c>
      <c r="BW84" s="118">
        <f>$F$139</f>
        <v>6515.2000000000007</v>
      </c>
      <c r="BX84" s="118">
        <f>$G$139</f>
        <v>9772.7999999999993</v>
      </c>
      <c r="BY84" s="311">
        <v>-7.5531978571930267</v>
      </c>
      <c r="BZ84" s="311">
        <v>-7.5531978571930267</v>
      </c>
      <c r="CA84" s="311">
        <f t="shared" si="57"/>
        <v>0</v>
      </c>
      <c r="CD84" s="138">
        <v>79</v>
      </c>
      <c r="CE84" s="291">
        <v>3.7751E-2</v>
      </c>
    </row>
    <row r="85" spans="2:83" ht="15" customHeight="1" x14ac:dyDescent="0.2">
      <c r="B85" s="19" t="s">
        <v>224</v>
      </c>
      <c r="C85" s="35">
        <f t="shared" si="69"/>
        <v>0.05</v>
      </c>
      <c r="D85" s="158"/>
      <c r="E85" s="35">
        <v>0.05</v>
      </c>
      <c r="F85" s="35">
        <f t="shared" si="70"/>
        <v>4.0000000000000008E-2</v>
      </c>
      <c r="G85" s="35">
        <f t="shared" si="71"/>
        <v>0.06</v>
      </c>
      <c r="H85" s="48">
        <f t="shared" si="72"/>
        <v>91.184646991485536</v>
      </c>
      <c r="I85" s="48">
        <f t="shared" si="73"/>
        <v>1732.5082928382249</v>
      </c>
      <c r="J85" s="35">
        <f t="shared" ca="1" si="74"/>
        <v>4.938160063455084E-2</v>
      </c>
      <c r="K85" s="12" t="s">
        <v>71</v>
      </c>
      <c r="L85" s="40">
        <v>28</v>
      </c>
      <c r="M85" s="247" t="s">
        <v>245</v>
      </c>
      <c r="N85" s="39" t="s">
        <v>48</v>
      </c>
      <c r="Q85" s="11"/>
      <c r="U85" s="9" t="s">
        <v>9</v>
      </c>
      <c r="V85" s="250">
        <f>1-SUM(V82,V83,V84)</f>
        <v>0.97</v>
      </c>
      <c r="AA85" s="261">
        <f>R78*T83*V85</f>
        <v>3.0699790038501203E-2</v>
      </c>
      <c r="AD85" s="12">
        <v>79</v>
      </c>
      <c r="AE85" s="12">
        <f t="shared" si="61"/>
        <v>124</v>
      </c>
      <c r="AF85" s="260" t="e">
        <f>AF84*(1-VLOOKUP(AE85,boc_trpr_bc,11,TRUE)*boc_rr_bc_mast-VLOOKUP(AE85,boc_trpr_oc,11,TRUE)*boc_rr_oc_mast-VLOOKUP(AE85,mortt,2,FALSE))+SUM(AI84,AK84,AM84)*boc_tr_mast_path+SUM(AJ84,AL84,AN84)*boc_tr_mast_vus</f>
        <v>#N/A</v>
      </c>
      <c r="AG85" s="260" t="e">
        <f>AG84*(1-VLOOKUP(AE85,boc_trpr_bc,11,TRUE)*boc_rr_bc_ooph-VLOOKUP(AE85,boc_trpr_oc,11,TRUE)*boc_rr_oc_ooph-VLOOKUP(AE85,mortt,2,FALSE))+SUM(AI84,AK84,AM84)*boc_tr_ooph_path+SUM(AJ84,AL84,AN84)*boc_tr_ooph_vus</f>
        <v>#N/A</v>
      </c>
      <c r="AH85" s="260" t="e">
        <f>AH84*(1-VLOOKUP(AE85,boc_trpr_bc,11,TRUE)*boc_rr_bc_both-VLOOKUP(AE85,boc_trpr_oc,11,TRUE)*boc_rr_oc_both-VLOOKUP(AE85,mortt,2,FALSE))+SUM(AI84,AK84,AM84)*boc_tr_both_path+SUM(AJ84,AL84,AN84)*boc_tr_both_vus</f>
        <v>#N/A</v>
      </c>
      <c r="AI85" s="289" t="e">
        <f>AI84*(1-VLOOKUP(AE85,boc_trpr_bc,11,TRUE)*boc_rr_bc_hip-VLOOKUP(AE85,boc_trpr_oc,11,TRUE)*boc_rr_oc_hip-boc_tr_mast_path-boc_tr_ooph_path-boc_tr_both_path-VLOOKUP(AE85,mortt,2,FALSE))</f>
        <v>#N/A</v>
      </c>
      <c r="AJ85" s="289" t="e">
        <f>AJ84*(1-VLOOKUP(AE85,boc_trpr_bc,11,TRUE)*boc_rr_bc_hiv-VLOOKUP(AE85,boc_trpr_oc,11,TRUE)*boc_rr_oc_hiv-boc_tr_mast_vus-boc_tr_ooph_vus-boc_tr_both_vus-VLOOKUP(AE85,mortt,2,FALSE))</f>
        <v>#N/A</v>
      </c>
      <c r="AK85" s="289" t="e">
        <f>AK84*(1-VLOOKUP(AE85,boc_trpr_bc,11,TRUE)*boc_rr_bc_modp-VLOOKUP(AE85,boc_trpr_oc,11,TRUE)*boc_rr_oc_modp-boc_tr_mast_path-boc_tr_ooph_path-boc_tr_both_path-VLOOKUP(AE85,mortt,2,FALSE))</f>
        <v>#N/A</v>
      </c>
      <c r="AL85" s="289" t="e">
        <f>AL84*(1-VLOOKUP(AE85,boc_trpr_bc,11,TRUE)*boc_rr_bc_modv-VLOOKUP(AE85,boc_trpr_oc,11,TRUE)*boc_rr_oc_modv-boc_tr_mast_vus-boc_tr_ooph_vus-boc_tr_both_vus-VLOOKUP(AE85,mortt,2,FALSE))</f>
        <v>#N/A</v>
      </c>
      <c r="AM85" s="289" t="e">
        <f>AM84*(1-VLOOKUP(AE85,boc_trpr_bc,11,TRUE)*boc_rr_bc_lop-VLOOKUP(AE85,boc_trpr_oc,11,TRUE)*boc_rr_oc_lop-boc_tr_mast_path-boc_tr_ooph_path-boc_tr_both_path-VLOOKUP(AE85,mortt,2,FALSE))</f>
        <v>#N/A</v>
      </c>
      <c r="AN85" s="289" t="e">
        <f>AN84*(1-VLOOKUP(AE85,boc_trpr_bc,11,TRUE)*boc_rr_bc_lov-VLOOKUP(AE85,boc_trpr_oc,11,TRUE)*boc_rr_oc_lov-boc_tr_mast_vus-boc_tr_ooph_vus-boc_tr_both_vus-VLOOKUP(AE85,mortt,2,FALSE))</f>
        <v>#N/A</v>
      </c>
      <c r="AO85" s="260" t="e">
        <f>AO84*(1-VLOOKUP(AE85,boc_trpr_bc,11,TRUE)*boc_rr_bc_np-VLOOKUP(AE85,boc_trpr_oc,11,TRUE)*boc_rr_oc_np-VLOOKUP(AE85,mortt,2,FALSE))</f>
        <v>#N/A</v>
      </c>
      <c r="AP85" s="260" t="e">
        <f>AF84*VLOOKUP(AE85,boc_trpr_bc,11,TRUE)*boc_rr_bc_mast+AG84*VLOOKUP(AE85,boc_trpr_bc,11,TRUE)*boc_rr_bc_ooph+AH84*VLOOKUP(AE85,boc_trpr_bc,11,TRUE)*boc_rr_bc_both+AI84*VLOOKUP(AE85,boc_trpr_bc,11,TRUE)*boc_rr_bc_hip+AJ84*VLOOKUP(AE85,boc_trpr_bc,11,TRUE)*boc_rr_bc_hiv+AK84*VLOOKUP(AE85,boc_trpr_bc,11,TRUE)*boc_rr_bc_modp+AL84*VLOOKUP(AE85,boc_trpr_bc,11,TRUE)*boc_rr_bc_modv+AM84*VLOOKUP(AE85,boc_trpr_bc,11,TRUE)*boc_rr_bc_lop+AN84*VLOOKUP(AE85,boc_trpr_bc,11,TRUE)*boc_rr_bc_lov+AO84*VLOOKUP(AE85,boc_trpr_bc,11,TRUE)*boc_rr_bc_np</f>
        <v>#N/A</v>
      </c>
      <c r="AQ85" s="260" t="e">
        <f>AF84*VLOOKUP(AE85,boc_trpr_oc,11,TRUE)*boc_rr_oc_mast+AG84*VLOOKUP(AE85,boc_trpr_oc,11,TRUE)*boc_rr_oc_ooph+AH84*VLOOKUP(AE85,boc_trpr_oc,11,TRUE)*boc_rr_oc_both+AI84*VLOOKUP(AE85,boc_trpr_oc,11,TRUE)*boc_rr_oc_hip+AJ84*VLOOKUP(AE85,boc_trpr_oc,11,TRUE)*boc_rr_oc_hiv+AK84*VLOOKUP(AE85,boc_trpr_oc,11,TRUE)*boc_rr_oc_modp+AL84*VLOOKUP(AE85,boc_trpr_oc,11,TRUE)*boc_rr_oc_modv+AM84*VLOOKUP(AE85,boc_trpr_oc,11,TRUE)*boc_rr_oc_lop+AN84*VLOOKUP(AE85,boc_trpr_oc,11,TRUE)*boc_rr_oc_lov+AO84*VLOOKUP(AE85,boc_trpr_oc,11,TRUE)*boc_rr_oc_np</f>
        <v>#N/A</v>
      </c>
      <c r="AR85" s="260" t="e">
        <f>AP84*(1-VLOOKUP(AE85,boc_trpr_bc_death,20,TRUE))+AQ84*(1-VLOOKUP(AE85,boc_trpr_oc_death,20,TRUE))+AR84*(1-VLOOKUP(AE85,mortt,2,FALSE)*boc_rr_death_pc)</f>
        <v>#N/A</v>
      </c>
      <c r="AS85" s="260" t="e">
        <f>AS84+SUM(AF84:AO84)*VLOOKUP(AE85,mortt,2,FALSE)+AP84*VLOOKUP(AE85,boc_trpr_bc_death,20,TRUE)+AQ84*VLOOKUP(AE85,boc_trpr_bc_death,20,TRUE)+AR84*VLOOKUP(AE85,mortt,2,FALSE)*boc_rr_death_pc</f>
        <v>#N/A</v>
      </c>
      <c r="AT85" s="260" t="e">
        <f t="shared" si="52"/>
        <v>#N/A</v>
      </c>
      <c r="AU85" s="118" t="e">
        <f>(boc_cost_mast*SUM(AI85,AK85,AM85)*(boc_tr_mast_path+boc_tr_both_path)+SUM(AJ85,AL85,AN85)*(boc_tr_mast_vus+boc_tr_both_vus)+AP85*boc_cost_bc+AQ85*boc_cost_oc+AR85*boc_cost_pc+(AP85*VLOOKUP(AE85,boc_trpr_bc_death,20,TRUE)+AQ85*VLOOKUP(AE85,boc_trpr_oc_death,TRUE)*boc_cost_death))/((1+discount)^AD85)</f>
        <v>#N/A</v>
      </c>
      <c r="AV85" s="35" t="e">
        <f t="shared" si="62"/>
        <v>#N/A</v>
      </c>
      <c r="AW85" s="35" t="e">
        <f t="shared" si="63"/>
        <v>#N/A</v>
      </c>
      <c r="AY85" s="12">
        <v>79</v>
      </c>
      <c r="AZ85" s="12">
        <f t="shared" si="64"/>
        <v>124</v>
      </c>
      <c r="BA85" s="260" t="e">
        <f>BA84*(1-VLOOKUP(AZ85,boc_trpr_bc,11,TRUE)*boc_rr_bc_mast-VLOOKUP(AZ85,boc_trpr_oc,11,TRUE)*boc_rr_oc_mast-VLOOKUP(AZ85,mortt,2,FALSE))</f>
        <v>#N/A</v>
      </c>
      <c r="BB85" s="260" t="e">
        <f>BB84*(1-VLOOKUP(AZ85,boc_trpr_bc,11,TRUE)*boc_rr_bc_ooph-VLOOKUP(AZ85,boc_trpr_oc,11,TRUE)*boc_rr_oc_ooph-VLOOKUP(AZ85,mortt,2,FALSE))</f>
        <v>#N/A</v>
      </c>
      <c r="BC85" s="260" t="e">
        <f>BC84*(1-VLOOKUP(AZ85,boc_trpr_bc,11,TRUE)*boc_rr_bc_both-VLOOKUP(AZ85,boc_trpr_oc,11,TRUE)*boc_rr_oc_both-VLOOKUP(AZ85,mortt,2,FALSE))</f>
        <v>#N/A</v>
      </c>
      <c r="BD85" s="289" t="e">
        <f>BD84*(1-VLOOKUP(AZ85,boc_trpr_bc,11,TRUE)*boc_rr_bc_hip-VLOOKUP(AZ85,boc_trpr_oc,11,TRUE)*boc_rr_oc_hip-VLOOKUP(AZ85,mortt,2,FALSE))</f>
        <v>#N/A</v>
      </c>
      <c r="BE85" s="289" t="e">
        <f>BE84*(1-VLOOKUP(AZ85,boc_trpr_bc,11,TRUE)*boc_rr_bc_hiv-VLOOKUP(AZ85,boc_trpr_oc,11,TRUE)*boc_rr_oc_hiv-VLOOKUP(AZ85,mortt,2,FALSE))</f>
        <v>#N/A</v>
      </c>
      <c r="BF85" s="289" t="e">
        <f>BF84*(1-VLOOKUP(AZ85,boc_trpr_bc,11,TRUE)*boc_rr_bc_modp-VLOOKUP(AZ85,boc_trpr_oc,11,TRUE)*boc_rr_oc_modp-VLOOKUP(AZ85,mortt,2,FALSE))</f>
        <v>#N/A</v>
      </c>
      <c r="BG85" s="289" t="e">
        <f>BG84*(1-VLOOKUP(AZ85,boc_trpr_bc,11,TRUE)*boc_rr_bc_modv-VLOOKUP(AZ85,boc_trpr_oc,11,TRUE)*boc_rr_oc_modv-VLOOKUP(AZ85,mortt,2,FALSE))</f>
        <v>#N/A</v>
      </c>
      <c r="BH85" s="289" t="e">
        <f>BH84*(1-VLOOKUP(AZ85,boc_trpr_bc,11,TRUE)*boc_rr_bc_lop-VLOOKUP(AZ85,boc_trpr_oc,11,TRUE)*boc_rr_oc_lop-VLOOKUP(AZ85,mortt,2,FALSE))</f>
        <v>#N/A</v>
      </c>
      <c r="BI85" s="289" t="e">
        <f>BI84*(1-VLOOKUP(AZ85,boc_trpr_bc,11,TRUE)*boc_rr_bc_lov-VLOOKUP(AZ85,boc_trpr_oc,11,TRUE)*boc_rr_oc_lov-VLOOKUP(AZ85,mortt,2,FALSE))</f>
        <v>#N/A</v>
      </c>
      <c r="BJ85" s="260" t="e">
        <f>BJ84*(1-VLOOKUP(AZ85,boc_trpr_bc,11,TRUE)*boc_rr_bc_np-VLOOKUP(AZ85,boc_trpr_oc,11,TRUE)*boc_rr_oc_np-VLOOKUP(AZ85,mortt,2,FALSE))</f>
        <v>#N/A</v>
      </c>
      <c r="BK85" s="260" t="e">
        <f>BA84*VLOOKUP(AZ85,boc_trpr_bc,11,TRUE)*boc_rr_bc_mast+BB84*VLOOKUP(AZ85,boc_trpr_bc,11,TRUE)*boc_rr_bc_ooph+BC84*VLOOKUP(AZ85,boc_trpr_bc,11,TRUE)*boc_rr_bc_both+BD84*VLOOKUP(AZ85,boc_trpr_bc,11,TRUE)*boc_rr_bc_hip+BE84*VLOOKUP(AZ85,boc_trpr_bc,11,TRUE)*boc_rr_bc_hiv+BF84*VLOOKUP(AZ85,boc_trpr_bc,11,TRUE)*boc_rr_bc_modp+BG84*VLOOKUP(AZ85,boc_trpr_bc,11,TRUE)*boc_rr_bc_modv+BH84*VLOOKUP(AZ85,boc_trpr_bc,11,TRUE)*boc_rr_bc_lop+BI84*VLOOKUP(AZ85,boc_trpr_bc,11,TRUE)*boc_rr_bc_lov+BJ84*VLOOKUP(AZ85,boc_trpr_bc,11,TRUE)*boc_rr_bc_np</f>
        <v>#N/A</v>
      </c>
      <c r="BL85" s="260" t="e">
        <f>BA84*VLOOKUP(AZ85,boc_trpr_oc,11,TRUE)*boc_rr_oc_mast+BB84*VLOOKUP(AZ85,boc_trpr_oc,11,TRUE)*boc_rr_oc_ooph+BC84*VLOOKUP(AZ85,boc_trpr_oc,11,TRUE)*boc_rr_oc_both+BD84*VLOOKUP(AZ85,boc_trpr_oc,11,TRUE)*boc_rr_oc_hip+BE84*VLOOKUP(AZ85,boc_trpr_oc,11,TRUE)*boc_rr_oc_hiv+BF84*VLOOKUP(AZ85,boc_trpr_oc,11,TRUE)*boc_rr_oc_modp+BG84*VLOOKUP(AZ85,boc_trpr_oc,11,TRUE)*boc_rr_oc_modv+BH84*VLOOKUP(AZ85,boc_trpr_oc,11,TRUE)*boc_rr_oc_lop+BI84*VLOOKUP(AZ85,boc_trpr_oc,11,TRUE)*boc_rr_oc_lov+BJ84*VLOOKUP(AZ85,boc_trpr_oc,11,TRUE)*boc_rr_oc_np</f>
        <v>#N/A</v>
      </c>
      <c r="BM85" s="260" t="e">
        <f>BK84*(1-VLOOKUP(AZ85,boc_trpr_bc_death,20,TRUE))+BL84*(1-VLOOKUP(AZ85,boc_trpr_oc_death,20,TRUE))+BM84*(1-VLOOKUP(AZ85,mortt,2,FALSE)*boc_rr_death_pc)</f>
        <v>#N/A</v>
      </c>
      <c r="BN85" s="260" t="e">
        <f>BN84+SUM(BA84:BJ84)*VLOOKUP(AZ85,mortt,2,FALSE)+BK84*VLOOKUP(AZ85,boc_trpr_bc_death,20,TRUE)+BL84*VLOOKUP(AZ85,boc_trpr_bc_death,20,TRUE)+BM84*VLOOKUP(AZ85,mortt,2,FALSE)*boc_rr_death_pc</f>
        <v>#N/A</v>
      </c>
      <c r="BO85" s="260" t="e">
        <f t="shared" si="41"/>
        <v>#N/A</v>
      </c>
      <c r="BP85" s="118" t="e">
        <f>(boc_cost_mast*SUM(BD85,BF85,BH85)*(boc_tr_mast_path+boc_tr_both_path)+SUM(BE85,BG85,BI85)*(boc_tr_mast_vus+boc_tr_both_vus)+BK85*boc_cost_bc+BL85*boc_cost_oc+BM85*boc_cost_pc+(BK85*VLOOKUP(AZ85,boc_trpr_bc_death,20,TRUE)+BL85*VLOOKUP(AZ85,boc_trpr_oc_death,TRUE)*boc_cost_death))/((1+discount)^AY85)</f>
        <v>#N/A</v>
      </c>
      <c r="BQ85" s="35" t="e">
        <f t="shared" si="65"/>
        <v>#N/A</v>
      </c>
      <c r="BR85" s="35" t="e">
        <f t="shared" si="66"/>
        <v>#N/A</v>
      </c>
      <c r="BS85" s="35"/>
      <c r="BU85" s="33">
        <v>57</v>
      </c>
      <c r="BV85" t="str">
        <f>$M$142</f>
        <v>boc_cost_bc</v>
      </c>
      <c r="BW85" s="118">
        <f>$F$142</f>
        <v>60698.400000000001</v>
      </c>
      <c r="BX85" s="118">
        <f>$G$142</f>
        <v>91047.599999999991</v>
      </c>
      <c r="BY85" s="311">
        <v>-7.5531978571930267</v>
      </c>
      <c r="BZ85" s="311">
        <v>-7.5531978571930267</v>
      </c>
      <c r="CA85" s="311">
        <f t="shared" si="57"/>
        <v>0</v>
      </c>
      <c r="CD85" s="138">
        <v>80</v>
      </c>
      <c r="CE85" s="291">
        <v>4.2126999999999998E-2</v>
      </c>
    </row>
    <row r="86" spans="2:83" ht="15" customHeight="1" x14ac:dyDescent="0.2">
      <c r="B86" s="19"/>
      <c r="Q86" s="11"/>
      <c r="AD86" s="12">
        <v>80</v>
      </c>
      <c r="AE86" s="12">
        <f t="shared" si="61"/>
        <v>125</v>
      </c>
      <c r="AF86" s="260" t="e">
        <f>AF85*(1-VLOOKUP(AE86,boc_trpr_bc,11,TRUE)*boc_rr_bc_mast-VLOOKUP(AE86,boc_trpr_oc,11,TRUE)*boc_rr_oc_mast-VLOOKUP(AE86,mortt,2,FALSE))+SUM(AI85,AK85,AM85)*boc_tr_mast_path+SUM(AJ85,AL85,AN85)*boc_tr_mast_vus</f>
        <v>#N/A</v>
      </c>
      <c r="AG86" s="260" t="e">
        <f>AG85*(1-VLOOKUP(AE86,boc_trpr_bc,11,TRUE)*boc_rr_bc_ooph-VLOOKUP(AE86,boc_trpr_oc,11,TRUE)*boc_rr_oc_ooph-VLOOKUP(AE86,mortt,2,FALSE))+SUM(AI85,AK85,AM85)*boc_tr_ooph_path+SUM(AJ85,AL85,AN85)*boc_tr_ooph_vus</f>
        <v>#N/A</v>
      </c>
      <c r="AH86" s="260" t="e">
        <f>AH85*(1-VLOOKUP(AE86,boc_trpr_bc,11,TRUE)*boc_rr_bc_both-VLOOKUP(AE86,boc_trpr_oc,11,TRUE)*boc_rr_oc_both-VLOOKUP(AE86,mortt,2,FALSE))+SUM(AI85,AK85,AM85)*boc_tr_both_path+SUM(AJ85,AL85,AN85)*boc_tr_both_vus</f>
        <v>#N/A</v>
      </c>
      <c r="AI86" s="289" t="e">
        <f>AI85*(1-VLOOKUP(AE86,boc_trpr_bc,11,TRUE)*boc_rr_bc_hip-VLOOKUP(AE86,boc_trpr_oc,11,TRUE)*boc_rr_oc_hip-boc_tr_mast_path-boc_tr_ooph_path-boc_tr_both_path-VLOOKUP(AE86,mortt,2,FALSE))</f>
        <v>#N/A</v>
      </c>
      <c r="AJ86" s="289" t="e">
        <f>AJ85*(1-VLOOKUP(AE86,boc_trpr_bc,11,TRUE)*boc_rr_bc_hiv-VLOOKUP(AE86,boc_trpr_oc,11,TRUE)*boc_rr_oc_hiv-boc_tr_mast_vus-boc_tr_ooph_vus-boc_tr_both_vus-VLOOKUP(AE86,mortt,2,FALSE))</f>
        <v>#N/A</v>
      </c>
      <c r="AK86" s="289" t="e">
        <f>AK85*(1-VLOOKUP(AE86,boc_trpr_bc,11,TRUE)*boc_rr_bc_modp-VLOOKUP(AE86,boc_trpr_oc,11,TRUE)*boc_rr_oc_modp-boc_tr_mast_path-boc_tr_ooph_path-boc_tr_both_path-VLOOKUP(AE86,mortt,2,FALSE))</f>
        <v>#N/A</v>
      </c>
      <c r="AL86" s="289" t="e">
        <f>AL85*(1-VLOOKUP(AE86,boc_trpr_bc,11,TRUE)*boc_rr_bc_modv-VLOOKUP(AE86,boc_trpr_oc,11,TRUE)*boc_rr_oc_modv-boc_tr_mast_vus-boc_tr_ooph_vus-boc_tr_both_vus-VLOOKUP(AE86,mortt,2,FALSE))</f>
        <v>#N/A</v>
      </c>
      <c r="AM86" s="289" t="e">
        <f>AM85*(1-VLOOKUP(AE86,boc_trpr_bc,11,TRUE)*boc_rr_bc_lop-VLOOKUP(AE86,boc_trpr_oc,11,TRUE)*boc_rr_oc_lop-boc_tr_mast_path-boc_tr_ooph_path-boc_tr_both_path-VLOOKUP(AE86,mortt,2,FALSE))</f>
        <v>#N/A</v>
      </c>
      <c r="AN86" s="289" t="e">
        <f>AN85*(1-VLOOKUP(AE86,boc_trpr_bc,11,TRUE)*boc_rr_bc_lov-VLOOKUP(AE86,boc_trpr_oc,11,TRUE)*boc_rr_oc_lov-boc_tr_mast_vus-boc_tr_ooph_vus-boc_tr_both_vus-VLOOKUP(AE86,mortt,2,FALSE))</f>
        <v>#N/A</v>
      </c>
      <c r="AO86" s="260" t="e">
        <f>AO85*(1-VLOOKUP(AE86,boc_trpr_bc,11,TRUE)*boc_rr_bc_np-VLOOKUP(AE86,boc_trpr_oc,11,TRUE)*boc_rr_oc_np-VLOOKUP(AE86,mortt,2,FALSE))</f>
        <v>#N/A</v>
      </c>
      <c r="AP86" s="260" t="e">
        <f>AF85*VLOOKUP(AE86,boc_trpr_bc,11,TRUE)*boc_rr_bc_mast+AG85*VLOOKUP(AE86,boc_trpr_bc,11,TRUE)*boc_rr_bc_ooph+AH85*VLOOKUP(AE86,boc_trpr_bc,11,TRUE)*boc_rr_bc_both+AI85*VLOOKUP(AE86,boc_trpr_bc,11,TRUE)*boc_rr_bc_hip+AJ85*VLOOKUP(AE86,boc_trpr_bc,11,TRUE)*boc_rr_bc_hiv+AK85*VLOOKUP(AE86,boc_trpr_bc,11,TRUE)*boc_rr_bc_modp+AL85*VLOOKUP(AE86,boc_trpr_bc,11,TRUE)*boc_rr_bc_modv+AM85*VLOOKUP(AE86,boc_trpr_bc,11,TRUE)*boc_rr_bc_lop+AN85*VLOOKUP(AE86,boc_trpr_bc,11,TRUE)*boc_rr_bc_lov+AO85*VLOOKUP(AE86,boc_trpr_bc,11,TRUE)*boc_rr_bc_np</f>
        <v>#N/A</v>
      </c>
      <c r="AQ86" s="260" t="e">
        <f>AF85*VLOOKUP(AE86,boc_trpr_oc,11,TRUE)*boc_rr_oc_mast+AG85*VLOOKUP(AE86,boc_trpr_oc,11,TRUE)*boc_rr_oc_ooph+AH85*VLOOKUP(AE86,boc_trpr_oc,11,TRUE)*boc_rr_oc_both+AI85*VLOOKUP(AE86,boc_trpr_oc,11,TRUE)*boc_rr_oc_hip+AJ85*VLOOKUP(AE86,boc_trpr_oc,11,TRUE)*boc_rr_oc_hiv+AK85*VLOOKUP(AE86,boc_trpr_oc,11,TRUE)*boc_rr_oc_modp+AL85*VLOOKUP(AE86,boc_trpr_oc,11,TRUE)*boc_rr_oc_modv+AM85*VLOOKUP(AE86,boc_trpr_oc,11,TRUE)*boc_rr_oc_lop+AN85*VLOOKUP(AE86,boc_trpr_oc,11,TRUE)*boc_rr_oc_lov+AO85*VLOOKUP(AE86,boc_trpr_oc,11,TRUE)*boc_rr_oc_np</f>
        <v>#N/A</v>
      </c>
      <c r="AR86" s="260" t="e">
        <f>AP85*(1-VLOOKUP(AE86,boc_trpr_bc_death,20,TRUE))+AQ85*(1-VLOOKUP(AE86,boc_trpr_oc_death,20,TRUE))+AR85*(1-VLOOKUP(AE86,mortt,2,FALSE)*boc_rr_death_pc)</f>
        <v>#N/A</v>
      </c>
      <c r="AS86" s="260" t="e">
        <f>AS85+SUM(AF85:AO85)*VLOOKUP(AE86,mortt,2,FALSE)+AP85*VLOOKUP(AE86,boc_trpr_bc_death,20,TRUE)+AQ85*VLOOKUP(AE86,boc_trpr_bc_death,20,TRUE)+AR85*VLOOKUP(AE86,mortt,2,FALSE)*boc_rr_death_pc</f>
        <v>#N/A</v>
      </c>
      <c r="AT86" s="260" t="e">
        <f t="shared" si="52"/>
        <v>#N/A</v>
      </c>
      <c r="AU86" s="118" t="e">
        <f>(boc_cost_mast*SUM(AI86,AK86,AM86)*(boc_tr_mast_path+boc_tr_both_path)+SUM(AJ86,AL86,AN86)*(boc_tr_mast_vus+boc_tr_both_vus)+AP86*boc_cost_bc+AQ86*boc_cost_oc+AR86*boc_cost_pc+(AP86*VLOOKUP(AE86,boc_trpr_bc_death,20,TRUE)+AQ86*VLOOKUP(AE86,boc_trpr_oc_death,TRUE)*boc_cost_death))/((1+discount)^AD86)</f>
        <v>#N/A</v>
      </c>
      <c r="AV86" s="35" t="e">
        <f t="shared" si="62"/>
        <v>#N/A</v>
      </c>
      <c r="AW86" s="35" t="e">
        <f t="shared" si="63"/>
        <v>#N/A</v>
      </c>
      <c r="AY86" s="12">
        <v>80</v>
      </c>
      <c r="AZ86" s="12">
        <f t="shared" si="64"/>
        <v>125</v>
      </c>
      <c r="BA86" s="260" t="e">
        <f>BA85*(1-VLOOKUP(AZ86,boc_trpr_bc,11,TRUE)*boc_rr_bc_mast-VLOOKUP(AZ86,boc_trpr_oc,11,TRUE)*boc_rr_oc_mast-VLOOKUP(AZ86,mortt,2,FALSE))</f>
        <v>#N/A</v>
      </c>
      <c r="BB86" s="260" t="e">
        <f>BB85*(1-VLOOKUP(AZ86,boc_trpr_bc,11,TRUE)*boc_rr_bc_ooph-VLOOKUP(AZ86,boc_trpr_oc,11,TRUE)*boc_rr_oc_ooph-VLOOKUP(AZ86,mortt,2,FALSE))</f>
        <v>#N/A</v>
      </c>
      <c r="BC86" s="260" t="e">
        <f>BC85*(1-VLOOKUP(AZ86,boc_trpr_bc,11,TRUE)*boc_rr_bc_both-VLOOKUP(AZ86,boc_trpr_oc,11,TRUE)*boc_rr_oc_both-VLOOKUP(AZ86,mortt,2,FALSE))</f>
        <v>#N/A</v>
      </c>
      <c r="BD86" s="289" t="e">
        <f>BD85*(1-VLOOKUP(AZ86,boc_trpr_bc,11,TRUE)*boc_rr_bc_hip-VLOOKUP(AZ86,boc_trpr_oc,11,TRUE)*boc_rr_oc_hip-VLOOKUP(AZ86,mortt,2,FALSE))</f>
        <v>#N/A</v>
      </c>
      <c r="BE86" s="289" t="e">
        <f>BE85*(1-VLOOKUP(AZ86,boc_trpr_bc,11,TRUE)*boc_rr_bc_hiv-VLOOKUP(AZ86,boc_trpr_oc,11,TRUE)*boc_rr_oc_hiv-VLOOKUP(AZ86,mortt,2,FALSE))</f>
        <v>#N/A</v>
      </c>
      <c r="BF86" s="289" t="e">
        <f>BF85*(1-VLOOKUP(AZ86,boc_trpr_bc,11,TRUE)*boc_rr_bc_modp-VLOOKUP(AZ86,boc_trpr_oc,11,TRUE)*boc_rr_oc_modp-VLOOKUP(AZ86,mortt,2,FALSE))</f>
        <v>#N/A</v>
      </c>
      <c r="BG86" s="289" t="e">
        <f>BG85*(1-VLOOKUP(AZ86,boc_trpr_bc,11,TRUE)*boc_rr_bc_modv-VLOOKUP(AZ86,boc_trpr_oc,11,TRUE)*boc_rr_oc_modv-VLOOKUP(AZ86,mortt,2,FALSE))</f>
        <v>#N/A</v>
      </c>
      <c r="BH86" s="289" t="e">
        <f>BH85*(1-VLOOKUP(AZ86,boc_trpr_bc,11,TRUE)*boc_rr_bc_lop-VLOOKUP(AZ86,boc_trpr_oc,11,TRUE)*boc_rr_oc_lop-VLOOKUP(AZ86,mortt,2,FALSE))</f>
        <v>#N/A</v>
      </c>
      <c r="BI86" s="289" t="e">
        <f>BI85*(1-VLOOKUP(AZ86,boc_trpr_bc,11,TRUE)*boc_rr_bc_lov-VLOOKUP(AZ86,boc_trpr_oc,11,TRUE)*boc_rr_oc_lov-VLOOKUP(AZ86,mortt,2,FALSE))</f>
        <v>#N/A</v>
      </c>
      <c r="BJ86" s="260" t="e">
        <f>BJ85*(1-VLOOKUP(AZ86,boc_trpr_bc,11,TRUE)*boc_rr_bc_np-VLOOKUP(AZ86,boc_trpr_oc,11,TRUE)*boc_rr_oc_np-VLOOKUP(AZ86,mortt,2,FALSE))</f>
        <v>#N/A</v>
      </c>
      <c r="BK86" s="260" t="e">
        <f>BA85*VLOOKUP(AZ86,boc_trpr_bc,11,TRUE)*boc_rr_bc_mast+BB85*VLOOKUP(AZ86,boc_trpr_bc,11,TRUE)*boc_rr_bc_ooph+BC85*VLOOKUP(AZ86,boc_trpr_bc,11,TRUE)*boc_rr_bc_both+BD85*VLOOKUP(AZ86,boc_trpr_bc,11,TRUE)*boc_rr_bc_hip+BE85*VLOOKUP(AZ86,boc_trpr_bc,11,TRUE)*boc_rr_bc_hiv+BF85*VLOOKUP(AZ86,boc_trpr_bc,11,TRUE)*boc_rr_bc_modp+BG85*VLOOKUP(AZ86,boc_trpr_bc,11,TRUE)*boc_rr_bc_modv+BH85*VLOOKUP(AZ86,boc_trpr_bc,11,TRUE)*boc_rr_bc_lop+BI85*VLOOKUP(AZ86,boc_trpr_bc,11,TRUE)*boc_rr_bc_lov+BJ85*VLOOKUP(AZ86,boc_trpr_bc,11,TRUE)*boc_rr_bc_np</f>
        <v>#N/A</v>
      </c>
      <c r="BL86" s="260" t="e">
        <f>BA85*VLOOKUP(AZ86,boc_trpr_oc,11,TRUE)*boc_rr_oc_mast+BB85*VLOOKUP(AZ86,boc_trpr_oc,11,TRUE)*boc_rr_oc_ooph+BC85*VLOOKUP(AZ86,boc_trpr_oc,11,TRUE)*boc_rr_oc_both+BD85*VLOOKUP(AZ86,boc_trpr_oc,11,TRUE)*boc_rr_oc_hip+BE85*VLOOKUP(AZ86,boc_trpr_oc,11,TRUE)*boc_rr_oc_hiv+BF85*VLOOKUP(AZ86,boc_trpr_oc,11,TRUE)*boc_rr_oc_modp+BG85*VLOOKUP(AZ86,boc_trpr_oc,11,TRUE)*boc_rr_oc_modv+BH85*VLOOKUP(AZ86,boc_trpr_oc,11,TRUE)*boc_rr_oc_lop+BI85*VLOOKUP(AZ86,boc_trpr_oc,11,TRUE)*boc_rr_oc_lov+BJ85*VLOOKUP(AZ86,boc_trpr_oc,11,TRUE)*boc_rr_oc_np</f>
        <v>#N/A</v>
      </c>
      <c r="BM86" s="260" t="e">
        <f>BK85*(1-VLOOKUP(AZ86,boc_trpr_bc_death,20,TRUE))+BL85*(1-VLOOKUP(AZ86,boc_trpr_oc_death,20,TRUE))+BM85*(1-VLOOKUP(AZ86,mortt,2,FALSE)*boc_rr_death_pc)</f>
        <v>#N/A</v>
      </c>
      <c r="BN86" s="260" t="e">
        <f>BN85+SUM(BA85:BJ85)*VLOOKUP(AZ86,mortt,2,FALSE)+BK85*VLOOKUP(AZ86,boc_trpr_bc_death,20,TRUE)+BL85*VLOOKUP(AZ86,boc_trpr_bc_death,20,TRUE)+BM85*VLOOKUP(AZ86,mortt,2,FALSE)*boc_rr_death_pc</f>
        <v>#N/A</v>
      </c>
      <c r="BO86" s="260" t="e">
        <f t="shared" si="41"/>
        <v>#N/A</v>
      </c>
      <c r="BP86" s="118" t="e">
        <f>(boc_cost_mast*SUM(BD86,BF86,BH86)*(boc_tr_mast_path+boc_tr_both_path)+SUM(BE86,BG86,BI86)*(boc_tr_mast_vus+boc_tr_both_vus)+BK86*boc_cost_bc+BL86*boc_cost_oc+BM86*boc_cost_pc+(BK86*VLOOKUP(AZ86,boc_trpr_bc_death,20,TRUE)+BL86*VLOOKUP(AZ86,boc_trpr_oc_death,TRUE)*boc_cost_death))/((1+discount)^AY86)</f>
        <v>#N/A</v>
      </c>
      <c r="BQ86" s="35" t="e">
        <f t="shared" si="65"/>
        <v>#N/A</v>
      </c>
      <c r="BR86" s="35" t="e">
        <f t="shared" si="66"/>
        <v>#N/A</v>
      </c>
      <c r="BS86" s="35"/>
      <c r="BU86" s="33">
        <v>58</v>
      </c>
      <c r="BV86" t="str">
        <f>$M$143</f>
        <v>boc_cost_oc</v>
      </c>
      <c r="BW86" s="118">
        <f>$F$143</f>
        <v>102396</v>
      </c>
      <c r="BX86" s="118">
        <f>$G$143</f>
        <v>153594</v>
      </c>
      <c r="BY86" s="311">
        <v>-7.5531978571930267</v>
      </c>
      <c r="BZ86" s="311">
        <v>-7.5531978571930267</v>
      </c>
      <c r="CA86" s="311">
        <f t="shared" si="57"/>
        <v>0</v>
      </c>
      <c r="CD86" s="138">
        <v>81</v>
      </c>
      <c r="CE86" s="291">
        <v>4.6904000000000001E-2</v>
      </c>
    </row>
    <row r="87" spans="2:83" ht="15" customHeight="1" x14ac:dyDescent="0.25">
      <c r="B87" s="93" t="s">
        <v>218</v>
      </c>
      <c r="E87" s="372" t="s">
        <v>299</v>
      </c>
      <c r="Q87" s="11"/>
      <c r="U87" s="9" t="s">
        <v>7</v>
      </c>
      <c r="V87" s="250">
        <f>boc_unk_int_mast</f>
        <v>0.01</v>
      </c>
      <c r="X87" s="261">
        <f>R93*T88*V87</f>
        <v>1.0277136606418966E-5</v>
      </c>
      <c r="AD87" s="12">
        <v>81</v>
      </c>
      <c r="AE87" s="12">
        <f t="shared" si="61"/>
        <v>126</v>
      </c>
      <c r="AF87" s="260" t="e">
        <f>AF86*(1-VLOOKUP(AE87,boc_trpr_bc,11,TRUE)*boc_rr_bc_mast-VLOOKUP(AE87,boc_trpr_oc,11,TRUE)*boc_rr_oc_mast-VLOOKUP(AE87,mortt,2,FALSE))+SUM(AI86,AK86,AM86)*boc_tr_mast_path+SUM(AJ86,AL86,AN86)*boc_tr_mast_vus</f>
        <v>#N/A</v>
      </c>
      <c r="AG87" s="260" t="e">
        <f>AG86*(1-VLOOKUP(AE87,boc_trpr_bc,11,TRUE)*boc_rr_bc_ooph-VLOOKUP(AE87,boc_trpr_oc,11,TRUE)*boc_rr_oc_ooph-VLOOKUP(AE87,mortt,2,FALSE))+SUM(AI86,AK86,AM86)*boc_tr_ooph_path+SUM(AJ86,AL86,AN86)*boc_tr_ooph_vus</f>
        <v>#N/A</v>
      </c>
      <c r="AH87" s="260" t="e">
        <f>AH86*(1-VLOOKUP(AE87,boc_trpr_bc,11,TRUE)*boc_rr_bc_both-VLOOKUP(AE87,boc_trpr_oc,11,TRUE)*boc_rr_oc_both-VLOOKUP(AE87,mortt,2,FALSE))+SUM(AI86,AK86,AM86)*boc_tr_both_path+SUM(AJ86,AL86,AN86)*boc_tr_both_vus</f>
        <v>#N/A</v>
      </c>
      <c r="AI87" s="289" t="e">
        <f>AI86*(1-VLOOKUP(AE87,boc_trpr_bc,11,TRUE)*boc_rr_bc_hip-VLOOKUP(AE87,boc_trpr_oc,11,TRUE)*boc_rr_oc_hip-boc_tr_mast_path-boc_tr_ooph_path-boc_tr_both_path-VLOOKUP(AE87,mortt,2,FALSE))</f>
        <v>#N/A</v>
      </c>
      <c r="AJ87" s="289" t="e">
        <f>AJ86*(1-VLOOKUP(AE87,boc_trpr_bc,11,TRUE)*boc_rr_bc_hiv-VLOOKUP(AE87,boc_trpr_oc,11,TRUE)*boc_rr_oc_hiv-boc_tr_mast_vus-boc_tr_ooph_vus-boc_tr_both_vus-VLOOKUP(AE87,mortt,2,FALSE))</f>
        <v>#N/A</v>
      </c>
      <c r="AK87" s="289" t="e">
        <f>AK86*(1-VLOOKUP(AE87,boc_trpr_bc,11,TRUE)*boc_rr_bc_modp-VLOOKUP(AE87,boc_trpr_oc,11,TRUE)*boc_rr_oc_modp-boc_tr_mast_path-boc_tr_ooph_path-boc_tr_both_path-VLOOKUP(AE87,mortt,2,FALSE))</f>
        <v>#N/A</v>
      </c>
      <c r="AL87" s="289" t="e">
        <f>AL86*(1-VLOOKUP(AE87,boc_trpr_bc,11,TRUE)*boc_rr_bc_modv-VLOOKUP(AE87,boc_trpr_oc,11,TRUE)*boc_rr_oc_modv-boc_tr_mast_vus-boc_tr_ooph_vus-boc_tr_both_vus-VLOOKUP(AE87,mortt,2,FALSE))</f>
        <v>#N/A</v>
      </c>
      <c r="AM87" s="289" t="e">
        <f>AM86*(1-VLOOKUP(AE87,boc_trpr_bc,11,TRUE)*boc_rr_bc_lop-VLOOKUP(AE87,boc_trpr_oc,11,TRUE)*boc_rr_oc_lop-boc_tr_mast_path-boc_tr_ooph_path-boc_tr_both_path-VLOOKUP(AE87,mortt,2,FALSE))</f>
        <v>#N/A</v>
      </c>
      <c r="AN87" s="289" t="e">
        <f>AN86*(1-VLOOKUP(AE87,boc_trpr_bc,11,TRUE)*boc_rr_bc_lov-VLOOKUP(AE87,boc_trpr_oc,11,TRUE)*boc_rr_oc_lov-boc_tr_mast_vus-boc_tr_ooph_vus-boc_tr_both_vus-VLOOKUP(AE87,mortt,2,FALSE))</f>
        <v>#N/A</v>
      </c>
      <c r="AO87" s="260" t="e">
        <f>AO86*(1-VLOOKUP(AE87,boc_trpr_bc,11,TRUE)*boc_rr_bc_np-VLOOKUP(AE87,boc_trpr_oc,11,TRUE)*boc_rr_oc_np-VLOOKUP(AE87,mortt,2,FALSE))</f>
        <v>#N/A</v>
      </c>
      <c r="AP87" s="260" t="e">
        <f>AF86*VLOOKUP(AE87,boc_trpr_bc,11,TRUE)*boc_rr_bc_mast+AG86*VLOOKUP(AE87,boc_trpr_bc,11,TRUE)*boc_rr_bc_ooph+AH86*VLOOKUP(AE87,boc_trpr_bc,11,TRUE)*boc_rr_bc_both+AI86*VLOOKUP(AE87,boc_trpr_bc,11,TRUE)*boc_rr_bc_hip+AJ86*VLOOKUP(AE87,boc_trpr_bc,11,TRUE)*boc_rr_bc_hiv+AK86*VLOOKUP(AE87,boc_trpr_bc,11,TRUE)*boc_rr_bc_modp+AL86*VLOOKUP(AE87,boc_trpr_bc,11,TRUE)*boc_rr_bc_modv+AM86*VLOOKUP(AE87,boc_trpr_bc,11,TRUE)*boc_rr_bc_lop+AN86*VLOOKUP(AE87,boc_trpr_bc,11,TRUE)*boc_rr_bc_lov+AO86*VLOOKUP(AE87,boc_trpr_bc,11,TRUE)*boc_rr_bc_np</f>
        <v>#N/A</v>
      </c>
      <c r="AQ87" s="260" t="e">
        <f>AF86*VLOOKUP(AE87,boc_trpr_oc,11,TRUE)*boc_rr_oc_mast+AG86*VLOOKUP(AE87,boc_trpr_oc,11,TRUE)*boc_rr_oc_ooph+AH86*VLOOKUP(AE87,boc_trpr_oc,11,TRUE)*boc_rr_oc_both+AI86*VLOOKUP(AE87,boc_trpr_oc,11,TRUE)*boc_rr_oc_hip+AJ86*VLOOKUP(AE87,boc_trpr_oc,11,TRUE)*boc_rr_oc_hiv+AK86*VLOOKUP(AE87,boc_trpr_oc,11,TRUE)*boc_rr_oc_modp+AL86*VLOOKUP(AE87,boc_trpr_oc,11,TRUE)*boc_rr_oc_modv+AM86*VLOOKUP(AE87,boc_trpr_oc,11,TRUE)*boc_rr_oc_lop+AN86*VLOOKUP(AE87,boc_trpr_oc,11,TRUE)*boc_rr_oc_lov+AO86*VLOOKUP(AE87,boc_trpr_oc,11,TRUE)*boc_rr_oc_np</f>
        <v>#N/A</v>
      </c>
      <c r="AR87" s="260" t="e">
        <f>AP86*(1-VLOOKUP(AE87,boc_trpr_bc_death,20,TRUE))+AQ86*(1-VLOOKUP(AE87,boc_trpr_oc_death,20,TRUE))+AR86*(1-VLOOKUP(AE87,mortt,2,FALSE)*boc_rr_death_pc)</f>
        <v>#N/A</v>
      </c>
      <c r="AS87" s="260" t="e">
        <f>AS86+SUM(AF86:AO86)*VLOOKUP(AE87,mortt,2,FALSE)+AP86*VLOOKUP(AE87,boc_trpr_bc_death,20,TRUE)+AQ86*VLOOKUP(AE87,boc_trpr_bc_death,20,TRUE)+AR86*VLOOKUP(AE87,mortt,2,FALSE)*boc_rr_death_pc</f>
        <v>#N/A</v>
      </c>
      <c r="AT87" s="260" t="e">
        <f t="shared" si="52"/>
        <v>#N/A</v>
      </c>
      <c r="AU87" s="118" t="e">
        <f>(boc_cost_mast*SUM(AI87,AK87,AM87)*(boc_tr_mast_path+boc_tr_both_path)+SUM(AJ87,AL87,AN87)*(boc_tr_mast_vus+boc_tr_both_vus)+AP87*boc_cost_bc+AQ87*boc_cost_oc+AR87*boc_cost_pc+(AP87*VLOOKUP(AE87,boc_trpr_bc_death,20,TRUE)+AQ87*VLOOKUP(AE87,boc_trpr_oc_death,TRUE)*boc_cost_death))/((1+discount)^AD87)</f>
        <v>#N/A</v>
      </c>
      <c r="AV87" s="35" t="e">
        <f t="shared" si="62"/>
        <v>#N/A</v>
      </c>
      <c r="AW87" s="35" t="e">
        <f t="shared" si="63"/>
        <v>#N/A</v>
      </c>
      <c r="AY87" s="12">
        <v>81</v>
      </c>
      <c r="AZ87" s="12">
        <f t="shared" si="64"/>
        <v>126</v>
      </c>
      <c r="BA87" s="260" t="e">
        <f>BA86*(1-VLOOKUP(AZ87,boc_trpr_bc,11,TRUE)*boc_rr_bc_mast-VLOOKUP(AZ87,boc_trpr_oc,11,TRUE)*boc_rr_oc_mast-VLOOKUP(AZ87,mortt,2,FALSE))</f>
        <v>#N/A</v>
      </c>
      <c r="BB87" s="260" t="e">
        <f>BB86*(1-VLOOKUP(AZ87,boc_trpr_bc,11,TRUE)*boc_rr_bc_ooph-VLOOKUP(AZ87,boc_trpr_oc,11,TRUE)*boc_rr_oc_ooph-VLOOKUP(AZ87,mortt,2,FALSE))</f>
        <v>#N/A</v>
      </c>
      <c r="BC87" s="260" t="e">
        <f>BC86*(1-VLOOKUP(AZ87,boc_trpr_bc,11,TRUE)*boc_rr_bc_both-VLOOKUP(AZ87,boc_trpr_oc,11,TRUE)*boc_rr_oc_both-VLOOKUP(AZ87,mortt,2,FALSE))</f>
        <v>#N/A</v>
      </c>
      <c r="BD87" s="289" t="e">
        <f>BD86*(1-VLOOKUP(AZ87,boc_trpr_bc,11,TRUE)*boc_rr_bc_hip-VLOOKUP(AZ87,boc_trpr_oc,11,TRUE)*boc_rr_oc_hip-VLOOKUP(AZ87,mortt,2,FALSE))</f>
        <v>#N/A</v>
      </c>
      <c r="BE87" s="289" t="e">
        <f>BE86*(1-VLOOKUP(AZ87,boc_trpr_bc,11,TRUE)*boc_rr_bc_hiv-VLOOKUP(AZ87,boc_trpr_oc,11,TRUE)*boc_rr_oc_hiv-VLOOKUP(AZ87,mortt,2,FALSE))</f>
        <v>#N/A</v>
      </c>
      <c r="BF87" s="289" t="e">
        <f>BF86*(1-VLOOKUP(AZ87,boc_trpr_bc,11,TRUE)*boc_rr_bc_modp-VLOOKUP(AZ87,boc_trpr_oc,11,TRUE)*boc_rr_oc_modp-VLOOKUP(AZ87,mortt,2,FALSE))</f>
        <v>#N/A</v>
      </c>
      <c r="BG87" s="289" t="e">
        <f>BG86*(1-VLOOKUP(AZ87,boc_trpr_bc,11,TRUE)*boc_rr_bc_modv-VLOOKUP(AZ87,boc_trpr_oc,11,TRUE)*boc_rr_oc_modv-VLOOKUP(AZ87,mortt,2,FALSE))</f>
        <v>#N/A</v>
      </c>
      <c r="BH87" s="289" t="e">
        <f>BH86*(1-VLOOKUP(AZ87,boc_trpr_bc,11,TRUE)*boc_rr_bc_lop-VLOOKUP(AZ87,boc_trpr_oc,11,TRUE)*boc_rr_oc_lop-VLOOKUP(AZ87,mortt,2,FALSE))</f>
        <v>#N/A</v>
      </c>
      <c r="BI87" s="289" t="e">
        <f>BI86*(1-VLOOKUP(AZ87,boc_trpr_bc,11,TRUE)*boc_rr_bc_lov-VLOOKUP(AZ87,boc_trpr_oc,11,TRUE)*boc_rr_oc_lov-VLOOKUP(AZ87,mortt,2,FALSE))</f>
        <v>#N/A</v>
      </c>
      <c r="BJ87" s="260" t="e">
        <f>BJ86*(1-VLOOKUP(AZ87,boc_trpr_bc,11,TRUE)*boc_rr_bc_np-VLOOKUP(AZ87,boc_trpr_oc,11,TRUE)*boc_rr_oc_np-VLOOKUP(AZ87,mortt,2,FALSE))</f>
        <v>#N/A</v>
      </c>
      <c r="BK87" s="260" t="e">
        <f>BA86*VLOOKUP(AZ87,boc_trpr_bc,11,TRUE)*boc_rr_bc_mast+BB86*VLOOKUP(AZ87,boc_trpr_bc,11,TRUE)*boc_rr_bc_ooph+BC86*VLOOKUP(AZ87,boc_trpr_bc,11,TRUE)*boc_rr_bc_both+BD86*VLOOKUP(AZ87,boc_trpr_bc,11,TRUE)*boc_rr_bc_hip+BE86*VLOOKUP(AZ87,boc_trpr_bc,11,TRUE)*boc_rr_bc_hiv+BF86*VLOOKUP(AZ87,boc_trpr_bc,11,TRUE)*boc_rr_bc_modp+BG86*VLOOKUP(AZ87,boc_trpr_bc,11,TRUE)*boc_rr_bc_modv+BH86*VLOOKUP(AZ87,boc_trpr_bc,11,TRUE)*boc_rr_bc_lop+BI86*VLOOKUP(AZ87,boc_trpr_bc,11,TRUE)*boc_rr_bc_lov+BJ86*VLOOKUP(AZ87,boc_trpr_bc,11,TRUE)*boc_rr_bc_np</f>
        <v>#N/A</v>
      </c>
      <c r="BL87" s="260" t="e">
        <f>BA86*VLOOKUP(AZ87,boc_trpr_oc,11,TRUE)*boc_rr_oc_mast+BB86*VLOOKUP(AZ87,boc_trpr_oc,11,TRUE)*boc_rr_oc_ooph+BC86*VLOOKUP(AZ87,boc_trpr_oc,11,TRUE)*boc_rr_oc_both+BD86*VLOOKUP(AZ87,boc_trpr_oc,11,TRUE)*boc_rr_oc_hip+BE86*VLOOKUP(AZ87,boc_trpr_oc,11,TRUE)*boc_rr_oc_hiv+BF86*VLOOKUP(AZ87,boc_trpr_oc,11,TRUE)*boc_rr_oc_modp+BG86*VLOOKUP(AZ87,boc_trpr_oc,11,TRUE)*boc_rr_oc_modv+BH86*VLOOKUP(AZ87,boc_trpr_oc,11,TRUE)*boc_rr_oc_lop+BI86*VLOOKUP(AZ87,boc_trpr_oc,11,TRUE)*boc_rr_oc_lov+BJ86*VLOOKUP(AZ87,boc_trpr_oc,11,TRUE)*boc_rr_oc_np</f>
        <v>#N/A</v>
      </c>
      <c r="BM87" s="260" t="e">
        <f>BK86*(1-VLOOKUP(AZ87,boc_trpr_bc_death,20,TRUE))+BL86*(1-VLOOKUP(AZ87,boc_trpr_oc_death,20,TRUE))+BM86*(1-VLOOKUP(AZ87,mortt,2,FALSE)*boc_rr_death_pc)</f>
        <v>#N/A</v>
      </c>
      <c r="BN87" s="260" t="e">
        <f>BN86+SUM(BA86:BJ86)*VLOOKUP(AZ87,mortt,2,FALSE)+BK86*VLOOKUP(AZ87,boc_trpr_bc_death,20,TRUE)+BL86*VLOOKUP(AZ87,boc_trpr_bc_death,20,TRUE)+BM86*VLOOKUP(AZ87,mortt,2,FALSE)*boc_rr_death_pc</f>
        <v>#N/A</v>
      </c>
      <c r="BO87" s="260" t="e">
        <f t="shared" si="41"/>
        <v>#N/A</v>
      </c>
      <c r="BP87" s="118" t="e">
        <f>(boc_cost_mast*SUM(BD87,BF87,BH87)*(boc_tr_mast_path+boc_tr_both_path)+SUM(BE87,BG87,BI87)*(boc_tr_mast_vus+boc_tr_both_vus)+BK87*boc_cost_bc+BL87*boc_cost_oc+BM87*boc_cost_pc+(BK87*VLOOKUP(AZ87,boc_trpr_bc_death,20,TRUE)+BL87*VLOOKUP(AZ87,boc_trpr_oc_death,TRUE)*boc_cost_death))/((1+discount)^AY87)</f>
        <v>#N/A</v>
      </c>
      <c r="BQ87" s="35" t="e">
        <f t="shared" si="65"/>
        <v>#N/A</v>
      </c>
      <c r="BR87" s="35" t="e">
        <f t="shared" si="66"/>
        <v>#N/A</v>
      </c>
      <c r="BS87" s="35"/>
      <c r="BU87" s="33">
        <v>59</v>
      </c>
      <c r="BV87" t="str">
        <f>$M$144</f>
        <v>boc_cost_pc</v>
      </c>
      <c r="BW87" s="118">
        <f>$F$144</f>
        <v>6190.4000000000005</v>
      </c>
      <c r="BX87" s="118">
        <f>$G$144</f>
        <v>9285.6</v>
      </c>
      <c r="BY87" s="311">
        <v>-7.5531978571930267</v>
      </c>
      <c r="BZ87" s="311">
        <v>-7.5531978571930267</v>
      </c>
      <c r="CA87" s="311">
        <f t="shared" si="57"/>
        <v>0</v>
      </c>
      <c r="CD87" s="138">
        <v>82</v>
      </c>
      <c r="CE87" s="291">
        <v>5.2056999999999999E-2</v>
      </c>
    </row>
    <row r="88" spans="2:83" ht="15" customHeight="1" x14ac:dyDescent="0.2">
      <c r="B88" s="19" t="s">
        <v>154</v>
      </c>
      <c r="C88" s="35">
        <f>IF(psa,J88,IF(owsa_low=L88,F88,IF(owsa_high=L88,G88,IF(ISNUMBER(D88),D88,E88))))</f>
        <v>0.1</v>
      </c>
      <c r="D88" s="158"/>
      <c r="E88" s="370">
        <v>0.1</v>
      </c>
      <c r="F88" s="35">
        <f>MAX(0,IF(ISNUMBER(D88),D88,E88)*(1-owsa_boc))</f>
        <v>8.0000000000000016E-2</v>
      </c>
      <c r="G88" s="35">
        <f>IF(ISNUMBER(D88),D88,E88)*(1+owsa_boc)</f>
        <v>0.12</v>
      </c>
      <c r="H88" s="69">
        <f>(LN(G88)-LN(F88))/(2*z)</f>
        <v>0.10343687723509751</v>
      </c>
      <c r="I88" s="48"/>
      <c r="J88" s="35">
        <f ca="1">_xlfn.LOGNORM.INV(RAND(),LN(IF(ISNUMBER(D88),D88,E88))-(H88^2)/2,H88)</f>
        <v>0.117525426159674</v>
      </c>
      <c r="K88" s="12" t="s">
        <v>213</v>
      </c>
      <c r="L88" s="40">
        <v>29</v>
      </c>
      <c r="M88" s="247" t="s">
        <v>246</v>
      </c>
      <c r="N88" s="247" t="s">
        <v>300</v>
      </c>
      <c r="Q88" s="11"/>
      <c r="S88" s="9" t="s">
        <v>11</v>
      </c>
      <c r="T88" s="251">
        <f>boc_path_low_path</f>
        <v>9.4143645999999997E-2</v>
      </c>
      <c r="U88" s="9" t="s">
        <v>8</v>
      </c>
      <c r="V88" s="250">
        <f>boc_unk_int_ooph</f>
        <v>0.01</v>
      </c>
      <c r="Y88" s="261">
        <f>R93*T88*V88</f>
        <v>1.0277136606418966E-5</v>
      </c>
      <c r="AD88" s="12">
        <v>82</v>
      </c>
      <c r="AE88" s="12">
        <f t="shared" si="61"/>
        <v>127</v>
      </c>
      <c r="AF88" s="260" t="e">
        <f>AF87*(1-VLOOKUP(AE88,boc_trpr_bc,11,TRUE)*boc_rr_bc_mast-VLOOKUP(AE88,boc_trpr_oc,11,TRUE)*boc_rr_oc_mast-VLOOKUP(AE88,mortt,2,FALSE))+SUM(AI87,AK87,AM87)*boc_tr_mast_path+SUM(AJ87,AL87,AN87)*boc_tr_mast_vus</f>
        <v>#N/A</v>
      </c>
      <c r="AG88" s="260" t="e">
        <f>AG87*(1-VLOOKUP(AE88,boc_trpr_bc,11,TRUE)*boc_rr_bc_ooph-VLOOKUP(AE88,boc_trpr_oc,11,TRUE)*boc_rr_oc_ooph-VLOOKUP(AE88,mortt,2,FALSE))+SUM(AI87,AK87,AM87)*boc_tr_ooph_path+SUM(AJ87,AL87,AN87)*boc_tr_ooph_vus</f>
        <v>#N/A</v>
      </c>
      <c r="AH88" s="260" t="e">
        <f>AH87*(1-VLOOKUP(AE88,boc_trpr_bc,11,TRUE)*boc_rr_bc_both-VLOOKUP(AE88,boc_trpr_oc,11,TRUE)*boc_rr_oc_both-VLOOKUP(AE88,mortt,2,FALSE))+SUM(AI87,AK87,AM87)*boc_tr_both_path+SUM(AJ87,AL87,AN87)*boc_tr_both_vus</f>
        <v>#N/A</v>
      </c>
      <c r="AI88" s="289" t="e">
        <f>AI87*(1-VLOOKUP(AE88,boc_trpr_bc,11,TRUE)*boc_rr_bc_hip-VLOOKUP(AE88,boc_trpr_oc,11,TRUE)*boc_rr_oc_hip-boc_tr_mast_path-boc_tr_ooph_path-boc_tr_both_path-VLOOKUP(AE88,mortt,2,FALSE))</f>
        <v>#N/A</v>
      </c>
      <c r="AJ88" s="289" t="e">
        <f>AJ87*(1-VLOOKUP(AE88,boc_trpr_bc,11,TRUE)*boc_rr_bc_hiv-VLOOKUP(AE88,boc_trpr_oc,11,TRUE)*boc_rr_oc_hiv-boc_tr_mast_vus-boc_tr_ooph_vus-boc_tr_both_vus-VLOOKUP(AE88,mortt,2,FALSE))</f>
        <v>#N/A</v>
      </c>
      <c r="AK88" s="289" t="e">
        <f>AK87*(1-VLOOKUP(AE88,boc_trpr_bc,11,TRUE)*boc_rr_bc_modp-VLOOKUP(AE88,boc_trpr_oc,11,TRUE)*boc_rr_oc_modp-boc_tr_mast_path-boc_tr_ooph_path-boc_tr_both_path-VLOOKUP(AE88,mortt,2,FALSE))</f>
        <v>#N/A</v>
      </c>
      <c r="AL88" s="289" t="e">
        <f>AL87*(1-VLOOKUP(AE88,boc_trpr_bc,11,TRUE)*boc_rr_bc_modv-VLOOKUP(AE88,boc_trpr_oc,11,TRUE)*boc_rr_oc_modv-boc_tr_mast_vus-boc_tr_ooph_vus-boc_tr_both_vus-VLOOKUP(AE88,mortt,2,FALSE))</f>
        <v>#N/A</v>
      </c>
      <c r="AM88" s="289" t="e">
        <f>AM87*(1-VLOOKUP(AE88,boc_trpr_bc,11,TRUE)*boc_rr_bc_lop-VLOOKUP(AE88,boc_trpr_oc,11,TRUE)*boc_rr_oc_lop-boc_tr_mast_path-boc_tr_ooph_path-boc_tr_both_path-VLOOKUP(AE88,mortt,2,FALSE))</f>
        <v>#N/A</v>
      </c>
      <c r="AN88" s="289" t="e">
        <f>AN87*(1-VLOOKUP(AE88,boc_trpr_bc,11,TRUE)*boc_rr_bc_lov-VLOOKUP(AE88,boc_trpr_oc,11,TRUE)*boc_rr_oc_lov-boc_tr_mast_vus-boc_tr_ooph_vus-boc_tr_both_vus-VLOOKUP(AE88,mortt,2,FALSE))</f>
        <v>#N/A</v>
      </c>
      <c r="AO88" s="260" t="e">
        <f>AO87*(1-VLOOKUP(AE88,boc_trpr_bc,11,TRUE)*boc_rr_bc_np-VLOOKUP(AE88,boc_trpr_oc,11,TRUE)*boc_rr_oc_np-VLOOKUP(AE88,mortt,2,FALSE))</f>
        <v>#N/A</v>
      </c>
      <c r="AP88" s="260" t="e">
        <f>AF87*VLOOKUP(AE88,boc_trpr_bc,11,TRUE)*boc_rr_bc_mast+AG87*VLOOKUP(AE88,boc_trpr_bc,11,TRUE)*boc_rr_bc_ooph+AH87*VLOOKUP(AE88,boc_trpr_bc,11,TRUE)*boc_rr_bc_both+AI87*VLOOKUP(AE88,boc_trpr_bc,11,TRUE)*boc_rr_bc_hip+AJ87*VLOOKUP(AE88,boc_trpr_bc,11,TRUE)*boc_rr_bc_hiv+AK87*VLOOKUP(AE88,boc_trpr_bc,11,TRUE)*boc_rr_bc_modp+AL87*VLOOKUP(AE88,boc_trpr_bc,11,TRUE)*boc_rr_bc_modv+AM87*VLOOKUP(AE88,boc_trpr_bc,11,TRUE)*boc_rr_bc_lop+AN87*VLOOKUP(AE88,boc_trpr_bc,11,TRUE)*boc_rr_bc_lov+AO87*VLOOKUP(AE88,boc_trpr_bc,11,TRUE)*boc_rr_bc_np</f>
        <v>#N/A</v>
      </c>
      <c r="AQ88" s="260" t="e">
        <f>AF87*VLOOKUP(AE88,boc_trpr_oc,11,TRUE)*boc_rr_oc_mast+AG87*VLOOKUP(AE88,boc_trpr_oc,11,TRUE)*boc_rr_oc_ooph+AH87*VLOOKUP(AE88,boc_trpr_oc,11,TRUE)*boc_rr_oc_both+AI87*VLOOKUP(AE88,boc_trpr_oc,11,TRUE)*boc_rr_oc_hip+AJ87*VLOOKUP(AE88,boc_trpr_oc,11,TRUE)*boc_rr_oc_hiv+AK87*VLOOKUP(AE88,boc_trpr_oc,11,TRUE)*boc_rr_oc_modp+AL87*VLOOKUP(AE88,boc_trpr_oc,11,TRUE)*boc_rr_oc_modv+AM87*VLOOKUP(AE88,boc_trpr_oc,11,TRUE)*boc_rr_oc_lop+AN87*VLOOKUP(AE88,boc_trpr_oc,11,TRUE)*boc_rr_oc_lov+AO87*VLOOKUP(AE88,boc_trpr_oc,11,TRUE)*boc_rr_oc_np</f>
        <v>#N/A</v>
      </c>
      <c r="AR88" s="260" t="e">
        <f>AP87*(1-VLOOKUP(AE88,boc_trpr_bc_death,20,TRUE))+AQ87*(1-VLOOKUP(AE88,boc_trpr_oc_death,20,TRUE))+AR87*(1-VLOOKUP(AE88,mortt,2,FALSE)*boc_rr_death_pc)</f>
        <v>#N/A</v>
      </c>
      <c r="AS88" s="260" t="e">
        <f>AS87+SUM(AF87:AO87)*VLOOKUP(AE88,mortt,2,FALSE)+AP87*VLOOKUP(AE88,boc_trpr_bc_death,20,TRUE)+AQ87*VLOOKUP(AE88,boc_trpr_bc_death,20,TRUE)+AR87*VLOOKUP(AE88,mortt,2,FALSE)*boc_rr_death_pc</f>
        <v>#N/A</v>
      </c>
      <c r="AT88" s="260" t="e">
        <f t="shared" si="52"/>
        <v>#N/A</v>
      </c>
      <c r="AU88" s="118" t="e">
        <f>(boc_cost_mast*SUM(AI88,AK88,AM88)*(boc_tr_mast_path+boc_tr_both_path)+SUM(AJ88,AL88,AN88)*(boc_tr_mast_vus+boc_tr_both_vus)+AP88*boc_cost_bc+AQ88*boc_cost_oc+AR88*boc_cost_pc+(AP88*VLOOKUP(AE88,boc_trpr_bc_death,20,TRUE)+AQ88*VLOOKUP(AE88,boc_trpr_oc_death,TRUE)*boc_cost_death))/((1+discount)^AD88)</f>
        <v>#N/A</v>
      </c>
      <c r="AV88" s="35" t="e">
        <f t="shared" si="62"/>
        <v>#N/A</v>
      </c>
      <c r="AW88" s="35" t="e">
        <f t="shared" si="63"/>
        <v>#N/A</v>
      </c>
      <c r="AY88" s="12">
        <v>82</v>
      </c>
      <c r="AZ88" s="12">
        <f t="shared" si="64"/>
        <v>127</v>
      </c>
      <c r="BA88" s="260" t="e">
        <f>BA87*(1-VLOOKUP(AZ88,boc_trpr_bc,11,TRUE)*boc_rr_bc_mast-VLOOKUP(AZ88,boc_trpr_oc,11,TRUE)*boc_rr_oc_mast-VLOOKUP(AZ88,mortt,2,FALSE))</f>
        <v>#N/A</v>
      </c>
      <c r="BB88" s="260" t="e">
        <f>BB87*(1-VLOOKUP(AZ88,boc_trpr_bc,11,TRUE)*boc_rr_bc_ooph-VLOOKUP(AZ88,boc_trpr_oc,11,TRUE)*boc_rr_oc_ooph-VLOOKUP(AZ88,mortt,2,FALSE))</f>
        <v>#N/A</v>
      </c>
      <c r="BC88" s="260" t="e">
        <f>BC87*(1-VLOOKUP(AZ88,boc_trpr_bc,11,TRUE)*boc_rr_bc_both-VLOOKUP(AZ88,boc_trpr_oc,11,TRUE)*boc_rr_oc_both-VLOOKUP(AZ88,mortt,2,FALSE))</f>
        <v>#N/A</v>
      </c>
      <c r="BD88" s="289" t="e">
        <f>BD87*(1-VLOOKUP(AZ88,boc_trpr_bc,11,TRUE)*boc_rr_bc_hip-VLOOKUP(AZ88,boc_trpr_oc,11,TRUE)*boc_rr_oc_hip-VLOOKUP(AZ88,mortt,2,FALSE))</f>
        <v>#N/A</v>
      </c>
      <c r="BE88" s="289" t="e">
        <f>BE87*(1-VLOOKUP(AZ88,boc_trpr_bc,11,TRUE)*boc_rr_bc_hiv-VLOOKUP(AZ88,boc_trpr_oc,11,TRUE)*boc_rr_oc_hiv-VLOOKUP(AZ88,mortt,2,FALSE))</f>
        <v>#N/A</v>
      </c>
      <c r="BF88" s="289" t="e">
        <f>BF87*(1-VLOOKUP(AZ88,boc_trpr_bc,11,TRUE)*boc_rr_bc_modp-VLOOKUP(AZ88,boc_trpr_oc,11,TRUE)*boc_rr_oc_modp-VLOOKUP(AZ88,mortt,2,FALSE))</f>
        <v>#N/A</v>
      </c>
      <c r="BG88" s="289" t="e">
        <f>BG87*(1-VLOOKUP(AZ88,boc_trpr_bc,11,TRUE)*boc_rr_bc_modv-VLOOKUP(AZ88,boc_trpr_oc,11,TRUE)*boc_rr_oc_modv-VLOOKUP(AZ88,mortt,2,FALSE))</f>
        <v>#N/A</v>
      </c>
      <c r="BH88" s="289" t="e">
        <f>BH87*(1-VLOOKUP(AZ88,boc_trpr_bc,11,TRUE)*boc_rr_bc_lop-VLOOKUP(AZ88,boc_trpr_oc,11,TRUE)*boc_rr_oc_lop-VLOOKUP(AZ88,mortt,2,FALSE))</f>
        <v>#N/A</v>
      </c>
      <c r="BI88" s="289" t="e">
        <f>BI87*(1-VLOOKUP(AZ88,boc_trpr_bc,11,TRUE)*boc_rr_bc_lov-VLOOKUP(AZ88,boc_trpr_oc,11,TRUE)*boc_rr_oc_lov-VLOOKUP(AZ88,mortt,2,FALSE))</f>
        <v>#N/A</v>
      </c>
      <c r="BJ88" s="260" t="e">
        <f>BJ87*(1-VLOOKUP(AZ88,boc_trpr_bc,11,TRUE)*boc_rr_bc_np-VLOOKUP(AZ88,boc_trpr_oc,11,TRUE)*boc_rr_oc_np-VLOOKUP(AZ88,mortt,2,FALSE))</f>
        <v>#N/A</v>
      </c>
      <c r="BK88" s="260" t="e">
        <f>BA87*VLOOKUP(AZ88,boc_trpr_bc,11,TRUE)*boc_rr_bc_mast+BB87*VLOOKUP(AZ88,boc_trpr_bc,11,TRUE)*boc_rr_bc_ooph+BC87*VLOOKUP(AZ88,boc_trpr_bc,11,TRUE)*boc_rr_bc_both+BD87*VLOOKUP(AZ88,boc_trpr_bc,11,TRUE)*boc_rr_bc_hip+BE87*VLOOKUP(AZ88,boc_trpr_bc,11,TRUE)*boc_rr_bc_hiv+BF87*VLOOKUP(AZ88,boc_trpr_bc,11,TRUE)*boc_rr_bc_modp+BG87*VLOOKUP(AZ88,boc_trpr_bc,11,TRUE)*boc_rr_bc_modv+BH87*VLOOKUP(AZ88,boc_trpr_bc,11,TRUE)*boc_rr_bc_lop+BI87*VLOOKUP(AZ88,boc_trpr_bc,11,TRUE)*boc_rr_bc_lov+BJ87*VLOOKUP(AZ88,boc_trpr_bc,11,TRUE)*boc_rr_bc_np</f>
        <v>#N/A</v>
      </c>
      <c r="BL88" s="260" t="e">
        <f>BA87*VLOOKUP(AZ88,boc_trpr_oc,11,TRUE)*boc_rr_oc_mast+BB87*VLOOKUP(AZ88,boc_trpr_oc,11,TRUE)*boc_rr_oc_ooph+BC87*VLOOKUP(AZ88,boc_trpr_oc,11,TRUE)*boc_rr_oc_both+BD87*VLOOKUP(AZ88,boc_trpr_oc,11,TRUE)*boc_rr_oc_hip+BE87*VLOOKUP(AZ88,boc_trpr_oc,11,TRUE)*boc_rr_oc_hiv+BF87*VLOOKUP(AZ88,boc_trpr_oc,11,TRUE)*boc_rr_oc_modp+BG87*VLOOKUP(AZ88,boc_trpr_oc,11,TRUE)*boc_rr_oc_modv+BH87*VLOOKUP(AZ88,boc_trpr_oc,11,TRUE)*boc_rr_oc_lop+BI87*VLOOKUP(AZ88,boc_trpr_oc,11,TRUE)*boc_rr_oc_lov+BJ87*VLOOKUP(AZ88,boc_trpr_oc,11,TRUE)*boc_rr_oc_np</f>
        <v>#N/A</v>
      </c>
      <c r="BM88" s="260" t="e">
        <f>BK87*(1-VLOOKUP(AZ88,boc_trpr_bc_death,20,TRUE))+BL87*(1-VLOOKUP(AZ88,boc_trpr_oc_death,20,TRUE))+BM87*(1-VLOOKUP(AZ88,mortt,2,FALSE)*boc_rr_death_pc)</f>
        <v>#N/A</v>
      </c>
      <c r="BN88" s="260" t="e">
        <f>BN87+SUM(BA87:BJ87)*VLOOKUP(AZ88,mortt,2,FALSE)+BK87*VLOOKUP(AZ88,boc_trpr_bc_death,20,TRUE)+BL87*VLOOKUP(AZ88,boc_trpr_bc_death,20,TRUE)+BM87*VLOOKUP(AZ88,mortt,2,FALSE)*boc_rr_death_pc</f>
        <v>#N/A</v>
      </c>
      <c r="BO88" s="260" t="e">
        <f t="shared" si="41"/>
        <v>#N/A</v>
      </c>
      <c r="BP88" s="118" t="e">
        <f>(boc_cost_mast*SUM(BD88,BF88,BH88)*(boc_tr_mast_path+boc_tr_both_path)+SUM(BE88,BG88,BI88)*(boc_tr_mast_vus+boc_tr_both_vus)+BK88*boc_cost_bc+BL88*boc_cost_oc+BM88*boc_cost_pc+(BK88*VLOOKUP(AZ88,boc_trpr_bc_death,20,TRUE)+BL88*VLOOKUP(AZ88,boc_trpr_oc_death,TRUE)*boc_cost_death))/((1+discount)^AY88)</f>
        <v>#N/A</v>
      </c>
      <c r="BQ88" s="35" t="e">
        <f t="shared" si="65"/>
        <v>#N/A</v>
      </c>
      <c r="BR88" s="35" t="e">
        <f t="shared" si="66"/>
        <v>#N/A</v>
      </c>
      <c r="BS88" s="35"/>
      <c r="BU88" s="33">
        <v>61</v>
      </c>
      <c r="BV88" t="str">
        <f>$M$145</f>
        <v>boc_cost_death</v>
      </c>
      <c r="BW88" s="118">
        <f>$F$145</f>
        <v>52322.400000000001</v>
      </c>
      <c r="BX88" s="118">
        <f>$G$145</f>
        <v>78483.599999999991</v>
      </c>
      <c r="BY88" s="311">
        <v>-7.5531978571930267</v>
      </c>
      <c r="BZ88" s="311">
        <v>-7.5531978571930267</v>
      </c>
      <c r="CA88" s="311">
        <f t="shared" ref="CA88" si="75">ABS(BY88-BZ88)</f>
        <v>0</v>
      </c>
      <c r="CD88" s="138">
        <v>83</v>
      </c>
      <c r="CE88" s="291">
        <v>5.8186000000000002E-2</v>
      </c>
    </row>
    <row r="89" spans="2:83" ht="15" customHeight="1" x14ac:dyDescent="0.2">
      <c r="B89" s="19" t="s">
        <v>155</v>
      </c>
      <c r="C89" s="35">
        <f>IF(psa,J89,IF(owsa_low=L89,F89,IF(owsa_high=L89,G89,IF(ISNUMBER(D89),D89,E89))))</f>
        <v>0.51</v>
      </c>
      <c r="D89" s="158"/>
      <c r="E89" s="370">
        <v>0.51</v>
      </c>
      <c r="F89" s="35">
        <f>MAX(0,IF(ISNUMBER(D89),D89,E89)*(1-owsa_boc))</f>
        <v>0.40800000000000003</v>
      </c>
      <c r="G89" s="35">
        <f>IF(ISNUMBER(D89),D89,E89)*(1+owsa_boc)</f>
        <v>0.61199999999999999</v>
      </c>
      <c r="H89" s="69">
        <f t="shared" ref="H89:H117" si="76">(LN(G89)-LN(F89))/(2*z)</f>
        <v>0.10343687723509752</v>
      </c>
      <c r="I89" s="48"/>
      <c r="J89" s="35">
        <f ca="1">_xlfn.LOGNORM.INV(RAND(),LN(IF(ISNUMBER(D89),D89,E89))-(H89^2)/2,H89)</f>
        <v>0.45308832546156591</v>
      </c>
      <c r="K89" s="12" t="s">
        <v>213</v>
      </c>
      <c r="L89" s="40">
        <v>30</v>
      </c>
      <c r="M89" s="247" t="s">
        <v>247</v>
      </c>
      <c r="N89" s="247" t="s">
        <v>300</v>
      </c>
      <c r="Q89" s="11"/>
      <c r="S89" s="11"/>
      <c r="U89" s="9" t="s">
        <v>6</v>
      </c>
      <c r="V89" s="250">
        <f>boc_unk_int_both</f>
        <v>0.01</v>
      </c>
      <c r="Z89" s="261">
        <f>R93*T88*V89</f>
        <v>1.0277136606418966E-5</v>
      </c>
      <c r="AD89" s="12">
        <v>83</v>
      </c>
      <c r="AE89" s="12">
        <f t="shared" si="61"/>
        <v>128</v>
      </c>
      <c r="AF89" s="260" t="e">
        <f>AF88*(1-VLOOKUP(AE89,boc_trpr_bc,11,TRUE)*boc_rr_bc_mast-VLOOKUP(AE89,boc_trpr_oc,11,TRUE)*boc_rr_oc_mast-VLOOKUP(AE89,mortt,2,FALSE))+SUM(AI88,AK88,AM88)*boc_tr_mast_path+SUM(AJ88,AL88,AN88)*boc_tr_mast_vus</f>
        <v>#N/A</v>
      </c>
      <c r="AG89" s="260" t="e">
        <f>AG88*(1-VLOOKUP(AE89,boc_trpr_bc,11,TRUE)*boc_rr_bc_ooph-VLOOKUP(AE89,boc_trpr_oc,11,TRUE)*boc_rr_oc_ooph-VLOOKUP(AE89,mortt,2,FALSE))+SUM(AI88,AK88,AM88)*boc_tr_ooph_path+SUM(AJ88,AL88,AN88)*boc_tr_ooph_vus</f>
        <v>#N/A</v>
      </c>
      <c r="AH89" s="260" t="e">
        <f>AH88*(1-VLOOKUP(AE89,boc_trpr_bc,11,TRUE)*boc_rr_bc_both-VLOOKUP(AE89,boc_trpr_oc,11,TRUE)*boc_rr_oc_both-VLOOKUP(AE89,mortt,2,FALSE))+SUM(AI88,AK88,AM88)*boc_tr_both_path+SUM(AJ88,AL88,AN88)*boc_tr_both_vus</f>
        <v>#N/A</v>
      </c>
      <c r="AI89" s="289" t="e">
        <f>AI88*(1-VLOOKUP(AE89,boc_trpr_bc,11,TRUE)*boc_rr_bc_hip-VLOOKUP(AE89,boc_trpr_oc,11,TRUE)*boc_rr_oc_hip-boc_tr_mast_path-boc_tr_ooph_path-boc_tr_both_path-VLOOKUP(AE89,mortt,2,FALSE))</f>
        <v>#N/A</v>
      </c>
      <c r="AJ89" s="289" t="e">
        <f>AJ88*(1-VLOOKUP(AE89,boc_trpr_bc,11,TRUE)*boc_rr_bc_hiv-VLOOKUP(AE89,boc_trpr_oc,11,TRUE)*boc_rr_oc_hiv-boc_tr_mast_vus-boc_tr_ooph_vus-boc_tr_both_vus-VLOOKUP(AE89,mortt,2,FALSE))</f>
        <v>#N/A</v>
      </c>
      <c r="AK89" s="289" t="e">
        <f>AK88*(1-VLOOKUP(AE89,boc_trpr_bc,11,TRUE)*boc_rr_bc_modp-VLOOKUP(AE89,boc_trpr_oc,11,TRUE)*boc_rr_oc_modp-boc_tr_mast_path-boc_tr_ooph_path-boc_tr_both_path-VLOOKUP(AE89,mortt,2,FALSE))</f>
        <v>#N/A</v>
      </c>
      <c r="AL89" s="289" t="e">
        <f>AL88*(1-VLOOKUP(AE89,boc_trpr_bc,11,TRUE)*boc_rr_bc_modv-VLOOKUP(AE89,boc_trpr_oc,11,TRUE)*boc_rr_oc_modv-boc_tr_mast_vus-boc_tr_ooph_vus-boc_tr_both_vus-VLOOKUP(AE89,mortt,2,FALSE))</f>
        <v>#N/A</v>
      </c>
      <c r="AM89" s="289" t="e">
        <f>AM88*(1-VLOOKUP(AE89,boc_trpr_bc,11,TRUE)*boc_rr_bc_lop-VLOOKUP(AE89,boc_trpr_oc,11,TRUE)*boc_rr_oc_lop-boc_tr_mast_path-boc_tr_ooph_path-boc_tr_both_path-VLOOKUP(AE89,mortt,2,FALSE))</f>
        <v>#N/A</v>
      </c>
      <c r="AN89" s="289" t="e">
        <f>AN88*(1-VLOOKUP(AE89,boc_trpr_bc,11,TRUE)*boc_rr_bc_lov-VLOOKUP(AE89,boc_trpr_oc,11,TRUE)*boc_rr_oc_lov-boc_tr_mast_vus-boc_tr_ooph_vus-boc_tr_both_vus-VLOOKUP(AE89,mortt,2,FALSE))</f>
        <v>#N/A</v>
      </c>
      <c r="AO89" s="260" t="e">
        <f>AO88*(1-VLOOKUP(AE89,boc_trpr_bc,11,TRUE)*boc_rr_bc_np-VLOOKUP(AE89,boc_trpr_oc,11,TRUE)*boc_rr_oc_np-VLOOKUP(AE89,mortt,2,FALSE))</f>
        <v>#N/A</v>
      </c>
      <c r="AP89" s="260" t="e">
        <f>AF88*VLOOKUP(AE89,boc_trpr_bc,11,TRUE)*boc_rr_bc_mast+AG88*VLOOKUP(AE89,boc_trpr_bc,11,TRUE)*boc_rr_bc_ooph+AH88*VLOOKUP(AE89,boc_trpr_bc,11,TRUE)*boc_rr_bc_both+AI88*VLOOKUP(AE89,boc_trpr_bc,11,TRUE)*boc_rr_bc_hip+AJ88*VLOOKUP(AE89,boc_trpr_bc,11,TRUE)*boc_rr_bc_hiv+AK88*VLOOKUP(AE89,boc_trpr_bc,11,TRUE)*boc_rr_bc_modp+AL88*VLOOKUP(AE89,boc_trpr_bc,11,TRUE)*boc_rr_bc_modv+AM88*VLOOKUP(AE89,boc_trpr_bc,11,TRUE)*boc_rr_bc_lop+AN88*VLOOKUP(AE89,boc_trpr_bc,11,TRUE)*boc_rr_bc_lov+AO88*VLOOKUP(AE89,boc_trpr_bc,11,TRUE)*boc_rr_bc_np</f>
        <v>#N/A</v>
      </c>
      <c r="AQ89" s="260" t="e">
        <f>AF88*VLOOKUP(AE89,boc_trpr_oc,11,TRUE)*boc_rr_oc_mast+AG88*VLOOKUP(AE89,boc_trpr_oc,11,TRUE)*boc_rr_oc_ooph+AH88*VLOOKUP(AE89,boc_trpr_oc,11,TRUE)*boc_rr_oc_both+AI88*VLOOKUP(AE89,boc_trpr_oc,11,TRUE)*boc_rr_oc_hip+AJ88*VLOOKUP(AE89,boc_trpr_oc,11,TRUE)*boc_rr_oc_hiv+AK88*VLOOKUP(AE89,boc_trpr_oc,11,TRUE)*boc_rr_oc_modp+AL88*VLOOKUP(AE89,boc_trpr_oc,11,TRUE)*boc_rr_oc_modv+AM88*VLOOKUP(AE89,boc_trpr_oc,11,TRUE)*boc_rr_oc_lop+AN88*VLOOKUP(AE89,boc_trpr_oc,11,TRUE)*boc_rr_oc_lov+AO88*VLOOKUP(AE89,boc_trpr_oc,11,TRUE)*boc_rr_oc_np</f>
        <v>#N/A</v>
      </c>
      <c r="AR89" s="260" t="e">
        <f>AP88*(1-VLOOKUP(AE89,boc_trpr_bc_death,20,TRUE))+AQ88*(1-VLOOKUP(AE89,boc_trpr_oc_death,20,TRUE))+AR88*(1-VLOOKUP(AE89,mortt,2,FALSE)*boc_rr_death_pc)</f>
        <v>#N/A</v>
      </c>
      <c r="AS89" s="260" t="e">
        <f>AS88+SUM(AF88:AO88)*VLOOKUP(AE89,mortt,2,FALSE)+AP88*VLOOKUP(AE89,boc_trpr_bc_death,20,TRUE)+AQ88*VLOOKUP(AE89,boc_trpr_bc_death,20,TRUE)+AR88*VLOOKUP(AE89,mortt,2,FALSE)*boc_rr_death_pc</f>
        <v>#N/A</v>
      </c>
      <c r="AT89" s="260" t="e">
        <f t="shared" si="52"/>
        <v>#N/A</v>
      </c>
      <c r="AU89" s="118" t="e">
        <f>(boc_cost_mast*SUM(AI89,AK89,AM89)*(boc_tr_mast_path+boc_tr_both_path)+SUM(AJ89,AL89,AN89)*(boc_tr_mast_vus+boc_tr_both_vus)+AP89*boc_cost_bc+AQ89*boc_cost_oc+AR89*boc_cost_pc+(AP89*VLOOKUP(AE89,boc_trpr_bc_death,20,TRUE)+AQ89*VLOOKUP(AE89,boc_trpr_oc_death,TRUE)*boc_cost_death))/((1+discount)^AD89)</f>
        <v>#N/A</v>
      </c>
      <c r="AV89" s="35" t="e">
        <f t="shared" si="62"/>
        <v>#N/A</v>
      </c>
      <c r="AW89" s="35" t="e">
        <f t="shared" si="63"/>
        <v>#N/A</v>
      </c>
      <c r="AY89" s="12">
        <v>83</v>
      </c>
      <c r="AZ89" s="12">
        <f t="shared" si="64"/>
        <v>128</v>
      </c>
      <c r="BA89" s="260" t="e">
        <f>BA88*(1-VLOOKUP(AZ89,boc_trpr_bc,11,TRUE)*boc_rr_bc_mast-VLOOKUP(AZ89,boc_trpr_oc,11,TRUE)*boc_rr_oc_mast-VLOOKUP(AZ89,mortt,2,FALSE))</f>
        <v>#N/A</v>
      </c>
      <c r="BB89" s="260" t="e">
        <f>BB88*(1-VLOOKUP(AZ89,boc_trpr_bc,11,TRUE)*boc_rr_bc_ooph-VLOOKUP(AZ89,boc_trpr_oc,11,TRUE)*boc_rr_oc_ooph-VLOOKUP(AZ89,mortt,2,FALSE))</f>
        <v>#N/A</v>
      </c>
      <c r="BC89" s="260" t="e">
        <f>BC88*(1-VLOOKUP(AZ89,boc_trpr_bc,11,TRUE)*boc_rr_bc_both-VLOOKUP(AZ89,boc_trpr_oc,11,TRUE)*boc_rr_oc_both-VLOOKUP(AZ89,mortt,2,FALSE))</f>
        <v>#N/A</v>
      </c>
      <c r="BD89" s="289" t="e">
        <f>BD88*(1-VLOOKUP(AZ89,boc_trpr_bc,11,TRUE)*boc_rr_bc_hip-VLOOKUP(AZ89,boc_trpr_oc,11,TRUE)*boc_rr_oc_hip-VLOOKUP(AZ89,mortt,2,FALSE))</f>
        <v>#N/A</v>
      </c>
      <c r="BE89" s="289" t="e">
        <f>BE88*(1-VLOOKUP(AZ89,boc_trpr_bc,11,TRUE)*boc_rr_bc_hiv-VLOOKUP(AZ89,boc_trpr_oc,11,TRUE)*boc_rr_oc_hiv-VLOOKUP(AZ89,mortt,2,FALSE))</f>
        <v>#N/A</v>
      </c>
      <c r="BF89" s="289" t="e">
        <f>BF88*(1-VLOOKUP(AZ89,boc_trpr_bc,11,TRUE)*boc_rr_bc_modp-VLOOKUP(AZ89,boc_trpr_oc,11,TRUE)*boc_rr_oc_modp-VLOOKUP(AZ89,mortt,2,FALSE))</f>
        <v>#N/A</v>
      </c>
      <c r="BG89" s="289" t="e">
        <f>BG88*(1-VLOOKUP(AZ89,boc_trpr_bc,11,TRUE)*boc_rr_bc_modv-VLOOKUP(AZ89,boc_trpr_oc,11,TRUE)*boc_rr_oc_modv-VLOOKUP(AZ89,mortt,2,FALSE))</f>
        <v>#N/A</v>
      </c>
      <c r="BH89" s="289" t="e">
        <f>BH88*(1-VLOOKUP(AZ89,boc_trpr_bc,11,TRUE)*boc_rr_bc_lop-VLOOKUP(AZ89,boc_trpr_oc,11,TRUE)*boc_rr_oc_lop-VLOOKUP(AZ89,mortt,2,FALSE))</f>
        <v>#N/A</v>
      </c>
      <c r="BI89" s="289" t="e">
        <f>BI88*(1-VLOOKUP(AZ89,boc_trpr_bc,11,TRUE)*boc_rr_bc_lov-VLOOKUP(AZ89,boc_trpr_oc,11,TRUE)*boc_rr_oc_lov-VLOOKUP(AZ89,mortt,2,FALSE))</f>
        <v>#N/A</v>
      </c>
      <c r="BJ89" s="260" t="e">
        <f>BJ88*(1-VLOOKUP(AZ89,boc_trpr_bc,11,TRUE)*boc_rr_bc_np-VLOOKUP(AZ89,boc_trpr_oc,11,TRUE)*boc_rr_oc_np-VLOOKUP(AZ89,mortt,2,FALSE))</f>
        <v>#N/A</v>
      </c>
      <c r="BK89" s="260" t="e">
        <f>BA88*VLOOKUP(AZ89,boc_trpr_bc,11,TRUE)*boc_rr_bc_mast+BB88*VLOOKUP(AZ89,boc_trpr_bc,11,TRUE)*boc_rr_bc_ooph+BC88*VLOOKUP(AZ89,boc_trpr_bc,11,TRUE)*boc_rr_bc_both+BD88*VLOOKUP(AZ89,boc_trpr_bc,11,TRUE)*boc_rr_bc_hip+BE88*VLOOKUP(AZ89,boc_trpr_bc,11,TRUE)*boc_rr_bc_hiv+BF88*VLOOKUP(AZ89,boc_trpr_bc,11,TRUE)*boc_rr_bc_modp+BG88*VLOOKUP(AZ89,boc_trpr_bc,11,TRUE)*boc_rr_bc_modv+BH88*VLOOKUP(AZ89,boc_trpr_bc,11,TRUE)*boc_rr_bc_lop+BI88*VLOOKUP(AZ89,boc_trpr_bc,11,TRUE)*boc_rr_bc_lov+BJ88*VLOOKUP(AZ89,boc_trpr_bc,11,TRUE)*boc_rr_bc_np</f>
        <v>#N/A</v>
      </c>
      <c r="BL89" s="260" t="e">
        <f>BA88*VLOOKUP(AZ89,boc_trpr_oc,11,TRUE)*boc_rr_oc_mast+BB88*VLOOKUP(AZ89,boc_trpr_oc,11,TRUE)*boc_rr_oc_ooph+BC88*VLOOKUP(AZ89,boc_trpr_oc,11,TRUE)*boc_rr_oc_both+BD88*VLOOKUP(AZ89,boc_trpr_oc,11,TRUE)*boc_rr_oc_hip+BE88*VLOOKUP(AZ89,boc_trpr_oc,11,TRUE)*boc_rr_oc_hiv+BF88*VLOOKUP(AZ89,boc_trpr_oc,11,TRUE)*boc_rr_oc_modp+BG88*VLOOKUP(AZ89,boc_trpr_oc,11,TRUE)*boc_rr_oc_modv+BH88*VLOOKUP(AZ89,boc_trpr_oc,11,TRUE)*boc_rr_oc_lop+BI88*VLOOKUP(AZ89,boc_trpr_oc,11,TRUE)*boc_rr_oc_lov+BJ88*VLOOKUP(AZ89,boc_trpr_oc,11,TRUE)*boc_rr_oc_np</f>
        <v>#N/A</v>
      </c>
      <c r="BM89" s="260" t="e">
        <f>BK88*(1-VLOOKUP(AZ89,boc_trpr_bc_death,20,TRUE))+BL88*(1-VLOOKUP(AZ89,boc_trpr_oc_death,20,TRUE))+BM88*(1-VLOOKUP(AZ89,mortt,2,FALSE)*boc_rr_death_pc)</f>
        <v>#N/A</v>
      </c>
      <c r="BN89" s="260" t="e">
        <f>BN88+SUM(BA88:BJ88)*VLOOKUP(AZ89,mortt,2,FALSE)+BK88*VLOOKUP(AZ89,boc_trpr_bc_death,20,TRUE)+BL88*VLOOKUP(AZ89,boc_trpr_bc_death,20,TRUE)+BM88*VLOOKUP(AZ89,mortt,2,FALSE)*boc_rr_death_pc</f>
        <v>#N/A</v>
      </c>
      <c r="BO89" s="260" t="e">
        <f t="shared" si="41"/>
        <v>#N/A</v>
      </c>
      <c r="BP89" s="118" t="e">
        <f>(boc_cost_mast*SUM(BD89,BF89,BH89)*(boc_tr_mast_path+boc_tr_both_path)+SUM(BE89,BG89,BI89)*(boc_tr_mast_vus+boc_tr_both_vus)+BK89*boc_cost_bc+BL89*boc_cost_oc+BM89*boc_cost_pc+(BK89*VLOOKUP(AZ89,boc_trpr_bc_death,20,TRUE)+BL89*VLOOKUP(AZ89,boc_trpr_oc_death,TRUE)*boc_cost_death))/((1+discount)^AY89)</f>
        <v>#N/A</v>
      </c>
      <c r="BQ89" s="35" t="e">
        <f t="shared" si="65"/>
        <v>#N/A</v>
      </c>
      <c r="BR89" s="35" t="e">
        <f t="shared" si="66"/>
        <v>#N/A</v>
      </c>
      <c r="BS89" s="35"/>
      <c r="CD89" s="138">
        <v>84</v>
      </c>
      <c r="CE89" s="291">
        <v>6.5335000000000004E-2</v>
      </c>
    </row>
    <row r="90" spans="2:83" ht="15" customHeight="1" x14ac:dyDescent="0.2">
      <c r="B90" s="19" t="s">
        <v>156</v>
      </c>
      <c r="C90" s="35">
        <f>IF(psa,J90,IF(owsa_low=L90,F90,IF(owsa_high=L90,G90,IF(ISNUMBER(D90),D90,E90))))</f>
        <v>0.05</v>
      </c>
      <c r="D90" s="158"/>
      <c r="E90" s="371">
        <v>0.05</v>
      </c>
      <c r="F90" s="35">
        <f>MAX(0,IF(ISNUMBER(D90),D90,E90)*(1-owsa_boc))</f>
        <v>4.0000000000000008E-2</v>
      </c>
      <c r="G90" s="35">
        <f>IF(ISNUMBER(D90),D90,E90)*(1+owsa_boc)</f>
        <v>0.06</v>
      </c>
      <c r="H90" s="69">
        <f t="shared" si="76"/>
        <v>0.10343687723509751</v>
      </c>
      <c r="I90" s="48"/>
      <c r="J90" s="35">
        <f ca="1">_xlfn.LOGNORM.INV(RAND(),LN(IF(ISNUMBER(D90),D90,E90))-(H90^2)/2,H90)</f>
        <v>4.7011069737093958E-2</v>
      </c>
      <c r="K90" s="12" t="s">
        <v>213</v>
      </c>
      <c r="L90" s="40">
        <v>31</v>
      </c>
      <c r="M90" s="247" t="s">
        <v>248</v>
      </c>
      <c r="N90" s="247" t="s">
        <v>300</v>
      </c>
      <c r="Q90" s="11"/>
      <c r="S90" s="11"/>
      <c r="U90" s="9" t="s">
        <v>9</v>
      </c>
      <c r="V90" s="250">
        <f>1-SUM(V87,V88,V89)</f>
        <v>0.97</v>
      </c>
      <c r="AA90" s="261">
        <f>R93*T88*V90</f>
        <v>9.9688225082263972E-4</v>
      </c>
      <c r="AD90" s="12">
        <v>84</v>
      </c>
      <c r="AE90" s="12">
        <f t="shared" si="61"/>
        <v>129</v>
      </c>
      <c r="AF90" s="260" t="e">
        <f>AF89*(1-VLOOKUP(AE90,boc_trpr_bc,11,TRUE)*boc_rr_bc_mast-VLOOKUP(AE90,boc_trpr_oc,11,TRUE)*boc_rr_oc_mast-VLOOKUP(AE90,mortt,2,FALSE))+SUM(AI89,AK89,AM89)*boc_tr_mast_path+SUM(AJ89,AL89,AN89)*boc_tr_mast_vus</f>
        <v>#N/A</v>
      </c>
      <c r="AG90" s="260" t="e">
        <f>AG89*(1-VLOOKUP(AE90,boc_trpr_bc,11,TRUE)*boc_rr_bc_ooph-VLOOKUP(AE90,boc_trpr_oc,11,TRUE)*boc_rr_oc_ooph-VLOOKUP(AE90,mortt,2,FALSE))+SUM(AI89,AK89,AM89)*boc_tr_ooph_path+SUM(AJ89,AL89,AN89)*boc_tr_ooph_vus</f>
        <v>#N/A</v>
      </c>
      <c r="AH90" s="260" t="e">
        <f>AH89*(1-VLOOKUP(AE90,boc_trpr_bc,11,TRUE)*boc_rr_bc_both-VLOOKUP(AE90,boc_trpr_oc,11,TRUE)*boc_rr_oc_both-VLOOKUP(AE90,mortt,2,FALSE))+SUM(AI89,AK89,AM89)*boc_tr_both_path+SUM(AJ89,AL89,AN89)*boc_tr_both_vus</f>
        <v>#N/A</v>
      </c>
      <c r="AI90" s="289" t="e">
        <f>AI89*(1-VLOOKUP(AE90,boc_trpr_bc,11,TRUE)*boc_rr_bc_hip-VLOOKUP(AE90,boc_trpr_oc,11,TRUE)*boc_rr_oc_hip-boc_tr_mast_path-boc_tr_ooph_path-boc_tr_both_path-VLOOKUP(AE90,mortt,2,FALSE))</f>
        <v>#N/A</v>
      </c>
      <c r="AJ90" s="289" t="e">
        <f>AJ89*(1-VLOOKUP(AE90,boc_trpr_bc,11,TRUE)*boc_rr_bc_hiv-VLOOKUP(AE90,boc_trpr_oc,11,TRUE)*boc_rr_oc_hiv-boc_tr_mast_vus-boc_tr_ooph_vus-boc_tr_both_vus-VLOOKUP(AE90,mortt,2,FALSE))</f>
        <v>#N/A</v>
      </c>
      <c r="AK90" s="289" t="e">
        <f>AK89*(1-VLOOKUP(AE90,boc_trpr_bc,11,TRUE)*boc_rr_bc_modp-VLOOKUP(AE90,boc_trpr_oc,11,TRUE)*boc_rr_oc_modp-boc_tr_mast_path-boc_tr_ooph_path-boc_tr_both_path-VLOOKUP(AE90,mortt,2,FALSE))</f>
        <v>#N/A</v>
      </c>
      <c r="AL90" s="289" t="e">
        <f>AL89*(1-VLOOKUP(AE90,boc_trpr_bc,11,TRUE)*boc_rr_bc_modv-VLOOKUP(AE90,boc_trpr_oc,11,TRUE)*boc_rr_oc_modv-boc_tr_mast_vus-boc_tr_ooph_vus-boc_tr_both_vus-VLOOKUP(AE90,mortt,2,FALSE))</f>
        <v>#N/A</v>
      </c>
      <c r="AM90" s="289" t="e">
        <f>AM89*(1-VLOOKUP(AE90,boc_trpr_bc,11,TRUE)*boc_rr_bc_lop-VLOOKUP(AE90,boc_trpr_oc,11,TRUE)*boc_rr_oc_lop-boc_tr_mast_path-boc_tr_ooph_path-boc_tr_both_path-VLOOKUP(AE90,mortt,2,FALSE))</f>
        <v>#N/A</v>
      </c>
      <c r="AN90" s="289" t="e">
        <f>AN89*(1-VLOOKUP(AE90,boc_trpr_bc,11,TRUE)*boc_rr_bc_lov-VLOOKUP(AE90,boc_trpr_oc,11,TRUE)*boc_rr_oc_lov-boc_tr_mast_vus-boc_tr_ooph_vus-boc_tr_both_vus-VLOOKUP(AE90,mortt,2,FALSE))</f>
        <v>#N/A</v>
      </c>
      <c r="AO90" s="260" t="e">
        <f>AO89*(1-VLOOKUP(AE90,boc_trpr_bc,11,TRUE)*boc_rr_bc_np-VLOOKUP(AE90,boc_trpr_oc,11,TRUE)*boc_rr_oc_np-VLOOKUP(AE90,mortt,2,FALSE))</f>
        <v>#N/A</v>
      </c>
      <c r="AP90" s="260" t="e">
        <f>AF89*VLOOKUP(AE90,boc_trpr_bc,11,TRUE)*boc_rr_bc_mast+AG89*VLOOKUP(AE90,boc_trpr_bc,11,TRUE)*boc_rr_bc_ooph+AH89*VLOOKUP(AE90,boc_trpr_bc,11,TRUE)*boc_rr_bc_both+AI89*VLOOKUP(AE90,boc_trpr_bc,11,TRUE)*boc_rr_bc_hip+AJ89*VLOOKUP(AE90,boc_trpr_bc,11,TRUE)*boc_rr_bc_hiv+AK89*VLOOKUP(AE90,boc_trpr_bc,11,TRUE)*boc_rr_bc_modp+AL89*VLOOKUP(AE90,boc_trpr_bc,11,TRUE)*boc_rr_bc_modv+AM89*VLOOKUP(AE90,boc_trpr_bc,11,TRUE)*boc_rr_bc_lop+AN89*VLOOKUP(AE90,boc_trpr_bc,11,TRUE)*boc_rr_bc_lov+AO89*VLOOKUP(AE90,boc_trpr_bc,11,TRUE)*boc_rr_bc_np</f>
        <v>#N/A</v>
      </c>
      <c r="AQ90" s="260" t="e">
        <f>AF89*VLOOKUP(AE90,boc_trpr_oc,11,TRUE)*boc_rr_oc_mast+AG89*VLOOKUP(AE90,boc_trpr_oc,11,TRUE)*boc_rr_oc_ooph+AH89*VLOOKUP(AE90,boc_trpr_oc,11,TRUE)*boc_rr_oc_both+AI89*VLOOKUP(AE90,boc_trpr_oc,11,TRUE)*boc_rr_oc_hip+AJ89*VLOOKUP(AE90,boc_trpr_oc,11,TRUE)*boc_rr_oc_hiv+AK89*VLOOKUP(AE90,boc_trpr_oc,11,TRUE)*boc_rr_oc_modp+AL89*VLOOKUP(AE90,boc_trpr_oc,11,TRUE)*boc_rr_oc_modv+AM89*VLOOKUP(AE90,boc_trpr_oc,11,TRUE)*boc_rr_oc_lop+AN89*VLOOKUP(AE90,boc_trpr_oc,11,TRUE)*boc_rr_oc_lov+AO89*VLOOKUP(AE90,boc_trpr_oc,11,TRUE)*boc_rr_oc_np</f>
        <v>#N/A</v>
      </c>
      <c r="AR90" s="260" t="e">
        <f>AP89*(1-VLOOKUP(AE90,boc_trpr_bc_death,20,TRUE))+AQ89*(1-VLOOKUP(AE90,boc_trpr_oc_death,20,TRUE))+AR89*(1-VLOOKUP(AE90,mortt,2,FALSE)*boc_rr_death_pc)</f>
        <v>#N/A</v>
      </c>
      <c r="AS90" s="260" t="e">
        <f>AS89+SUM(AF89:AO89)*VLOOKUP(AE90,mortt,2,FALSE)+AP89*VLOOKUP(AE90,boc_trpr_bc_death,20,TRUE)+AQ89*VLOOKUP(AE90,boc_trpr_bc_death,20,TRUE)+AR89*VLOOKUP(AE90,mortt,2,FALSE)*boc_rr_death_pc</f>
        <v>#N/A</v>
      </c>
      <c r="AT90" s="260" t="e">
        <f t="shared" si="52"/>
        <v>#N/A</v>
      </c>
      <c r="AU90" s="118" t="e">
        <f>(boc_cost_mast*SUM(AI90,AK90,AM90)*(boc_tr_mast_path+boc_tr_both_path)+SUM(AJ90,AL90,AN90)*(boc_tr_mast_vus+boc_tr_both_vus)+AP90*boc_cost_bc+AQ90*boc_cost_oc+AR90*boc_cost_pc+(AP90*VLOOKUP(AE90,boc_trpr_bc_death,20,TRUE)+AQ90*VLOOKUP(AE90,boc_trpr_oc_death,TRUE)*boc_cost_death))/((1+discount)^AD90)</f>
        <v>#N/A</v>
      </c>
      <c r="AV90" s="35" t="e">
        <f t="shared" si="62"/>
        <v>#N/A</v>
      </c>
      <c r="AW90" s="35" t="e">
        <f t="shared" si="63"/>
        <v>#N/A</v>
      </c>
      <c r="AY90" s="12">
        <v>84</v>
      </c>
      <c r="AZ90" s="12">
        <f t="shared" si="64"/>
        <v>129</v>
      </c>
      <c r="BA90" s="260" t="e">
        <f>BA89*(1-VLOOKUP(AZ90,boc_trpr_bc,11,TRUE)*boc_rr_bc_mast-VLOOKUP(AZ90,boc_trpr_oc,11,TRUE)*boc_rr_oc_mast-VLOOKUP(AZ90,mortt,2,FALSE))</f>
        <v>#N/A</v>
      </c>
      <c r="BB90" s="260" t="e">
        <f>BB89*(1-VLOOKUP(AZ90,boc_trpr_bc,11,TRUE)*boc_rr_bc_ooph-VLOOKUP(AZ90,boc_trpr_oc,11,TRUE)*boc_rr_oc_ooph-VLOOKUP(AZ90,mortt,2,FALSE))</f>
        <v>#N/A</v>
      </c>
      <c r="BC90" s="260" t="e">
        <f>BC89*(1-VLOOKUP(AZ90,boc_trpr_bc,11,TRUE)*boc_rr_bc_both-VLOOKUP(AZ90,boc_trpr_oc,11,TRUE)*boc_rr_oc_both-VLOOKUP(AZ90,mortt,2,FALSE))</f>
        <v>#N/A</v>
      </c>
      <c r="BD90" s="289" t="e">
        <f>BD89*(1-VLOOKUP(AZ90,boc_trpr_bc,11,TRUE)*boc_rr_bc_hip-VLOOKUP(AZ90,boc_trpr_oc,11,TRUE)*boc_rr_oc_hip-VLOOKUP(AZ90,mortt,2,FALSE))</f>
        <v>#N/A</v>
      </c>
      <c r="BE90" s="289" t="e">
        <f>BE89*(1-VLOOKUP(AZ90,boc_trpr_bc,11,TRUE)*boc_rr_bc_hiv-VLOOKUP(AZ90,boc_trpr_oc,11,TRUE)*boc_rr_oc_hiv-VLOOKUP(AZ90,mortt,2,FALSE))</f>
        <v>#N/A</v>
      </c>
      <c r="BF90" s="289" t="e">
        <f>BF89*(1-VLOOKUP(AZ90,boc_trpr_bc,11,TRUE)*boc_rr_bc_modp-VLOOKUP(AZ90,boc_trpr_oc,11,TRUE)*boc_rr_oc_modp-VLOOKUP(AZ90,mortt,2,FALSE))</f>
        <v>#N/A</v>
      </c>
      <c r="BG90" s="289" t="e">
        <f>BG89*(1-VLOOKUP(AZ90,boc_trpr_bc,11,TRUE)*boc_rr_bc_modv-VLOOKUP(AZ90,boc_trpr_oc,11,TRUE)*boc_rr_oc_modv-VLOOKUP(AZ90,mortt,2,FALSE))</f>
        <v>#N/A</v>
      </c>
      <c r="BH90" s="289" t="e">
        <f>BH89*(1-VLOOKUP(AZ90,boc_trpr_bc,11,TRUE)*boc_rr_bc_lop-VLOOKUP(AZ90,boc_trpr_oc,11,TRUE)*boc_rr_oc_lop-VLOOKUP(AZ90,mortt,2,FALSE))</f>
        <v>#N/A</v>
      </c>
      <c r="BI90" s="289" t="e">
        <f>BI89*(1-VLOOKUP(AZ90,boc_trpr_bc,11,TRUE)*boc_rr_bc_lov-VLOOKUP(AZ90,boc_trpr_oc,11,TRUE)*boc_rr_oc_lov-VLOOKUP(AZ90,mortt,2,FALSE))</f>
        <v>#N/A</v>
      </c>
      <c r="BJ90" s="260" t="e">
        <f>BJ89*(1-VLOOKUP(AZ90,boc_trpr_bc,11,TRUE)*boc_rr_bc_np-VLOOKUP(AZ90,boc_trpr_oc,11,TRUE)*boc_rr_oc_np-VLOOKUP(AZ90,mortt,2,FALSE))</f>
        <v>#N/A</v>
      </c>
      <c r="BK90" s="260" t="e">
        <f>BA89*VLOOKUP(AZ90,boc_trpr_bc,11,TRUE)*boc_rr_bc_mast+BB89*VLOOKUP(AZ90,boc_trpr_bc,11,TRUE)*boc_rr_bc_ooph+BC89*VLOOKUP(AZ90,boc_trpr_bc,11,TRUE)*boc_rr_bc_both+BD89*VLOOKUP(AZ90,boc_trpr_bc,11,TRUE)*boc_rr_bc_hip+BE89*VLOOKUP(AZ90,boc_trpr_bc,11,TRUE)*boc_rr_bc_hiv+BF89*VLOOKUP(AZ90,boc_trpr_bc,11,TRUE)*boc_rr_bc_modp+BG89*VLOOKUP(AZ90,boc_trpr_bc,11,TRUE)*boc_rr_bc_modv+BH89*VLOOKUP(AZ90,boc_trpr_bc,11,TRUE)*boc_rr_bc_lop+BI89*VLOOKUP(AZ90,boc_trpr_bc,11,TRUE)*boc_rr_bc_lov+BJ89*VLOOKUP(AZ90,boc_trpr_bc,11,TRUE)*boc_rr_bc_np</f>
        <v>#N/A</v>
      </c>
      <c r="BL90" s="260" t="e">
        <f>BA89*VLOOKUP(AZ90,boc_trpr_oc,11,TRUE)*boc_rr_oc_mast+BB89*VLOOKUP(AZ90,boc_trpr_oc,11,TRUE)*boc_rr_oc_ooph+BC89*VLOOKUP(AZ90,boc_trpr_oc,11,TRUE)*boc_rr_oc_both+BD89*VLOOKUP(AZ90,boc_trpr_oc,11,TRUE)*boc_rr_oc_hip+BE89*VLOOKUP(AZ90,boc_trpr_oc,11,TRUE)*boc_rr_oc_hiv+BF89*VLOOKUP(AZ90,boc_trpr_oc,11,TRUE)*boc_rr_oc_modp+BG89*VLOOKUP(AZ90,boc_trpr_oc,11,TRUE)*boc_rr_oc_modv+BH89*VLOOKUP(AZ90,boc_trpr_oc,11,TRUE)*boc_rr_oc_lop+BI89*VLOOKUP(AZ90,boc_trpr_oc,11,TRUE)*boc_rr_oc_lov+BJ89*VLOOKUP(AZ90,boc_trpr_oc,11,TRUE)*boc_rr_oc_np</f>
        <v>#N/A</v>
      </c>
      <c r="BM90" s="260" t="e">
        <f>BK89*(1-VLOOKUP(AZ90,boc_trpr_bc_death,20,TRUE))+BL89*(1-VLOOKUP(AZ90,boc_trpr_oc_death,20,TRUE))+BM89*(1-VLOOKUP(AZ90,mortt,2,FALSE)*boc_rr_death_pc)</f>
        <v>#N/A</v>
      </c>
      <c r="BN90" s="260" t="e">
        <f>BN89+SUM(BA89:BJ89)*VLOOKUP(AZ90,mortt,2,FALSE)+BK89*VLOOKUP(AZ90,boc_trpr_bc_death,20,TRUE)+BL89*VLOOKUP(AZ90,boc_trpr_bc_death,20,TRUE)+BM89*VLOOKUP(AZ90,mortt,2,FALSE)*boc_rr_death_pc</f>
        <v>#N/A</v>
      </c>
      <c r="BO90" s="260" t="e">
        <f t="shared" si="41"/>
        <v>#N/A</v>
      </c>
      <c r="BP90" s="118" t="e">
        <f>(boc_cost_mast*SUM(BD90,BF90,BH90)*(boc_tr_mast_path+boc_tr_both_path)+SUM(BE90,BG90,BI90)*(boc_tr_mast_vus+boc_tr_both_vus)+BK90*boc_cost_bc+BL90*boc_cost_oc+BM90*boc_cost_pc+(BK90*VLOOKUP(AZ90,boc_trpr_bc_death,20,TRUE)+BL90*VLOOKUP(AZ90,boc_trpr_oc_death,TRUE)*boc_cost_death))/((1+discount)^AY90)</f>
        <v>#N/A</v>
      </c>
      <c r="BQ90" s="35" t="e">
        <f t="shared" si="65"/>
        <v>#N/A</v>
      </c>
      <c r="BR90" s="35" t="e">
        <f t="shared" si="66"/>
        <v>#N/A</v>
      </c>
      <c r="BS90" s="35"/>
      <c r="CD90" s="138">
        <v>85</v>
      </c>
      <c r="CE90" s="291">
        <v>7.2706000000000007E-2</v>
      </c>
    </row>
    <row r="91" spans="2:83" ht="15" customHeight="1" x14ac:dyDescent="0.2">
      <c r="B91" s="38" t="s">
        <v>171</v>
      </c>
      <c r="Q91" s="11"/>
      <c r="S91" s="11"/>
      <c r="AD91" s="12">
        <v>85</v>
      </c>
      <c r="AE91" s="12">
        <f t="shared" si="61"/>
        <v>130</v>
      </c>
      <c r="AF91" s="260" t="e">
        <f>AF90*(1-VLOOKUP(AE91,boc_trpr_bc,11,TRUE)*boc_rr_bc_mast-VLOOKUP(AE91,boc_trpr_oc,11,TRUE)*boc_rr_oc_mast-VLOOKUP(AE91,mortt,2,FALSE))+SUM(AI90,AK90,AM90)*boc_tr_mast_path+SUM(AJ90,AL90,AN90)*boc_tr_mast_vus</f>
        <v>#N/A</v>
      </c>
      <c r="AG91" s="260" t="e">
        <f>AG90*(1-VLOOKUP(AE91,boc_trpr_bc,11,TRUE)*boc_rr_bc_ooph-VLOOKUP(AE91,boc_trpr_oc,11,TRUE)*boc_rr_oc_ooph-VLOOKUP(AE91,mortt,2,FALSE))+SUM(AI90,AK90,AM90)*boc_tr_ooph_path+SUM(AJ90,AL90,AN90)*boc_tr_ooph_vus</f>
        <v>#N/A</v>
      </c>
      <c r="AH91" s="260" t="e">
        <f>AH90*(1-VLOOKUP(AE91,boc_trpr_bc,11,TRUE)*boc_rr_bc_both-VLOOKUP(AE91,boc_trpr_oc,11,TRUE)*boc_rr_oc_both-VLOOKUP(AE91,mortt,2,FALSE))+SUM(AI90,AK90,AM90)*boc_tr_both_path+SUM(AJ90,AL90,AN90)*boc_tr_both_vus</f>
        <v>#N/A</v>
      </c>
      <c r="AI91" s="289" t="e">
        <f>AI90*(1-VLOOKUP(AE91,boc_trpr_bc,11,TRUE)*boc_rr_bc_hip-VLOOKUP(AE91,boc_trpr_oc,11,TRUE)*boc_rr_oc_hip-boc_tr_mast_path-boc_tr_ooph_path-boc_tr_both_path-VLOOKUP(AE91,mortt,2,FALSE))</f>
        <v>#N/A</v>
      </c>
      <c r="AJ91" s="289" t="e">
        <f>AJ90*(1-VLOOKUP(AE91,boc_trpr_bc,11,TRUE)*boc_rr_bc_hiv-VLOOKUP(AE91,boc_trpr_oc,11,TRUE)*boc_rr_oc_hiv-boc_tr_mast_vus-boc_tr_ooph_vus-boc_tr_both_vus-VLOOKUP(AE91,mortt,2,FALSE))</f>
        <v>#N/A</v>
      </c>
      <c r="AK91" s="289" t="e">
        <f>AK90*(1-VLOOKUP(AE91,boc_trpr_bc,11,TRUE)*boc_rr_bc_modp-VLOOKUP(AE91,boc_trpr_oc,11,TRUE)*boc_rr_oc_modp-boc_tr_mast_path-boc_tr_ooph_path-boc_tr_both_path-VLOOKUP(AE91,mortt,2,FALSE))</f>
        <v>#N/A</v>
      </c>
      <c r="AL91" s="289" t="e">
        <f>AL90*(1-VLOOKUP(AE91,boc_trpr_bc,11,TRUE)*boc_rr_bc_modv-VLOOKUP(AE91,boc_trpr_oc,11,TRUE)*boc_rr_oc_modv-boc_tr_mast_vus-boc_tr_ooph_vus-boc_tr_both_vus-VLOOKUP(AE91,mortt,2,FALSE))</f>
        <v>#N/A</v>
      </c>
      <c r="AM91" s="289" t="e">
        <f>AM90*(1-VLOOKUP(AE91,boc_trpr_bc,11,TRUE)*boc_rr_bc_lop-VLOOKUP(AE91,boc_trpr_oc,11,TRUE)*boc_rr_oc_lop-boc_tr_mast_path-boc_tr_ooph_path-boc_tr_both_path-VLOOKUP(AE91,mortt,2,FALSE))</f>
        <v>#N/A</v>
      </c>
      <c r="AN91" s="289" t="e">
        <f>AN90*(1-VLOOKUP(AE91,boc_trpr_bc,11,TRUE)*boc_rr_bc_lov-VLOOKUP(AE91,boc_trpr_oc,11,TRUE)*boc_rr_oc_lov-boc_tr_mast_vus-boc_tr_ooph_vus-boc_tr_both_vus-VLOOKUP(AE91,mortt,2,FALSE))</f>
        <v>#N/A</v>
      </c>
      <c r="AO91" s="260" t="e">
        <f>AO90*(1-VLOOKUP(AE91,boc_trpr_bc,11,TRUE)*boc_rr_bc_np-VLOOKUP(AE91,boc_trpr_oc,11,TRUE)*boc_rr_oc_np-VLOOKUP(AE91,mortt,2,FALSE))</f>
        <v>#N/A</v>
      </c>
      <c r="AP91" s="260" t="e">
        <f>AF90*VLOOKUP(AE91,boc_trpr_bc,11,TRUE)*boc_rr_bc_mast+AG90*VLOOKUP(AE91,boc_trpr_bc,11,TRUE)*boc_rr_bc_ooph+AH90*VLOOKUP(AE91,boc_trpr_bc,11,TRUE)*boc_rr_bc_both+AI90*VLOOKUP(AE91,boc_trpr_bc,11,TRUE)*boc_rr_bc_hip+AJ90*VLOOKUP(AE91,boc_trpr_bc,11,TRUE)*boc_rr_bc_hiv+AK90*VLOOKUP(AE91,boc_trpr_bc,11,TRUE)*boc_rr_bc_modp+AL90*VLOOKUP(AE91,boc_trpr_bc,11,TRUE)*boc_rr_bc_modv+AM90*VLOOKUP(AE91,boc_trpr_bc,11,TRUE)*boc_rr_bc_lop+AN90*VLOOKUP(AE91,boc_trpr_bc,11,TRUE)*boc_rr_bc_lov+AO90*VLOOKUP(AE91,boc_trpr_bc,11,TRUE)*boc_rr_bc_np</f>
        <v>#N/A</v>
      </c>
      <c r="AQ91" s="260" t="e">
        <f>AF90*VLOOKUP(AE91,boc_trpr_oc,11,TRUE)*boc_rr_oc_mast+AG90*VLOOKUP(AE91,boc_trpr_oc,11,TRUE)*boc_rr_oc_ooph+AH90*VLOOKUP(AE91,boc_trpr_oc,11,TRUE)*boc_rr_oc_both+AI90*VLOOKUP(AE91,boc_trpr_oc,11,TRUE)*boc_rr_oc_hip+AJ90*VLOOKUP(AE91,boc_trpr_oc,11,TRUE)*boc_rr_oc_hiv+AK90*VLOOKUP(AE91,boc_trpr_oc,11,TRUE)*boc_rr_oc_modp+AL90*VLOOKUP(AE91,boc_trpr_oc,11,TRUE)*boc_rr_oc_modv+AM90*VLOOKUP(AE91,boc_trpr_oc,11,TRUE)*boc_rr_oc_lop+AN90*VLOOKUP(AE91,boc_trpr_oc,11,TRUE)*boc_rr_oc_lov+AO90*VLOOKUP(AE91,boc_trpr_oc,11,TRUE)*boc_rr_oc_np</f>
        <v>#N/A</v>
      </c>
      <c r="AR91" s="260" t="e">
        <f>AP90*(1-VLOOKUP(AE91,boc_trpr_bc_death,20,TRUE))+AQ90*(1-VLOOKUP(AE91,boc_trpr_oc_death,20,TRUE))+AR90*(1-VLOOKUP(AE91,mortt,2,FALSE)*boc_rr_death_pc)</f>
        <v>#N/A</v>
      </c>
      <c r="AS91" s="260" t="e">
        <f>AS90+SUM(AF90:AO90)*VLOOKUP(AE91,mortt,2,FALSE)+AP90*VLOOKUP(AE91,boc_trpr_bc_death,20,TRUE)+AQ90*VLOOKUP(AE91,boc_trpr_bc_death,20,TRUE)+AR90*VLOOKUP(AE91,mortt,2,FALSE)*boc_rr_death_pc</f>
        <v>#N/A</v>
      </c>
      <c r="AT91" s="260" t="e">
        <f t="shared" si="52"/>
        <v>#N/A</v>
      </c>
      <c r="AU91" s="118" t="e">
        <f>(boc_cost_mast*SUM(AI91,AK91,AM91)*(boc_tr_mast_path+boc_tr_both_path)+SUM(AJ91,AL91,AN91)*(boc_tr_mast_vus+boc_tr_both_vus)+AP91*boc_cost_bc+AQ91*boc_cost_oc+AR91*boc_cost_pc+(AP91*VLOOKUP(AE91,boc_trpr_bc_death,20,TRUE)+AQ91*VLOOKUP(AE91,boc_trpr_oc_death,TRUE)*boc_cost_death))/((1+discount)^AD91)</f>
        <v>#N/A</v>
      </c>
      <c r="AV91" s="35" t="e">
        <f t="shared" si="62"/>
        <v>#N/A</v>
      </c>
      <c r="AW91" s="35" t="e">
        <f t="shared" si="63"/>
        <v>#N/A</v>
      </c>
      <c r="AY91" s="12">
        <v>85</v>
      </c>
      <c r="AZ91" s="12">
        <f t="shared" si="64"/>
        <v>130</v>
      </c>
      <c r="BA91" s="260" t="e">
        <f>BA90*(1-VLOOKUP(AZ91,boc_trpr_bc,11,TRUE)*boc_rr_bc_mast-VLOOKUP(AZ91,boc_trpr_oc,11,TRUE)*boc_rr_oc_mast-VLOOKUP(AZ91,mortt,2,FALSE))</f>
        <v>#N/A</v>
      </c>
      <c r="BB91" s="260" t="e">
        <f>BB90*(1-VLOOKUP(AZ91,boc_trpr_bc,11,TRUE)*boc_rr_bc_ooph-VLOOKUP(AZ91,boc_trpr_oc,11,TRUE)*boc_rr_oc_ooph-VLOOKUP(AZ91,mortt,2,FALSE))</f>
        <v>#N/A</v>
      </c>
      <c r="BC91" s="260" t="e">
        <f>BC90*(1-VLOOKUP(AZ91,boc_trpr_bc,11,TRUE)*boc_rr_bc_both-VLOOKUP(AZ91,boc_trpr_oc,11,TRUE)*boc_rr_oc_both-VLOOKUP(AZ91,mortt,2,FALSE))</f>
        <v>#N/A</v>
      </c>
      <c r="BD91" s="289" t="e">
        <f>BD90*(1-VLOOKUP(AZ91,boc_trpr_bc,11,TRUE)*boc_rr_bc_hip-VLOOKUP(AZ91,boc_trpr_oc,11,TRUE)*boc_rr_oc_hip-VLOOKUP(AZ91,mortt,2,FALSE))</f>
        <v>#N/A</v>
      </c>
      <c r="BE91" s="289" t="e">
        <f>BE90*(1-VLOOKUP(AZ91,boc_trpr_bc,11,TRUE)*boc_rr_bc_hiv-VLOOKUP(AZ91,boc_trpr_oc,11,TRUE)*boc_rr_oc_hiv-VLOOKUP(AZ91,mortt,2,FALSE))</f>
        <v>#N/A</v>
      </c>
      <c r="BF91" s="289" t="e">
        <f>BF90*(1-VLOOKUP(AZ91,boc_trpr_bc,11,TRUE)*boc_rr_bc_modp-VLOOKUP(AZ91,boc_trpr_oc,11,TRUE)*boc_rr_oc_modp-VLOOKUP(AZ91,mortt,2,FALSE))</f>
        <v>#N/A</v>
      </c>
      <c r="BG91" s="289" t="e">
        <f>BG90*(1-VLOOKUP(AZ91,boc_trpr_bc,11,TRUE)*boc_rr_bc_modv-VLOOKUP(AZ91,boc_trpr_oc,11,TRUE)*boc_rr_oc_modv-VLOOKUP(AZ91,mortt,2,FALSE))</f>
        <v>#N/A</v>
      </c>
      <c r="BH91" s="289" t="e">
        <f>BH90*(1-VLOOKUP(AZ91,boc_trpr_bc,11,TRUE)*boc_rr_bc_lop-VLOOKUP(AZ91,boc_trpr_oc,11,TRUE)*boc_rr_oc_lop-VLOOKUP(AZ91,mortt,2,FALSE))</f>
        <v>#N/A</v>
      </c>
      <c r="BI91" s="289" t="e">
        <f>BI90*(1-VLOOKUP(AZ91,boc_trpr_bc,11,TRUE)*boc_rr_bc_lov-VLOOKUP(AZ91,boc_trpr_oc,11,TRUE)*boc_rr_oc_lov-VLOOKUP(AZ91,mortt,2,FALSE))</f>
        <v>#N/A</v>
      </c>
      <c r="BJ91" s="260" t="e">
        <f>BJ90*(1-VLOOKUP(AZ91,boc_trpr_bc,11,TRUE)*boc_rr_bc_np-VLOOKUP(AZ91,boc_trpr_oc,11,TRUE)*boc_rr_oc_np-VLOOKUP(AZ91,mortt,2,FALSE))</f>
        <v>#N/A</v>
      </c>
      <c r="BK91" s="260" t="e">
        <f>BA90*VLOOKUP(AZ91,boc_trpr_bc,11,TRUE)*boc_rr_bc_mast+BB90*VLOOKUP(AZ91,boc_trpr_bc,11,TRUE)*boc_rr_bc_ooph+BC90*VLOOKUP(AZ91,boc_trpr_bc,11,TRUE)*boc_rr_bc_both+BD90*VLOOKUP(AZ91,boc_trpr_bc,11,TRUE)*boc_rr_bc_hip+BE90*VLOOKUP(AZ91,boc_trpr_bc,11,TRUE)*boc_rr_bc_hiv+BF90*VLOOKUP(AZ91,boc_trpr_bc,11,TRUE)*boc_rr_bc_modp+BG90*VLOOKUP(AZ91,boc_trpr_bc,11,TRUE)*boc_rr_bc_modv+BH90*VLOOKUP(AZ91,boc_trpr_bc,11,TRUE)*boc_rr_bc_lop+BI90*VLOOKUP(AZ91,boc_trpr_bc,11,TRUE)*boc_rr_bc_lov+BJ90*VLOOKUP(AZ91,boc_trpr_bc,11,TRUE)*boc_rr_bc_np</f>
        <v>#N/A</v>
      </c>
      <c r="BL91" s="260" t="e">
        <f>BA90*VLOOKUP(AZ91,boc_trpr_oc,11,TRUE)*boc_rr_oc_mast+BB90*VLOOKUP(AZ91,boc_trpr_oc,11,TRUE)*boc_rr_oc_ooph+BC90*VLOOKUP(AZ91,boc_trpr_oc,11,TRUE)*boc_rr_oc_both+BD90*VLOOKUP(AZ91,boc_trpr_oc,11,TRUE)*boc_rr_oc_hip+BE90*VLOOKUP(AZ91,boc_trpr_oc,11,TRUE)*boc_rr_oc_hiv+BF90*VLOOKUP(AZ91,boc_trpr_oc,11,TRUE)*boc_rr_oc_modp+BG90*VLOOKUP(AZ91,boc_trpr_oc,11,TRUE)*boc_rr_oc_modv+BH90*VLOOKUP(AZ91,boc_trpr_oc,11,TRUE)*boc_rr_oc_lop+BI90*VLOOKUP(AZ91,boc_trpr_oc,11,TRUE)*boc_rr_oc_lov+BJ90*VLOOKUP(AZ91,boc_trpr_oc,11,TRUE)*boc_rr_oc_np</f>
        <v>#N/A</v>
      </c>
      <c r="BM91" s="260" t="e">
        <f>BK90*(1-VLOOKUP(AZ91,boc_trpr_bc_death,20,TRUE))+BL90*(1-VLOOKUP(AZ91,boc_trpr_oc_death,20,TRUE))+BM90*(1-VLOOKUP(AZ91,mortt,2,FALSE)*boc_rr_death_pc)</f>
        <v>#N/A</v>
      </c>
      <c r="BN91" s="260" t="e">
        <f>BN90+SUM(BA90:BJ90)*VLOOKUP(AZ91,mortt,2,FALSE)+BK90*VLOOKUP(AZ91,boc_trpr_bc_death,20,TRUE)+BL90*VLOOKUP(AZ91,boc_trpr_bc_death,20,TRUE)+BM90*VLOOKUP(AZ91,mortt,2,FALSE)*boc_rr_death_pc</f>
        <v>#N/A</v>
      </c>
      <c r="BO91" s="260" t="e">
        <f t="shared" si="41"/>
        <v>#N/A</v>
      </c>
      <c r="BP91" s="118" t="e">
        <f>(boc_cost_mast*SUM(BD91,BF91,BH91)*(boc_tr_mast_path+boc_tr_both_path)+SUM(BE91,BG91,BI91)*(boc_tr_mast_vus+boc_tr_both_vus)+BK91*boc_cost_bc+BL91*boc_cost_oc+BM91*boc_cost_pc+(BK91*VLOOKUP(AZ91,boc_trpr_bc_death,20,TRUE)+BL91*VLOOKUP(AZ91,boc_trpr_oc_death,TRUE)*boc_cost_death))/((1+discount)^AY91)</f>
        <v>#N/A</v>
      </c>
      <c r="BQ91" s="35" t="e">
        <f t="shared" si="65"/>
        <v>#N/A</v>
      </c>
      <c r="BR91" s="35" t="e">
        <f t="shared" si="66"/>
        <v>#N/A</v>
      </c>
      <c r="BS91" s="35"/>
      <c r="CD91" s="138">
        <v>86</v>
      </c>
      <c r="CE91" s="291">
        <v>8.1768999999999994E-2</v>
      </c>
    </row>
    <row r="92" spans="2:83" ht="15" customHeight="1" x14ac:dyDescent="0.2">
      <c r="B92" s="37" t="s">
        <v>11</v>
      </c>
      <c r="C92" s="35">
        <f>IF(psa,J92,IF(owsa_low=L92,F92,IF(owsa_high=L92,G92,IF(ISNUMBER(D92),D92,E92))))</f>
        <v>15</v>
      </c>
      <c r="D92" s="158"/>
      <c r="E92" s="35">
        <v>15</v>
      </c>
      <c r="F92" s="35">
        <f>MAX(0,IF(ISNUMBER(D92),D92,E92)*(1-owsa_boc))</f>
        <v>12</v>
      </c>
      <c r="G92" s="35">
        <f>IF(ISNUMBER(D92),D92,E92)*(1+owsa_boc)</f>
        <v>18</v>
      </c>
      <c r="H92" s="69">
        <f t="shared" si="76"/>
        <v>0.10343687723509751</v>
      </c>
      <c r="I92" s="48"/>
      <c r="J92" s="35">
        <f ca="1">_xlfn.LOGNORM.INV(RAND(),LN(IF(ISNUMBER(D92),D92,E92))-(H92^2)/2,H92)</f>
        <v>15.832322526818746</v>
      </c>
      <c r="K92" s="12" t="s">
        <v>213</v>
      </c>
      <c r="L92" s="40">
        <v>32</v>
      </c>
      <c r="M92" s="247" t="s">
        <v>252</v>
      </c>
      <c r="N92" s="39" t="s">
        <v>48</v>
      </c>
      <c r="Q92" s="11"/>
      <c r="S92" s="11"/>
      <c r="U92" s="9" t="s">
        <v>7</v>
      </c>
      <c r="V92" s="250">
        <f>boc_unk_int_mast</f>
        <v>0.01</v>
      </c>
      <c r="X92" s="261">
        <f>R93*T93*V92</f>
        <v>2.9601048523697044E-5</v>
      </c>
      <c r="AD92" s="12">
        <v>86</v>
      </c>
      <c r="AE92" s="12">
        <f t="shared" si="61"/>
        <v>131</v>
      </c>
      <c r="AF92" s="260" t="e">
        <f>AF91*(1-VLOOKUP(AE92,boc_trpr_bc,11,TRUE)*boc_rr_bc_mast-VLOOKUP(AE92,boc_trpr_oc,11,TRUE)*boc_rr_oc_mast-VLOOKUP(AE92,mortt,2,FALSE))+SUM(AI91,AK91,AM91)*boc_tr_mast_path+SUM(AJ91,AL91,AN91)*boc_tr_mast_vus</f>
        <v>#N/A</v>
      </c>
      <c r="AG92" s="260" t="e">
        <f>AG91*(1-VLOOKUP(AE92,boc_trpr_bc,11,TRUE)*boc_rr_bc_ooph-VLOOKUP(AE92,boc_trpr_oc,11,TRUE)*boc_rr_oc_ooph-VLOOKUP(AE92,mortt,2,FALSE))+SUM(AI91,AK91,AM91)*boc_tr_ooph_path+SUM(AJ91,AL91,AN91)*boc_tr_ooph_vus</f>
        <v>#N/A</v>
      </c>
      <c r="AH92" s="260" t="e">
        <f>AH91*(1-VLOOKUP(AE92,boc_trpr_bc,11,TRUE)*boc_rr_bc_both-VLOOKUP(AE92,boc_trpr_oc,11,TRUE)*boc_rr_oc_both-VLOOKUP(AE92,mortt,2,FALSE))+SUM(AI91,AK91,AM91)*boc_tr_both_path+SUM(AJ91,AL91,AN91)*boc_tr_both_vus</f>
        <v>#N/A</v>
      </c>
      <c r="AI92" s="289" t="e">
        <f>AI91*(1-VLOOKUP(AE92,boc_trpr_bc,11,TRUE)*boc_rr_bc_hip-VLOOKUP(AE92,boc_trpr_oc,11,TRUE)*boc_rr_oc_hip-boc_tr_mast_path-boc_tr_ooph_path-boc_tr_both_path-VLOOKUP(AE92,mortt,2,FALSE))</f>
        <v>#N/A</v>
      </c>
      <c r="AJ92" s="289" t="e">
        <f>AJ91*(1-VLOOKUP(AE92,boc_trpr_bc,11,TRUE)*boc_rr_bc_hiv-VLOOKUP(AE92,boc_trpr_oc,11,TRUE)*boc_rr_oc_hiv-boc_tr_mast_vus-boc_tr_ooph_vus-boc_tr_both_vus-VLOOKUP(AE92,mortt,2,FALSE))</f>
        <v>#N/A</v>
      </c>
      <c r="AK92" s="289" t="e">
        <f>AK91*(1-VLOOKUP(AE92,boc_trpr_bc,11,TRUE)*boc_rr_bc_modp-VLOOKUP(AE92,boc_trpr_oc,11,TRUE)*boc_rr_oc_modp-boc_tr_mast_path-boc_tr_ooph_path-boc_tr_both_path-VLOOKUP(AE92,mortt,2,FALSE))</f>
        <v>#N/A</v>
      </c>
      <c r="AL92" s="289" t="e">
        <f>AL91*(1-VLOOKUP(AE92,boc_trpr_bc,11,TRUE)*boc_rr_bc_modv-VLOOKUP(AE92,boc_trpr_oc,11,TRUE)*boc_rr_oc_modv-boc_tr_mast_vus-boc_tr_ooph_vus-boc_tr_both_vus-VLOOKUP(AE92,mortt,2,FALSE))</f>
        <v>#N/A</v>
      </c>
      <c r="AM92" s="289" t="e">
        <f>AM91*(1-VLOOKUP(AE92,boc_trpr_bc,11,TRUE)*boc_rr_bc_lop-VLOOKUP(AE92,boc_trpr_oc,11,TRUE)*boc_rr_oc_lop-boc_tr_mast_path-boc_tr_ooph_path-boc_tr_both_path-VLOOKUP(AE92,mortt,2,FALSE))</f>
        <v>#N/A</v>
      </c>
      <c r="AN92" s="289" t="e">
        <f>AN91*(1-VLOOKUP(AE92,boc_trpr_bc,11,TRUE)*boc_rr_bc_lov-VLOOKUP(AE92,boc_trpr_oc,11,TRUE)*boc_rr_oc_lov-boc_tr_mast_vus-boc_tr_ooph_vus-boc_tr_both_vus-VLOOKUP(AE92,mortt,2,FALSE))</f>
        <v>#N/A</v>
      </c>
      <c r="AO92" s="260" t="e">
        <f>AO91*(1-VLOOKUP(AE92,boc_trpr_bc,11,TRUE)*boc_rr_bc_np-VLOOKUP(AE92,boc_trpr_oc,11,TRUE)*boc_rr_oc_np-VLOOKUP(AE92,mortt,2,FALSE))</f>
        <v>#N/A</v>
      </c>
      <c r="AP92" s="260" t="e">
        <f>AF91*VLOOKUP(AE92,boc_trpr_bc,11,TRUE)*boc_rr_bc_mast+AG91*VLOOKUP(AE92,boc_trpr_bc,11,TRUE)*boc_rr_bc_ooph+AH91*VLOOKUP(AE92,boc_trpr_bc,11,TRUE)*boc_rr_bc_both+AI91*VLOOKUP(AE92,boc_trpr_bc,11,TRUE)*boc_rr_bc_hip+AJ91*VLOOKUP(AE92,boc_trpr_bc,11,TRUE)*boc_rr_bc_hiv+AK91*VLOOKUP(AE92,boc_trpr_bc,11,TRUE)*boc_rr_bc_modp+AL91*VLOOKUP(AE92,boc_trpr_bc,11,TRUE)*boc_rr_bc_modv+AM91*VLOOKUP(AE92,boc_trpr_bc,11,TRUE)*boc_rr_bc_lop+AN91*VLOOKUP(AE92,boc_trpr_bc,11,TRUE)*boc_rr_bc_lov+AO91*VLOOKUP(AE92,boc_trpr_bc,11,TRUE)*boc_rr_bc_np</f>
        <v>#N/A</v>
      </c>
      <c r="AQ92" s="260" t="e">
        <f>AF91*VLOOKUP(AE92,boc_trpr_oc,11,TRUE)*boc_rr_oc_mast+AG91*VLOOKUP(AE92,boc_trpr_oc,11,TRUE)*boc_rr_oc_ooph+AH91*VLOOKUP(AE92,boc_trpr_oc,11,TRUE)*boc_rr_oc_both+AI91*VLOOKUP(AE92,boc_trpr_oc,11,TRUE)*boc_rr_oc_hip+AJ91*VLOOKUP(AE92,boc_trpr_oc,11,TRUE)*boc_rr_oc_hiv+AK91*VLOOKUP(AE92,boc_trpr_oc,11,TRUE)*boc_rr_oc_modp+AL91*VLOOKUP(AE92,boc_trpr_oc,11,TRUE)*boc_rr_oc_modv+AM91*VLOOKUP(AE92,boc_trpr_oc,11,TRUE)*boc_rr_oc_lop+AN91*VLOOKUP(AE92,boc_trpr_oc,11,TRUE)*boc_rr_oc_lov+AO91*VLOOKUP(AE92,boc_trpr_oc,11,TRUE)*boc_rr_oc_np</f>
        <v>#N/A</v>
      </c>
      <c r="AR92" s="260" t="e">
        <f>AP91*(1-VLOOKUP(AE92,boc_trpr_bc_death,20,TRUE))+AQ91*(1-VLOOKUP(AE92,boc_trpr_oc_death,20,TRUE))+AR91*(1-VLOOKUP(AE92,mortt,2,FALSE)*boc_rr_death_pc)</f>
        <v>#N/A</v>
      </c>
      <c r="AS92" s="260" t="e">
        <f>AS91+SUM(AF91:AO91)*VLOOKUP(AE92,mortt,2,FALSE)+AP91*VLOOKUP(AE92,boc_trpr_bc_death,20,TRUE)+AQ91*VLOOKUP(AE92,boc_trpr_bc_death,20,TRUE)+AR91*VLOOKUP(AE92,mortt,2,FALSE)*boc_rr_death_pc</f>
        <v>#N/A</v>
      </c>
      <c r="AT92" s="260" t="e">
        <f t="shared" si="52"/>
        <v>#N/A</v>
      </c>
      <c r="AU92" s="118" t="e">
        <f>(boc_cost_mast*SUM(AI92,AK92,AM92)*(boc_tr_mast_path+boc_tr_both_path)+SUM(AJ92,AL92,AN92)*(boc_tr_mast_vus+boc_tr_both_vus)+AP92*boc_cost_bc+AQ92*boc_cost_oc+AR92*boc_cost_pc+(AP92*VLOOKUP(AE92,boc_trpr_bc_death,20,TRUE)+AQ92*VLOOKUP(AE92,boc_trpr_oc_death,TRUE)*boc_cost_death))/((1+discount)^AD92)</f>
        <v>#N/A</v>
      </c>
      <c r="AV92" s="35" t="e">
        <f t="shared" si="62"/>
        <v>#N/A</v>
      </c>
      <c r="AW92" s="35" t="e">
        <f t="shared" si="63"/>
        <v>#N/A</v>
      </c>
      <c r="AY92" s="12">
        <v>86</v>
      </c>
      <c r="AZ92" s="12">
        <f t="shared" si="64"/>
        <v>131</v>
      </c>
      <c r="BA92" s="260" t="e">
        <f>BA91*(1-VLOOKUP(AZ92,boc_trpr_bc,11,TRUE)*boc_rr_bc_mast-VLOOKUP(AZ92,boc_trpr_oc,11,TRUE)*boc_rr_oc_mast-VLOOKUP(AZ92,mortt,2,FALSE))</f>
        <v>#N/A</v>
      </c>
      <c r="BB92" s="260" t="e">
        <f>BB91*(1-VLOOKUP(AZ92,boc_trpr_bc,11,TRUE)*boc_rr_bc_ooph-VLOOKUP(AZ92,boc_trpr_oc,11,TRUE)*boc_rr_oc_ooph-VLOOKUP(AZ92,mortt,2,FALSE))</f>
        <v>#N/A</v>
      </c>
      <c r="BC92" s="260" t="e">
        <f>BC91*(1-VLOOKUP(AZ92,boc_trpr_bc,11,TRUE)*boc_rr_bc_both-VLOOKUP(AZ92,boc_trpr_oc,11,TRUE)*boc_rr_oc_both-VLOOKUP(AZ92,mortt,2,FALSE))</f>
        <v>#N/A</v>
      </c>
      <c r="BD92" s="289" t="e">
        <f>BD91*(1-VLOOKUP(AZ92,boc_trpr_bc,11,TRUE)*boc_rr_bc_hip-VLOOKUP(AZ92,boc_trpr_oc,11,TRUE)*boc_rr_oc_hip-VLOOKUP(AZ92,mortt,2,FALSE))</f>
        <v>#N/A</v>
      </c>
      <c r="BE92" s="289" t="e">
        <f>BE91*(1-VLOOKUP(AZ92,boc_trpr_bc,11,TRUE)*boc_rr_bc_hiv-VLOOKUP(AZ92,boc_trpr_oc,11,TRUE)*boc_rr_oc_hiv-VLOOKUP(AZ92,mortt,2,FALSE))</f>
        <v>#N/A</v>
      </c>
      <c r="BF92" s="289" t="e">
        <f>BF91*(1-VLOOKUP(AZ92,boc_trpr_bc,11,TRUE)*boc_rr_bc_modp-VLOOKUP(AZ92,boc_trpr_oc,11,TRUE)*boc_rr_oc_modp-VLOOKUP(AZ92,mortt,2,FALSE))</f>
        <v>#N/A</v>
      </c>
      <c r="BG92" s="289" t="e">
        <f>BG91*(1-VLOOKUP(AZ92,boc_trpr_bc,11,TRUE)*boc_rr_bc_modv-VLOOKUP(AZ92,boc_trpr_oc,11,TRUE)*boc_rr_oc_modv-VLOOKUP(AZ92,mortt,2,FALSE))</f>
        <v>#N/A</v>
      </c>
      <c r="BH92" s="289" t="e">
        <f>BH91*(1-VLOOKUP(AZ92,boc_trpr_bc,11,TRUE)*boc_rr_bc_lop-VLOOKUP(AZ92,boc_trpr_oc,11,TRUE)*boc_rr_oc_lop-VLOOKUP(AZ92,mortt,2,FALSE))</f>
        <v>#N/A</v>
      </c>
      <c r="BI92" s="289" t="e">
        <f>BI91*(1-VLOOKUP(AZ92,boc_trpr_bc,11,TRUE)*boc_rr_bc_lov-VLOOKUP(AZ92,boc_trpr_oc,11,TRUE)*boc_rr_oc_lov-VLOOKUP(AZ92,mortt,2,FALSE))</f>
        <v>#N/A</v>
      </c>
      <c r="BJ92" s="260" t="e">
        <f>BJ91*(1-VLOOKUP(AZ92,boc_trpr_bc,11,TRUE)*boc_rr_bc_np-VLOOKUP(AZ92,boc_trpr_oc,11,TRUE)*boc_rr_oc_np-VLOOKUP(AZ92,mortt,2,FALSE))</f>
        <v>#N/A</v>
      </c>
      <c r="BK92" s="260" t="e">
        <f>BA91*VLOOKUP(AZ92,boc_trpr_bc,11,TRUE)*boc_rr_bc_mast+BB91*VLOOKUP(AZ92,boc_trpr_bc,11,TRUE)*boc_rr_bc_ooph+BC91*VLOOKUP(AZ92,boc_trpr_bc,11,TRUE)*boc_rr_bc_both+BD91*VLOOKUP(AZ92,boc_trpr_bc,11,TRUE)*boc_rr_bc_hip+BE91*VLOOKUP(AZ92,boc_trpr_bc,11,TRUE)*boc_rr_bc_hiv+BF91*VLOOKUP(AZ92,boc_trpr_bc,11,TRUE)*boc_rr_bc_modp+BG91*VLOOKUP(AZ92,boc_trpr_bc,11,TRUE)*boc_rr_bc_modv+BH91*VLOOKUP(AZ92,boc_trpr_bc,11,TRUE)*boc_rr_bc_lop+BI91*VLOOKUP(AZ92,boc_trpr_bc,11,TRUE)*boc_rr_bc_lov+BJ91*VLOOKUP(AZ92,boc_trpr_bc,11,TRUE)*boc_rr_bc_np</f>
        <v>#N/A</v>
      </c>
      <c r="BL92" s="260" t="e">
        <f>BA91*VLOOKUP(AZ92,boc_trpr_oc,11,TRUE)*boc_rr_oc_mast+BB91*VLOOKUP(AZ92,boc_trpr_oc,11,TRUE)*boc_rr_oc_ooph+BC91*VLOOKUP(AZ92,boc_trpr_oc,11,TRUE)*boc_rr_oc_both+BD91*VLOOKUP(AZ92,boc_trpr_oc,11,TRUE)*boc_rr_oc_hip+BE91*VLOOKUP(AZ92,boc_trpr_oc,11,TRUE)*boc_rr_oc_hiv+BF91*VLOOKUP(AZ92,boc_trpr_oc,11,TRUE)*boc_rr_oc_modp+BG91*VLOOKUP(AZ92,boc_trpr_oc,11,TRUE)*boc_rr_oc_modv+BH91*VLOOKUP(AZ92,boc_trpr_oc,11,TRUE)*boc_rr_oc_lop+BI91*VLOOKUP(AZ92,boc_trpr_oc,11,TRUE)*boc_rr_oc_lov+BJ91*VLOOKUP(AZ92,boc_trpr_oc,11,TRUE)*boc_rr_oc_np</f>
        <v>#N/A</v>
      </c>
      <c r="BM92" s="260" t="e">
        <f>BK91*(1-VLOOKUP(AZ92,boc_trpr_bc_death,20,TRUE))+BL91*(1-VLOOKUP(AZ92,boc_trpr_oc_death,20,TRUE))+BM91*(1-VLOOKUP(AZ92,mortt,2,FALSE)*boc_rr_death_pc)</f>
        <v>#N/A</v>
      </c>
      <c r="BN92" s="260" t="e">
        <f>BN91+SUM(BA91:BJ91)*VLOOKUP(AZ92,mortt,2,FALSE)+BK91*VLOOKUP(AZ92,boc_trpr_bc_death,20,TRUE)+BL91*VLOOKUP(AZ92,boc_trpr_bc_death,20,TRUE)+BM91*VLOOKUP(AZ92,mortt,2,FALSE)*boc_rr_death_pc</f>
        <v>#N/A</v>
      </c>
      <c r="BO92" s="260" t="e">
        <f t="shared" si="41"/>
        <v>#N/A</v>
      </c>
      <c r="BP92" s="118" t="e">
        <f>(boc_cost_mast*SUM(BD92,BF92,BH92)*(boc_tr_mast_path+boc_tr_both_path)+SUM(BE92,BG92,BI92)*(boc_tr_mast_vus+boc_tr_both_vus)+BK92*boc_cost_bc+BL92*boc_cost_oc+BM92*boc_cost_pc+(BK92*VLOOKUP(AZ92,boc_trpr_bc_death,20,TRUE)+BL92*VLOOKUP(AZ92,boc_trpr_oc_death,TRUE)*boc_cost_death))/((1+discount)^AY92)</f>
        <v>#N/A</v>
      </c>
      <c r="BQ92" s="35" t="e">
        <f t="shared" si="65"/>
        <v>#N/A</v>
      </c>
      <c r="BR92" s="35" t="e">
        <f t="shared" si="66"/>
        <v>#N/A</v>
      </c>
      <c r="BS92" s="35"/>
      <c r="BV92">
        <f ca="1">VLOOKUP($BU$22,$BX$92:$BZ$94,3,FALSE)</f>
        <v>-2080.6065095651211</v>
      </c>
      <c r="BX92" s="292" t="s">
        <v>91</v>
      </c>
      <c r="BY92">
        <v>1</v>
      </c>
      <c r="BZ92" s="135">
        <f ca="1">F7</f>
        <v>-2080.6065095651211</v>
      </c>
      <c r="CA92">
        <f>VLOOKUP($BU$22,$BX$92:$BY$94,2,FALSE)</f>
        <v>1</v>
      </c>
      <c r="CD92" s="138">
        <v>87</v>
      </c>
      <c r="CE92" s="291">
        <v>9.1786999999999994E-2</v>
      </c>
    </row>
    <row r="93" spans="2:83" ht="15" customHeight="1" x14ac:dyDescent="0.2">
      <c r="B93" s="37" t="s">
        <v>12</v>
      </c>
      <c r="C93" s="35">
        <f>IF(psa,J93,IF(owsa_low=L93,F93,IF(owsa_high=L93,G93,IF(ISNUMBER(D93),D93,E93))))</f>
        <v>1.1000000000000001</v>
      </c>
      <c r="D93" s="158"/>
      <c r="E93" s="35">
        <v>1.1000000000000001</v>
      </c>
      <c r="F93" s="35">
        <f>MAX(0,IF(ISNUMBER(D93),D93,E93)*(1-owsa_boc))</f>
        <v>0.88000000000000012</v>
      </c>
      <c r="G93" s="35">
        <f>IF(ISNUMBER(D93),D93,E93)*(1+owsa_boc)</f>
        <v>1.32</v>
      </c>
      <c r="H93" s="69">
        <f t="shared" si="76"/>
        <v>0.10343687723509755</v>
      </c>
      <c r="I93" s="48"/>
      <c r="J93" s="35">
        <f ca="1">_xlfn.LOGNORM.INV(RAND(),LN(IF(ISNUMBER(D93),D93,E93))-(H93^2)/2,H93)</f>
        <v>1.0498031761135458</v>
      </c>
      <c r="K93" s="12" t="s">
        <v>213</v>
      </c>
      <c r="L93" s="40">
        <v>33</v>
      </c>
      <c r="M93" s="247" t="s">
        <v>253</v>
      </c>
      <c r="N93" s="39" t="s">
        <v>48</v>
      </c>
      <c r="Q93" s="9" t="s">
        <v>14</v>
      </c>
      <c r="R93" s="263">
        <f>$L$7*boc_find_low</f>
        <v>1.0916442100000001E-2</v>
      </c>
      <c r="S93" s="9" t="s">
        <v>12</v>
      </c>
      <c r="T93" s="251">
        <f>boc_path_low_vus</f>
        <v>0.27116022099999998</v>
      </c>
      <c r="U93" s="9" t="s">
        <v>8</v>
      </c>
      <c r="V93" s="250">
        <f>boc_unk_int_ooph</f>
        <v>0.01</v>
      </c>
      <c r="Y93" s="261">
        <f>R93*T93*V93</f>
        <v>2.9601048523697044E-5</v>
      </c>
      <c r="AD93" s="12">
        <v>87</v>
      </c>
      <c r="AE93" s="12">
        <f t="shared" si="61"/>
        <v>132</v>
      </c>
      <c r="AF93" s="260" t="e">
        <f>AF92*(1-VLOOKUP(AE93,boc_trpr_bc,11,TRUE)*boc_rr_bc_mast-VLOOKUP(AE93,boc_trpr_oc,11,TRUE)*boc_rr_oc_mast-VLOOKUP(AE93,mortt,2,FALSE))+SUM(AI92,AK92,AM92)*boc_tr_mast_path+SUM(AJ92,AL92,AN92)*boc_tr_mast_vus</f>
        <v>#N/A</v>
      </c>
      <c r="AG93" s="260" t="e">
        <f>AG92*(1-VLOOKUP(AE93,boc_trpr_bc,11,TRUE)*boc_rr_bc_ooph-VLOOKUP(AE93,boc_trpr_oc,11,TRUE)*boc_rr_oc_ooph-VLOOKUP(AE93,mortt,2,FALSE))+SUM(AI92,AK92,AM92)*boc_tr_ooph_path+SUM(AJ92,AL92,AN92)*boc_tr_ooph_vus</f>
        <v>#N/A</v>
      </c>
      <c r="AH93" s="260" t="e">
        <f>AH92*(1-VLOOKUP(AE93,boc_trpr_bc,11,TRUE)*boc_rr_bc_both-VLOOKUP(AE93,boc_trpr_oc,11,TRUE)*boc_rr_oc_both-VLOOKUP(AE93,mortt,2,FALSE))+SUM(AI92,AK92,AM92)*boc_tr_both_path+SUM(AJ92,AL92,AN92)*boc_tr_both_vus</f>
        <v>#N/A</v>
      </c>
      <c r="AI93" s="289" t="e">
        <f>AI92*(1-VLOOKUP(AE93,boc_trpr_bc,11,TRUE)*boc_rr_bc_hip-VLOOKUP(AE93,boc_trpr_oc,11,TRUE)*boc_rr_oc_hip-boc_tr_mast_path-boc_tr_ooph_path-boc_tr_both_path-VLOOKUP(AE93,mortt,2,FALSE))</f>
        <v>#N/A</v>
      </c>
      <c r="AJ93" s="289" t="e">
        <f>AJ92*(1-VLOOKUP(AE93,boc_trpr_bc,11,TRUE)*boc_rr_bc_hiv-VLOOKUP(AE93,boc_trpr_oc,11,TRUE)*boc_rr_oc_hiv-boc_tr_mast_vus-boc_tr_ooph_vus-boc_tr_both_vus-VLOOKUP(AE93,mortt,2,FALSE))</f>
        <v>#N/A</v>
      </c>
      <c r="AK93" s="289" t="e">
        <f>AK92*(1-VLOOKUP(AE93,boc_trpr_bc,11,TRUE)*boc_rr_bc_modp-VLOOKUP(AE93,boc_trpr_oc,11,TRUE)*boc_rr_oc_modp-boc_tr_mast_path-boc_tr_ooph_path-boc_tr_both_path-VLOOKUP(AE93,mortt,2,FALSE))</f>
        <v>#N/A</v>
      </c>
      <c r="AL93" s="289" t="e">
        <f>AL92*(1-VLOOKUP(AE93,boc_trpr_bc,11,TRUE)*boc_rr_bc_modv-VLOOKUP(AE93,boc_trpr_oc,11,TRUE)*boc_rr_oc_modv-boc_tr_mast_vus-boc_tr_ooph_vus-boc_tr_both_vus-VLOOKUP(AE93,mortt,2,FALSE))</f>
        <v>#N/A</v>
      </c>
      <c r="AM93" s="289" t="e">
        <f>AM92*(1-VLOOKUP(AE93,boc_trpr_bc,11,TRUE)*boc_rr_bc_lop-VLOOKUP(AE93,boc_trpr_oc,11,TRUE)*boc_rr_oc_lop-boc_tr_mast_path-boc_tr_ooph_path-boc_tr_both_path-VLOOKUP(AE93,mortt,2,FALSE))</f>
        <v>#N/A</v>
      </c>
      <c r="AN93" s="289" t="e">
        <f>AN92*(1-VLOOKUP(AE93,boc_trpr_bc,11,TRUE)*boc_rr_bc_lov-VLOOKUP(AE93,boc_trpr_oc,11,TRUE)*boc_rr_oc_lov-boc_tr_mast_vus-boc_tr_ooph_vus-boc_tr_both_vus-VLOOKUP(AE93,mortt,2,FALSE))</f>
        <v>#N/A</v>
      </c>
      <c r="AO93" s="260" t="e">
        <f>AO92*(1-VLOOKUP(AE93,boc_trpr_bc,11,TRUE)*boc_rr_bc_np-VLOOKUP(AE93,boc_trpr_oc,11,TRUE)*boc_rr_oc_np-VLOOKUP(AE93,mortt,2,FALSE))</f>
        <v>#N/A</v>
      </c>
      <c r="AP93" s="260" t="e">
        <f>AF92*VLOOKUP(AE93,boc_trpr_bc,11,TRUE)*boc_rr_bc_mast+AG92*VLOOKUP(AE93,boc_trpr_bc,11,TRUE)*boc_rr_bc_ooph+AH92*VLOOKUP(AE93,boc_trpr_bc,11,TRUE)*boc_rr_bc_both+AI92*VLOOKUP(AE93,boc_trpr_bc,11,TRUE)*boc_rr_bc_hip+AJ92*VLOOKUP(AE93,boc_trpr_bc,11,TRUE)*boc_rr_bc_hiv+AK92*VLOOKUP(AE93,boc_trpr_bc,11,TRUE)*boc_rr_bc_modp+AL92*VLOOKUP(AE93,boc_trpr_bc,11,TRUE)*boc_rr_bc_modv+AM92*VLOOKUP(AE93,boc_trpr_bc,11,TRUE)*boc_rr_bc_lop+AN92*VLOOKUP(AE93,boc_trpr_bc,11,TRUE)*boc_rr_bc_lov+AO92*VLOOKUP(AE93,boc_trpr_bc,11,TRUE)*boc_rr_bc_np</f>
        <v>#N/A</v>
      </c>
      <c r="AQ93" s="260" t="e">
        <f>AF92*VLOOKUP(AE93,boc_trpr_oc,11,TRUE)*boc_rr_oc_mast+AG92*VLOOKUP(AE93,boc_trpr_oc,11,TRUE)*boc_rr_oc_ooph+AH92*VLOOKUP(AE93,boc_trpr_oc,11,TRUE)*boc_rr_oc_both+AI92*VLOOKUP(AE93,boc_trpr_oc,11,TRUE)*boc_rr_oc_hip+AJ92*VLOOKUP(AE93,boc_trpr_oc,11,TRUE)*boc_rr_oc_hiv+AK92*VLOOKUP(AE93,boc_trpr_oc,11,TRUE)*boc_rr_oc_modp+AL92*VLOOKUP(AE93,boc_trpr_oc,11,TRUE)*boc_rr_oc_modv+AM92*VLOOKUP(AE93,boc_trpr_oc,11,TRUE)*boc_rr_oc_lop+AN92*VLOOKUP(AE93,boc_trpr_oc,11,TRUE)*boc_rr_oc_lov+AO92*VLOOKUP(AE93,boc_trpr_oc,11,TRUE)*boc_rr_oc_np</f>
        <v>#N/A</v>
      </c>
      <c r="AR93" s="260" t="e">
        <f>AP92*(1-VLOOKUP(AE93,boc_trpr_bc_death,20,TRUE))+AQ92*(1-VLOOKUP(AE93,boc_trpr_oc_death,20,TRUE))+AR92*(1-VLOOKUP(AE93,mortt,2,FALSE)*boc_rr_death_pc)</f>
        <v>#N/A</v>
      </c>
      <c r="AS93" s="260" t="e">
        <f>AS92+SUM(AF92:AO92)*VLOOKUP(AE93,mortt,2,FALSE)+AP92*VLOOKUP(AE93,boc_trpr_bc_death,20,TRUE)+AQ92*VLOOKUP(AE93,boc_trpr_bc_death,20,TRUE)+AR92*VLOOKUP(AE93,mortt,2,FALSE)*boc_rr_death_pc</f>
        <v>#N/A</v>
      </c>
      <c r="AT93" s="260" t="e">
        <f t="shared" si="52"/>
        <v>#N/A</v>
      </c>
      <c r="AU93" s="118" t="e">
        <f>(boc_cost_mast*SUM(AI93,AK93,AM93)*(boc_tr_mast_path+boc_tr_both_path)+SUM(AJ93,AL93,AN93)*(boc_tr_mast_vus+boc_tr_both_vus)+AP93*boc_cost_bc+AQ93*boc_cost_oc+AR93*boc_cost_pc+(AP93*VLOOKUP(AE93,boc_trpr_bc_death,20,TRUE)+AQ93*VLOOKUP(AE93,boc_trpr_oc_death,TRUE)*boc_cost_death))/((1+discount)^AD93)</f>
        <v>#N/A</v>
      </c>
      <c r="AV93" s="35" t="e">
        <f t="shared" si="62"/>
        <v>#N/A</v>
      </c>
      <c r="AW93" s="35" t="e">
        <f t="shared" si="63"/>
        <v>#N/A</v>
      </c>
      <c r="AY93" s="12">
        <v>87</v>
      </c>
      <c r="AZ93" s="12">
        <f t="shared" si="64"/>
        <v>132</v>
      </c>
      <c r="BA93" s="260" t="e">
        <f>BA92*(1-VLOOKUP(AZ93,boc_trpr_bc,11,TRUE)*boc_rr_bc_mast-VLOOKUP(AZ93,boc_trpr_oc,11,TRUE)*boc_rr_oc_mast-VLOOKUP(AZ93,mortt,2,FALSE))</f>
        <v>#N/A</v>
      </c>
      <c r="BB93" s="260" t="e">
        <f>BB92*(1-VLOOKUP(AZ93,boc_trpr_bc,11,TRUE)*boc_rr_bc_ooph-VLOOKUP(AZ93,boc_trpr_oc,11,TRUE)*boc_rr_oc_ooph-VLOOKUP(AZ93,mortt,2,FALSE))</f>
        <v>#N/A</v>
      </c>
      <c r="BC93" s="260" t="e">
        <f>BC92*(1-VLOOKUP(AZ93,boc_trpr_bc,11,TRUE)*boc_rr_bc_both-VLOOKUP(AZ93,boc_trpr_oc,11,TRUE)*boc_rr_oc_both-VLOOKUP(AZ93,mortt,2,FALSE))</f>
        <v>#N/A</v>
      </c>
      <c r="BD93" s="289" t="e">
        <f>BD92*(1-VLOOKUP(AZ93,boc_trpr_bc,11,TRUE)*boc_rr_bc_hip-VLOOKUP(AZ93,boc_trpr_oc,11,TRUE)*boc_rr_oc_hip-VLOOKUP(AZ93,mortt,2,FALSE))</f>
        <v>#N/A</v>
      </c>
      <c r="BE93" s="289" t="e">
        <f>BE92*(1-VLOOKUP(AZ93,boc_trpr_bc,11,TRUE)*boc_rr_bc_hiv-VLOOKUP(AZ93,boc_trpr_oc,11,TRUE)*boc_rr_oc_hiv-VLOOKUP(AZ93,mortt,2,FALSE))</f>
        <v>#N/A</v>
      </c>
      <c r="BF93" s="289" t="e">
        <f>BF92*(1-VLOOKUP(AZ93,boc_trpr_bc,11,TRUE)*boc_rr_bc_modp-VLOOKUP(AZ93,boc_trpr_oc,11,TRUE)*boc_rr_oc_modp-VLOOKUP(AZ93,mortt,2,FALSE))</f>
        <v>#N/A</v>
      </c>
      <c r="BG93" s="289" t="e">
        <f>BG92*(1-VLOOKUP(AZ93,boc_trpr_bc,11,TRUE)*boc_rr_bc_modv-VLOOKUP(AZ93,boc_trpr_oc,11,TRUE)*boc_rr_oc_modv-VLOOKUP(AZ93,mortt,2,FALSE))</f>
        <v>#N/A</v>
      </c>
      <c r="BH93" s="289" t="e">
        <f>BH92*(1-VLOOKUP(AZ93,boc_trpr_bc,11,TRUE)*boc_rr_bc_lop-VLOOKUP(AZ93,boc_trpr_oc,11,TRUE)*boc_rr_oc_lop-VLOOKUP(AZ93,mortt,2,FALSE))</f>
        <v>#N/A</v>
      </c>
      <c r="BI93" s="289" t="e">
        <f>BI92*(1-VLOOKUP(AZ93,boc_trpr_bc,11,TRUE)*boc_rr_bc_lov-VLOOKUP(AZ93,boc_trpr_oc,11,TRUE)*boc_rr_oc_lov-VLOOKUP(AZ93,mortt,2,FALSE))</f>
        <v>#N/A</v>
      </c>
      <c r="BJ93" s="260" t="e">
        <f>BJ92*(1-VLOOKUP(AZ93,boc_trpr_bc,11,TRUE)*boc_rr_bc_np-VLOOKUP(AZ93,boc_trpr_oc,11,TRUE)*boc_rr_oc_np-VLOOKUP(AZ93,mortt,2,FALSE))</f>
        <v>#N/A</v>
      </c>
      <c r="BK93" s="260" t="e">
        <f>BA92*VLOOKUP(AZ93,boc_trpr_bc,11,TRUE)*boc_rr_bc_mast+BB92*VLOOKUP(AZ93,boc_trpr_bc,11,TRUE)*boc_rr_bc_ooph+BC92*VLOOKUP(AZ93,boc_trpr_bc,11,TRUE)*boc_rr_bc_both+BD92*VLOOKUP(AZ93,boc_trpr_bc,11,TRUE)*boc_rr_bc_hip+BE92*VLOOKUP(AZ93,boc_trpr_bc,11,TRUE)*boc_rr_bc_hiv+BF92*VLOOKUP(AZ93,boc_trpr_bc,11,TRUE)*boc_rr_bc_modp+BG92*VLOOKUP(AZ93,boc_trpr_bc,11,TRUE)*boc_rr_bc_modv+BH92*VLOOKUP(AZ93,boc_trpr_bc,11,TRUE)*boc_rr_bc_lop+BI92*VLOOKUP(AZ93,boc_trpr_bc,11,TRUE)*boc_rr_bc_lov+BJ92*VLOOKUP(AZ93,boc_trpr_bc,11,TRUE)*boc_rr_bc_np</f>
        <v>#N/A</v>
      </c>
      <c r="BL93" s="260" t="e">
        <f>BA92*VLOOKUP(AZ93,boc_trpr_oc,11,TRUE)*boc_rr_oc_mast+BB92*VLOOKUP(AZ93,boc_trpr_oc,11,TRUE)*boc_rr_oc_ooph+BC92*VLOOKUP(AZ93,boc_trpr_oc,11,TRUE)*boc_rr_oc_both+BD92*VLOOKUP(AZ93,boc_trpr_oc,11,TRUE)*boc_rr_oc_hip+BE92*VLOOKUP(AZ93,boc_trpr_oc,11,TRUE)*boc_rr_oc_hiv+BF92*VLOOKUP(AZ93,boc_trpr_oc,11,TRUE)*boc_rr_oc_modp+BG92*VLOOKUP(AZ93,boc_trpr_oc,11,TRUE)*boc_rr_oc_modv+BH92*VLOOKUP(AZ93,boc_trpr_oc,11,TRUE)*boc_rr_oc_lop+BI92*VLOOKUP(AZ93,boc_trpr_oc,11,TRUE)*boc_rr_oc_lov+BJ92*VLOOKUP(AZ93,boc_trpr_oc,11,TRUE)*boc_rr_oc_np</f>
        <v>#N/A</v>
      </c>
      <c r="BM93" s="260" t="e">
        <f>BK92*(1-VLOOKUP(AZ93,boc_trpr_bc_death,20,TRUE))+BL92*(1-VLOOKUP(AZ93,boc_trpr_oc_death,20,TRUE))+BM92*(1-VLOOKUP(AZ93,mortt,2,FALSE)*boc_rr_death_pc)</f>
        <v>#N/A</v>
      </c>
      <c r="BN93" s="260" t="e">
        <f>BN92+SUM(BA92:BJ92)*VLOOKUP(AZ93,mortt,2,FALSE)+BK92*VLOOKUP(AZ93,boc_trpr_bc_death,20,TRUE)+BL92*VLOOKUP(AZ93,boc_trpr_bc_death,20,TRUE)+BM92*VLOOKUP(AZ93,mortt,2,FALSE)*boc_rr_death_pc</f>
        <v>#N/A</v>
      </c>
      <c r="BO93" s="260" t="e">
        <f t="shared" si="41"/>
        <v>#N/A</v>
      </c>
      <c r="BP93" s="118" t="e">
        <f>(boc_cost_mast*SUM(BD93,BF93,BH93)*(boc_tr_mast_path+boc_tr_both_path)+SUM(BE93,BG93,BI93)*(boc_tr_mast_vus+boc_tr_both_vus)+BK93*boc_cost_bc+BL93*boc_cost_oc+BM93*boc_cost_pc+(BK93*VLOOKUP(AZ93,boc_trpr_bc_death,20,TRUE)+BL93*VLOOKUP(AZ93,boc_trpr_oc_death,TRUE)*boc_cost_death))/((1+discount)^AY93)</f>
        <v>#N/A</v>
      </c>
      <c r="BQ93" s="35" t="e">
        <f t="shared" si="65"/>
        <v>#N/A</v>
      </c>
      <c r="BR93" s="35" t="e">
        <f t="shared" si="66"/>
        <v>#N/A</v>
      </c>
      <c r="BS93" s="35"/>
      <c r="BV93">
        <f>FLOOR(MIN($BY$24:$BZ$88),IF($CA$92=2,0.01,10))</f>
        <v>-20</v>
      </c>
      <c r="BX93" s="292" t="s">
        <v>93</v>
      </c>
      <c r="BY93">
        <v>2</v>
      </c>
      <c r="BZ93" s="259">
        <f ca="1">G7</f>
        <v>2.2177328130325691E-2</v>
      </c>
      <c r="CA93" s="135"/>
      <c r="CD93" s="138">
        <v>88</v>
      </c>
      <c r="CE93" s="291">
        <v>0.10281700000000001</v>
      </c>
    </row>
    <row r="94" spans="2:83" ht="15" customHeight="1" x14ac:dyDescent="0.2">
      <c r="B94" s="38" t="s">
        <v>172</v>
      </c>
      <c r="Q94" s="11"/>
      <c r="S94" s="11"/>
      <c r="U94" s="9" t="s">
        <v>6</v>
      </c>
      <c r="V94" s="250">
        <f>boc_unk_int_both</f>
        <v>0.01</v>
      </c>
      <c r="Z94" s="261">
        <f>R93*T93*V94</f>
        <v>2.9601048523697044E-5</v>
      </c>
      <c r="AD94" s="12">
        <v>88</v>
      </c>
      <c r="AE94" s="12">
        <f t="shared" si="61"/>
        <v>133</v>
      </c>
      <c r="AF94" s="260" t="e">
        <f>AF93*(1-VLOOKUP(AE94,boc_trpr_bc,11,TRUE)*boc_rr_bc_mast-VLOOKUP(AE94,boc_trpr_oc,11,TRUE)*boc_rr_oc_mast-VLOOKUP(AE94,mortt,2,FALSE))+SUM(AI93,AK93,AM93)*boc_tr_mast_path+SUM(AJ93,AL93,AN93)*boc_tr_mast_vus</f>
        <v>#N/A</v>
      </c>
      <c r="AG94" s="260" t="e">
        <f>AG93*(1-VLOOKUP(AE94,boc_trpr_bc,11,TRUE)*boc_rr_bc_ooph-VLOOKUP(AE94,boc_trpr_oc,11,TRUE)*boc_rr_oc_ooph-VLOOKUP(AE94,mortt,2,FALSE))+SUM(AI93,AK93,AM93)*boc_tr_ooph_path+SUM(AJ93,AL93,AN93)*boc_tr_ooph_vus</f>
        <v>#N/A</v>
      </c>
      <c r="AH94" s="260" t="e">
        <f>AH93*(1-VLOOKUP(AE94,boc_trpr_bc,11,TRUE)*boc_rr_bc_both-VLOOKUP(AE94,boc_trpr_oc,11,TRUE)*boc_rr_oc_both-VLOOKUP(AE94,mortt,2,FALSE))+SUM(AI93,AK93,AM93)*boc_tr_both_path+SUM(AJ93,AL93,AN93)*boc_tr_both_vus</f>
        <v>#N/A</v>
      </c>
      <c r="AI94" s="289" t="e">
        <f>AI93*(1-VLOOKUP(AE94,boc_trpr_bc,11,TRUE)*boc_rr_bc_hip-VLOOKUP(AE94,boc_trpr_oc,11,TRUE)*boc_rr_oc_hip-boc_tr_mast_path-boc_tr_ooph_path-boc_tr_both_path-VLOOKUP(AE94,mortt,2,FALSE))</f>
        <v>#N/A</v>
      </c>
      <c r="AJ94" s="289" t="e">
        <f>AJ93*(1-VLOOKUP(AE94,boc_trpr_bc,11,TRUE)*boc_rr_bc_hiv-VLOOKUP(AE94,boc_trpr_oc,11,TRUE)*boc_rr_oc_hiv-boc_tr_mast_vus-boc_tr_ooph_vus-boc_tr_both_vus-VLOOKUP(AE94,mortt,2,FALSE))</f>
        <v>#N/A</v>
      </c>
      <c r="AK94" s="289" t="e">
        <f>AK93*(1-VLOOKUP(AE94,boc_trpr_bc,11,TRUE)*boc_rr_bc_modp-VLOOKUP(AE94,boc_trpr_oc,11,TRUE)*boc_rr_oc_modp-boc_tr_mast_path-boc_tr_ooph_path-boc_tr_both_path-VLOOKUP(AE94,mortt,2,FALSE))</f>
        <v>#N/A</v>
      </c>
      <c r="AL94" s="289" t="e">
        <f>AL93*(1-VLOOKUP(AE94,boc_trpr_bc,11,TRUE)*boc_rr_bc_modv-VLOOKUP(AE94,boc_trpr_oc,11,TRUE)*boc_rr_oc_modv-boc_tr_mast_vus-boc_tr_ooph_vus-boc_tr_both_vus-VLOOKUP(AE94,mortt,2,FALSE))</f>
        <v>#N/A</v>
      </c>
      <c r="AM94" s="289" t="e">
        <f>AM93*(1-VLOOKUP(AE94,boc_trpr_bc,11,TRUE)*boc_rr_bc_lop-VLOOKUP(AE94,boc_trpr_oc,11,TRUE)*boc_rr_oc_lop-boc_tr_mast_path-boc_tr_ooph_path-boc_tr_both_path-VLOOKUP(AE94,mortt,2,FALSE))</f>
        <v>#N/A</v>
      </c>
      <c r="AN94" s="289" t="e">
        <f>AN93*(1-VLOOKUP(AE94,boc_trpr_bc,11,TRUE)*boc_rr_bc_lov-VLOOKUP(AE94,boc_trpr_oc,11,TRUE)*boc_rr_oc_lov-boc_tr_mast_vus-boc_tr_ooph_vus-boc_tr_both_vus-VLOOKUP(AE94,mortt,2,FALSE))</f>
        <v>#N/A</v>
      </c>
      <c r="AO94" s="260" t="e">
        <f>AO93*(1-VLOOKUP(AE94,boc_trpr_bc,11,TRUE)*boc_rr_bc_np-VLOOKUP(AE94,boc_trpr_oc,11,TRUE)*boc_rr_oc_np-VLOOKUP(AE94,mortt,2,FALSE))</f>
        <v>#N/A</v>
      </c>
      <c r="AP94" s="260" t="e">
        <f>AF93*VLOOKUP(AE94,boc_trpr_bc,11,TRUE)*boc_rr_bc_mast+AG93*VLOOKUP(AE94,boc_trpr_bc,11,TRUE)*boc_rr_bc_ooph+AH93*VLOOKUP(AE94,boc_trpr_bc,11,TRUE)*boc_rr_bc_both+AI93*VLOOKUP(AE94,boc_trpr_bc,11,TRUE)*boc_rr_bc_hip+AJ93*VLOOKUP(AE94,boc_trpr_bc,11,TRUE)*boc_rr_bc_hiv+AK93*VLOOKUP(AE94,boc_trpr_bc,11,TRUE)*boc_rr_bc_modp+AL93*VLOOKUP(AE94,boc_trpr_bc,11,TRUE)*boc_rr_bc_modv+AM93*VLOOKUP(AE94,boc_trpr_bc,11,TRUE)*boc_rr_bc_lop+AN93*VLOOKUP(AE94,boc_trpr_bc,11,TRUE)*boc_rr_bc_lov+AO93*VLOOKUP(AE94,boc_trpr_bc,11,TRUE)*boc_rr_bc_np</f>
        <v>#N/A</v>
      </c>
      <c r="AQ94" s="260" t="e">
        <f>AF93*VLOOKUP(AE94,boc_trpr_oc,11,TRUE)*boc_rr_oc_mast+AG93*VLOOKUP(AE94,boc_trpr_oc,11,TRUE)*boc_rr_oc_ooph+AH93*VLOOKUP(AE94,boc_trpr_oc,11,TRUE)*boc_rr_oc_both+AI93*VLOOKUP(AE94,boc_trpr_oc,11,TRUE)*boc_rr_oc_hip+AJ93*VLOOKUP(AE94,boc_trpr_oc,11,TRUE)*boc_rr_oc_hiv+AK93*VLOOKUP(AE94,boc_trpr_oc,11,TRUE)*boc_rr_oc_modp+AL93*VLOOKUP(AE94,boc_trpr_oc,11,TRUE)*boc_rr_oc_modv+AM93*VLOOKUP(AE94,boc_trpr_oc,11,TRUE)*boc_rr_oc_lop+AN93*VLOOKUP(AE94,boc_trpr_oc,11,TRUE)*boc_rr_oc_lov+AO93*VLOOKUP(AE94,boc_trpr_oc,11,TRUE)*boc_rr_oc_np</f>
        <v>#N/A</v>
      </c>
      <c r="AR94" s="260" t="e">
        <f>AP93*(1-VLOOKUP(AE94,boc_trpr_bc_death,20,TRUE))+AQ93*(1-VLOOKUP(AE94,boc_trpr_oc_death,20,TRUE))+AR93*(1-VLOOKUP(AE94,mortt,2,FALSE)*boc_rr_death_pc)</f>
        <v>#N/A</v>
      </c>
      <c r="AS94" s="260" t="e">
        <f>AS93+SUM(AF93:AO93)*VLOOKUP(AE94,mortt,2,FALSE)+AP93*VLOOKUP(AE94,boc_trpr_bc_death,20,TRUE)+AQ93*VLOOKUP(AE94,boc_trpr_bc_death,20,TRUE)+AR93*VLOOKUP(AE94,mortt,2,FALSE)*boc_rr_death_pc</f>
        <v>#N/A</v>
      </c>
      <c r="AT94" s="260" t="e">
        <f t="shared" si="52"/>
        <v>#N/A</v>
      </c>
      <c r="AU94" s="118" t="e">
        <f>(boc_cost_mast*SUM(AI94,AK94,AM94)*(boc_tr_mast_path+boc_tr_both_path)+SUM(AJ94,AL94,AN94)*(boc_tr_mast_vus+boc_tr_both_vus)+AP94*boc_cost_bc+AQ94*boc_cost_oc+AR94*boc_cost_pc+(AP94*VLOOKUP(AE94,boc_trpr_bc_death,20,TRUE)+AQ94*VLOOKUP(AE94,boc_trpr_oc_death,TRUE)*boc_cost_death))/((1+discount)^AD94)</f>
        <v>#N/A</v>
      </c>
      <c r="AV94" s="35" t="e">
        <f t="shared" si="62"/>
        <v>#N/A</v>
      </c>
      <c r="AW94" s="35" t="e">
        <f t="shared" si="63"/>
        <v>#N/A</v>
      </c>
      <c r="AY94" s="12">
        <v>88</v>
      </c>
      <c r="AZ94" s="12">
        <f t="shared" si="64"/>
        <v>133</v>
      </c>
      <c r="BA94" s="260" t="e">
        <f>BA93*(1-VLOOKUP(AZ94,boc_trpr_bc,11,TRUE)*boc_rr_bc_mast-VLOOKUP(AZ94,boc_trpr_oc,11,TRUE)*boc_rr_oc_mast-VLOOKUP(AZ94,mortt,2,FALSE))</f>
        <v>#N/A</v>
      </c>
      <c r="BB94" s="260" t="e">
        <f>BB93*(1-VLOOKUP(AZ94,boc_trpr_bc,11,TRUE)*boc_rr_bc_ooph-VLOOKUP(AZ94,boc_trpr_oc,11,TRUE)*boc_rr_oc_ooph-VLOOKUP(AZ94,mortt,2,FALSE))</f>
        <v>#N/A</v>
      </c>
      <c r="BC94" s="260" t="e">
        <f>BC93*(1-VLOOKUP(AZ94,boc_trpr_bc,11,TRUE)*boc_rr_bc_both-VLOOKUP(AZ94,boc_trpr_oc,11,TRUE)*boc_rr_oc_both-VLOOKUP(AZ94,mortt,2,FALSE))</f>
        <v>#N/A</v>
      </c>
      <c r="BD94" s="289" t="e">
        <f>BD93*(1-VLOOKUP(AZ94,boc_trpr_bc,11,TRUE)*boc_rr_bc_hip-VLOOKUP(AZ94,boc_trpr_oc,11,TRUE)*boc_rr_oc_hip-VLOOKUP(AZ94,mortt,2,FALSE))</f>
        <v>#N/A</v>
      </c>
      <c r="BE94" s="289" t="e">
        <f>BE93*(1-VLOOKUP(AZ94,boc_trpr_bc,11,TRUE)*boc_rr_bc_hiv-VLOOKUP(AZ94,boc_trpr_oc,11,TRUE)*boc_rr_oc_hiv-VLOOKUP(AZ94,mortt,2,FALSE))</f>
        <v>#N/A</v>
      </c>
      <c r="BF94" s="289" t="e">
        <f>BF93*(1-VLOOKUP(AZ94,boc_trpr_bc,11,TRUE)*boc_rr_bc_modp-VLOOKUP(AZ94,boc_trpr_oc,11,TRUE)*boc_rr_oc_modp-VLOOKUP(AZ94,mortt,2,FALSE))</f>
        <v>#N/A</v>
      </c>
      <c r="BG94" s="289" t="e">
        <f>BG93*(1-VLOOKUP(AZ94,boc_trpr_bc,11,TRUE)*boc_rr_bc_modv-VLOOKUP(AZ94,boc_trpr_oc,11,TRUE)*boc_rr_oc_modv-VLOOKUP(AZ94,mortt,2,FALSE))</f>
        <v>#N/A</v>
      </c>
      <c r="BH94" s="289" t="e">
        <f>BH93*(1-VLOOKUP(AZ94,boc_trpr_bc,11,TRUE)*boc_rr_bc_lop-VLOOKUP(AZ94,boc_trpr_oc,11,TRUE)*boc_rr_oc_lop-VLOOKUP(AZ94,mortt,2,FALSE))</f>
        <v>#N/A</v>
      </c>
      <c r="BI94" s="289" t="e">
        <f>BI93*(1-VLOOKUP(AZ94,boc_trpr_bc,11,TRUE)*boc_rr_bc_lov-VLOOKUP(AZ94,boc_trpr_oc,11,TRUE)*boc_rr_oc_lov-VLOOKUP(AZ94,mortt,2,FALSE))</f>
        <v>#N/A</v>
      </c>
      <c r="BJ94" s="260" t="e">
        <f>BJ93*(1-VLOOKUP(AZ94,boc_trpr_bc,11,TRUE)*boc_rr_bc_np-VLOOKUP(AZ94,boc_trpr_oc,11,TRUE)*boc_rr_oc_np-VLOOKUP(AZ94,mortt,2,FALSE))</f>
        <v>#N/A</v>
      </c>
      <c r="BK94" s="260" t="e">
        <f>BA93*VLOOKUP(AZ94,boc_trpr_bc,11,TRUE)*boc_rr_bc_mast+BB93*VLOOKUP(AZ94,boc_trpr_bc,11,TRUE)*boc_rr_bc_ooph+BC93*VLOOKUP(AZ94,boc_trpr_bc,11,TRUE)*boc_rr_bc_both+BD93*VLOOKUP(AZ94,boc_trpr_bc,11,TRUE)*boc_rr_bc_hip+BE93*VLOOKUP(AZ94,boc_trpr_bc,11,TRUE)*boc_rr_bc_hiv+BF93*VLOOKUP(AZ94,boc_trpr_bc,11,TRUE)*boc_rr_bc_modp+BG93*VLOOKUP(AZ94,boc_trpr_bc,11,TRUE)*boc_rr_bc_modv+BH93*VLOOKUP(AZ94,boc_trpr_bc,11,TRUE)*boc_rr_bc_lop+BI93*VLOOKUP(AZ94,boc_trpr_bc,11,TRUE)*boc_rr_bc_lov+BJ93*VLOOKUP(AZ94,boc_trpr_bc,11,TRUE)*boc_rr_bc_np</f>
        <v>#N/A</v>
      </c>
      <c r="BL94" s="260" t="e">
        <f>BA93*VLOOKUP(AZ94,boc_trpr_oc,11,TRUE)*boc_rr_oc_mast+BB93*VLOOKUP(AZ94,boc_trpr_oc,11,TRUE)*boc_rr_oc_ooph+BC93*VLOOKUP(AZ94,boc_trpr_oc,11,TRUE)*boc_rr_oc_both+BD93*VLOOKUP(AZ94,boc_trpr_oc,11,TRUE)*boc_rr_oc_hip+BE93*VLOOKUP(AZ94,boc_trpr_oc,11,TRUE)*boc_rr_oc_hiv+BF93*VLOOKUP(AZ94,boc_trpr_oc,11,TRUE)*boc_rr_oc_modp+BG93*VLOOKUP(AZ94,boc_trpr_oc,11,TRUE)*boc_rr_oc_modv+BH93*VLOOKUP(AZ94,boc_trpr_oc,11,TRUE)*boc_rr_oc_lop+BI93*VLOOKUP(AZ94,boc_trpr_oc,11,TRUE)*boc_rr_oc_lov+BJ93*VLOOKUP(AZ94,boc_trpr_oc,11,TRUE)*boc_rr_oc_np</f>
        <v>#N/A</v>
      </c>
      <c r="BM94" s="260" t="e">
        <f>BK93*(1-VLOOKUP(AZ94,boc_trpr_bc_death,20,TRUE))+BL93*(1-VLOOKUP(AZ94,boc_trpr_oc_death,20,TRUE))+BM93*(1-VLOOKUP(AZ94,mortt,2,FALSE)*boc_rr_death_pc)</f>
        <v>#N/A</v>
      </c>
      <c r="BN94" s="260" t="e">
        <f>BN93+SUM(BA93:BJ93)*VLOOKUP(AZ94,mortt,2,FALSE)+BK93*VLOOKUP(AZ94,boc_trpr_bc_death,20,TRUE)+BL93*VLOOKUP(AZ94,boc_trpr_bc_death,20,TRUE)+BM93*VLOOKUP(AZ94,mortt,2,FALSE)*boc_rr_death_pc</f>
        <v>#N/A</v>
      </c>
      <c r="BO94" s="260" t="e">
        <f t="shared" si="41"/>
        <v>#N/A</v>
      </c>
      <c r="BP94" s="118" t="e">
        <f>(boc_cost_mast*SUM(BD94,BF94,BH94)*(boc_tr_mast_path+boc_tr_both_path)+SUM(BE94,BG94,BI94)*(boc_tr_mast_vus+boc_tr_both_vus)+BK94*boc_cost_bc+BL94*boc_cost_oc+BM94*boc_cost_pc+(BK94*VLOOKUP(AZ94,boc_trpr_bc_death,20,TRUE)+BL94*VLOOKUP(AZ94,boc_trpr_oc_death,TRUE)*boc_cost_death))/((1+discount)^AY94)</f>
        <v>#N/A</v>
      </c>
      <c r="BQ94" s="35" t="e">
        <f t="shared" si="65"/>
        <v>#N/A</v>
      </c>
      <c r="BR94" s="35" t="e">
        <f t="shared" si="66"/>
        <v>#N/A</v>
      </c>
      <c r="BS94" s="35"/>
      <c r="BV94">
        <f>CEILING(MAX($BY$24:$BZ$88),IF($CA$92=2,0.01,10))</f>
        <v>0</v>
      </c>
      <c r="BX94" s="292" t="s">
        <v>285</v>
      </c>
      <c r="BY94">
        <v>3</v>
      </c>
      <c r="BZ94" s="135">
        <f ca="1">I6</f>
        <v>-93816.824882527711</v>
      </c>
      <c r="CA94">
        <f ca="1">VLOOKUP(CA92,$BY$92:$BZ$94,2,FALSE)</f>
        <v>-2080.6065095651211</v>
      </c>
      <c r="CD94" s="138">
        <v>89</v>
      </c>
      <c r="CE94" s="291">
        <v>0.114907</v>
      </c>
    </row>
    <row r="95" spans="2:83" ht="15" customHeight="1" x14ac:dyDescent="0.2">
      <c r="B95" s="37" t="s">
        <v>11</v>
      </c>
      <c r="C95" s="35">
        <f>IF(psa,J95,IF(owsa_low=L95,F95,IF(owsa_high=L95,G95,IF(ISNUMBER(D95),D95,E95))))</f>
        <v>5</v>
      </c>
      <c r="D95" s="158"/>
      <c r="E95" s="35">
        <v>5</v>
      </c>
      <c r="F95" s="35">
        <f>MAX(0,IF(ISNUMBER(D95),D95,E95)*(1-owsa_boc))</f>
        <v>4</v>
      </c>
      <c r="G95" s="35">
        <f>IF(ISNUMBER(D95),D95,E95)*(1+owsa_boc)</f>
        <v>6</v>
      </c>
      <c r="H95" s="69">
        <f t="shared" si="76"/>
        <v>0.10343687723509756</v>
      </c>
      <c r="I95" s="48"/>
      <c r="J95" s="35">
        <f ca="1">_xlfn.LOGNORM.INV(RAND(),LN(IF(ISNUMBER(D95),D95,E95))-(H95^2)/2,H95)</f>
        <v>5.3579239660059033</v>
      </c>
      <c r="K95" s="12" t="s">
        <v>213</v>
      </c>
      <c r="L95" s="40">
        <v>34</v>
      </c>
      <c r="M95" s="247" t="s">
        <v>254</v>
      </c>
      <c r="N95" s="39" t="s">
        <v>48</v>
      </c>
      <c r="Q95" s="11"/>
      <c r="S95" s="11"/>
      <c r="U95" s="9" t="s">
        <v>9</v>
      </c>
      <c r="V95" s="250">
        <f>1-SUM(V92,V93,V94)</f>
        <v>0.97</v>
      </c>
      <c r="AA95" s="261">
        <f>R93*T93*V95</f>
        <v>2.8713017067986128E-3</v>
      </c>
      <c r="AD95" s="12">
        <v>89</v>
      </c>
      <c r="AE95" s="12">
        <f t="shared" si="61"/>
        <v>134</v>
      </c>
      <c r="AF95" s="260" t="e">
        <f>AF94*(1-VLOOKUP(AE95,boc_trpr_bc,11,TRUE)*boc_rr_bc_mast-VLOOKUP(AE95,boc_trpr_oc,11,TRUE)*boc_rr_oc_mast-VLOOKUP(AE95,mortt,2,FALSE))+SUM(AI94,AK94,AM94)*boc_tr_mast_path+SUM(AJ94,AL94,AN94)*boc_tr_mast_vus</f>
        <v>#N/A</v>
      </c>
      <c r="AG95" s="260" t="e">
        <f>AG94*(1-VLOOKUP(AE95,boc_trpr_bc,11,TRUE)*boc_rr_bc_ooph-VLOOKUP(AE95,boc_trpr_oc,11,TRUE)*boc_rr_oc_ooph-VLOOKUP(AE95,mortt,2,FALSE))+SUM(AI94,AK94,AM94)*boc_tr_ooph_path+SUM(AJ94,AL94,AN94)*boc_tr_ooph_vus</f>
        <v>#N/A</v>
      </c>
      <c r="AH95" s="260" t="e">
        <f>AH94*(1-VLOOKUP(AE95,boc_trpr_bc,11,TRUE)*boc_rr_bc_both-VLOOKUP(AE95,boc_trpr_oc,11,TRUE)*boc_rr_oc_both-VLOOKUP(AE95,mortt,2,FALSE))+SUM(AI94,AK94,AM94)*boc_tr_both_path+SUM(AJ94,AL94,AN94)*boc_tr_both_vus</f>
        <v>#N/A</v>
      </c>
      <c r="AI95" s="289" t="e">
        <f>AI94*(1-VLOOKUP(AE95,boc_trpr_bc,11,TRUE)*boc_rr_bc_hip-VLOOKUP(AE95,boc_trpr_oc,11,TRUE)*boc_rr_oc_hip-boc_tr_mast_path-boc_tr_ooph_path-boc_tr_both_path-VLOOKUP(AE95,mortt,2,FALSE))</f>
        <v>#N/A</v>
      </c>
      <c r="AJ95" s="289" t="e">
        <f>AJ94*(1-VLOOKUP(AE95,boc_trpr_bc,11,TRUE)*boc_rr_bc_hiv-VLOOKUP(AE95,boc_trpr_oc,11,TRUE)*boc_rr_oc_hiv-boc_tr_mast_vus-boc_tr_ooph_vus-boc_tr_both_vus-VLOOKUP(AE95,mortt,2,FALSE))</f>
        <v>#N/A</v>
      </c>
      <c r="AK95" s="289" t="e">
        <f>AK94*(1-VLOOKUP(AE95,boc_trpr_bc,11,TRUE)*boc_rr_bc_modp-VLOOKUP(AE95,boc_trpr_oc,11,TRUE)*boc_rr_oc_modp-boc_tr_mast_path-boc_tr_ooph_path-boc_tr_both_path-VLOOKUP(AE95,mortt,2,FALSE))</f>
        <v>#N/A</v>
      </c>
      <c r="AL95" s="289" t="e">
        <f>AL94*(1-VLOOKUP(AE95,boc_trpr_bc,11,TRUE)*boc_rr_bc_modv-VLOOKUP(AE95,boc_trpr_oc,11,TRUE)*boc_rr_oc_modv-boc_tr_mast_vus-boc_tr_ooph_vus-boc_tr_both_vus-VLOOKUP(AE95,mortt,2,FALSE))</f>
        <v>#N/A</v>
      </c>
      <c r="AM95" s="289" t="e">
        <f>AM94*(1-VLOOKUP(AE95,boc_trpr_bc,11,TRUE)*boc_rr_bc_lop-VLOOKUP(AE95,boc_trpr_oc,11,TRUE)*boc_rr_oc_lop-boc_tr_mast_path-boc_tr_ooph_path-boc_tr_both_path-VLOOKUP(AE95,mortt,2,FALSE))</f>
        <v>#N/A</v>
      </c>
      <c r="AN95" s="289" t="e">
        <f>AN94*(1-VLOOKUP(AE95,boc_trpr_bc,11,TRUE)*boc_rr_bc_lov-VLOOKUP(AE95,boc_trpr_oc,11,TRUE)*boc_rr_oc_lov-boc_tr_mast_vus-boc_tr_ooph_vus-boc_tr_both_vus-VLOOKUP(AE95,mortt,2,FALSE))</f>
        <v>#N/A</v>
      </c>
      <c r="AO95" s="260" t="e">
        <f>AO94*(1-VLOOKUP(AE95,boc_trpr_bc,11,TRUE)*boc_rr_bc_np-VLOOKUP(AE95,boc_trpr_oc,11,TRUE)*boc_rr_oc_np-VLOOKUP(AE95,mortt,2,FALSE))</f>
        <v>#N/A</v>
      </c>
      <c r="AP95" s="260" t="e">
        <f>AF94*VLOOKUP(AE95,boc_trpr_bc,11,TRUE)*boc_rr_bc_mast+AG94*VLOOKUP(AE95,boc_trpr_bc,11,TRUE)*boc_rr_bc_ooph+AH94*VLOOKUP(AE95,boc_trpr_bc,11,TRUE)*boc_rr_bc_both+AI94*VLOOKUP(AE95,boc_trpr_bc,11,TRUE)*boc_rr_bc_hip+AJ94*VLOOKUP(AE95,boc_trpr_bc,11,TRUE)*boc_rr_bc_hiv+AK94*VLOOKUP(AE95,boc_trpr_bc,11,TRUE)*boc_rr_bc_modp+AL94*VLOOKUP(AE95,boc_trpr_bc,11,TRUE)*boc_rr_bc_modv+AM94*VLOOKUP(AE95,boc_trpr_bc,11,TRUE)*boc_rr_bc_lop+AN94*VLOOKUP(AE95,boc_trpr_bc,11,TRUE)*boc_rr_bc_lov+AO94*VLOOKUP(AE95,boc_trpr_bc,11,TRUE)*boc_rr_bc_np</f>
        <v>#N/A</v>
      </c>
      <c r="AQ95" s="260" t="e">
        <f>AF94*VLOOKUP(AE95,boc_trpr_oc,11,TRUE)*boc_rr_oc_mast+AG94*VLOOKUP(AE95,boc_trpr_oc,11,TRUE)*boc_rr_oc_ooph+AH94*VLOOKUP(AE95,boc_trpr_oc,11,TRUE)*boc_rr_oc_both+AI94*VLOOKUP(AE95,boc_trpr_oc,11,TRUE)*boc_rr_oc_hip+AJ94*VLOOKUP(AE95,boc_trpr_oc,11,TRUE)*boc_rr_oc_hiv+AK94*VLOOKUP(AE95,boc_trpr_oc,11,TRUE)*boc_rr_oc_modp+AL94*VLOOKUP(AE95,boc_trpr_oc,11,TRUE)*boc_rr_oc_modv+AM94*VLOOKUP(AE95,boc_trpr_oc,11,TRUE)*boc_rr_oc_lop+AN94*VLOOKUP(AE95,boc_trpr_oc,11,TRUE)*boc_rr_oc_lov+AO94*VLOOKUP(AE95,boc_trpr_oc,11,TRUE)*boc_rr_oc_np</f>
        <v>#N/A</v>
      </c>
      <c r="AR95" s="260" t="e">
        <f>AP94*(1-VLOOKUP(AE95,boc_trpr_bc_death,20,TRUE))+AQ94*(1-VLOOKUP(AE95,boc_trpr_oc_death,20,TRUE))+AR94*(1-VLOOKUP(AE95,mortt,2,FALSE)*boc_rr_death_pc)</f>
        <v>#N/A</v>
      </c>
      <c r="AS95" s="260" t="e">
        <f>AS94+SUM(AF94:AO94)*VLOOKUP(AE95,mortt,2,FALSE)+AP94*VLOOKUP(AE95,boc_trpr_bc_death,20,TRUE)+AQ94*VLOOKUP(AE95,boc_trpr_bc_death,20,TRUE)+AR94*VLOOKUP(AE95,mortt,2,FALSE)*boc_rr_death_pc</f>
        <v>#N/A</v>
      </c>
      <c r="AT95" s="260" t="e">
        <f t="shared" si="52"/>
        <v>#N/A</v>
      </c>
      <c r="AU95" s="118" t="e">
        <f>(boc_cost_mast*SUM(AI95,AK95,AM95)*(boc_tr_mast_path+boc_tr_both_path)+SUM(AJ95,AL95,AN95)*(boc_tr_mast_vus+boc_tr_both_vus)+AP95*boc_cost_bc+AQ95*boc_cost_oc+AR95*boc_cost_pc+(AP95*VLOOKUP(AE95,boc_trpr_bc_death,20,TRUE)+AQ95*VLOOKUP(AE95,boc_trpr_oc_death,TRUE)*boc_cost_death))/((1+discount)^AD95)</f>
        <v>#N/A</v>
      </c>
      <c r="AV95" s="35" t="e">
        <f t="shared" si="62"/>
        <v>#N/A</v>
      </c>
      <c r="AW95" s="35" t="e">
        <f t="shared" si="63"/>
        <v>#N/A</v>
      </c>
      <c r="AY95" s="12">
        <v>89</v>
      </c>
      <c r="AZ95" s="12">
        <f t="shared" si="64"/>
        <v>134</v>
      </c>
      <c r="BA95" s="260" t="e">
        <f>BA94*(1-VLOOKUP(AZ95,boc_trpr_bc,11,TRUE)*boc_rr_bc_mast-VLOOKUP(AZ95,boc_trpr_oc,11,TRUE)*boc_rr_oc_mast-VLOOKUP(AZ95,mortt,2,FALSE))</f>
        <v>#N/A</v>
      </c>
      <c r="BB95" s="260" t="e">
        <f>BB94*(1-VLOOKUP(AZ95,boc_trpr_bc,11,TRUE)*boc_rr_bc_ooph-VLOOKUP(AZ95,boc_trpr_oc,11,TRUE)*boc_rr_oc_ooph-VLOOKUP(AZ95,mortt,2,FALSE))</f>
        <v>#N/A</v>
      </c>
      <c r="BC95" s="260" t="e">
        <f>BC94*(1-VLOOKUP(AZ95,boc_trpr_bc,11,TRUE)*boc_rr_bc_both-VLOOKUP(AZ95,boc_trpr_oc,11,TRUE)*boc_rr_oc_both-VLOOKUP(AZ95,mortt,2,FALSE))</f>
        <v>#N/A</v>
      </c>
      <c r="BD95" s="289" t="e">
        <f>BD94*(1-VLOOKUP(AZ95,boc_trpr_bc,11,TRUE)*boc_rr_bc_hip-VLOOKUP(AZ95,boc_trpr_oc,11,TRUE)*boc_rr_oc_hip-VLOOKUP(AZ95,mortt,2,FALSE))</f>
        <v>#N/A</v>
      </c>
      <c r="BE95" s="289" t="e">
        <f>BE94*(1-VLOOKUP(AZ95,boc_trpr_bc,11,TRUE)*boc_rr_bc_hiv-VLOOKUP(AZ95,boc_trpr_oc,11,TRUE)*boc_rr_oc_hiv-VLOOKUP(AZ95,mortt,2,FALSE))</f>
        <v>#N/A</v>
      </c>
      <c r="BF95" s="289" t="e">
        <f>BF94*(1-VLOOKUP(AZ95,boc_trpr_bc,11,TRUE)*boc_rr_bc_modp-VLOOKUP(AZ95,boc_trpr_oc,11,TRUE)*boc_rr_oc_modp-VLOOKUP(AZ95,mortt,2,FALSE))</f>
        <v>#N/A</v>
      </c>
      <c r="BG95" s="289" t="e">
        <f>BG94*(1-VLOOKUP(AZ95,boc_trpr_bc,11,TRUE)*boc_rr_bc_modv-VLOOKUP(AZ95,boc_trpr_oc,11,TRUE)*boc_rr_oc_modv-VLOOKUP(AZ95,mortt,2,FALSE))</f>
        <v>#N/A</v>
      </c>
      <c r="BH95" s="289" t="e">
        <f>BH94*(1-VLOOKUP(AZ95,boc_trpr_bc,11,TRUE)*boc_rr_bc_lop-VLOOKUP(AZ95,boc_trpr_oc,11,TRUE)*boc_rr_oc_lop-VLOOKUP(AZ95,mortt,2,FALSE))</f>
        <v>#N/A</v>
      </c>
      <c r="BI95" s="289" t="e">
        <f>BI94*(1-VLOOKUP(AZ95,boc_trpr_bc,11,TRUE)*boc_rr_bc_lov-VLOOKUP(AZ95,boc_trpr_oc,11,TRUE)*boc_rr_oc_lov-VLOOKUP(AZ95,mortt,2,FALSE))</f>
        <v>#N/A</v>
      </c>
      <c r="BJ95" s="260" t="e">
        <f>BJ94*(1-VLOOKUP(AZ95,boc_trpr_bc,11,TRUE)*boc_rr_bc_np-VLOOKUP(AZ95,boc_trpr_oc,11,TRUE)*boc_rr_oc_np-VLOOKUP(AZ95,mortt,2,FALSE))</f>
        <v>#N/A</v>
      </c>
      <c r="BK95" s="260" t="e">
        <f>BA94*VLOOKUP(AZ95,boc_trpr_bc,11,TRUE)*boc_rr_bc_mast+BB94*VLOOKUP(AZ95,boc_trpr_bc,11,TRUE)*boc_rr_bc_ooph+BC94*VLOOKUP(AZ95,boc_trpr_bc,11,TRUE)*boc_rr_bc_both+BD94*VLOOKUP(AZ95,boc_trpr_bc,11,TRUE)*boc_rr_bc_hip+BE94*VLOOKUP(AZ95,boc_trpr_bc,11,TRUE)*boc_rr_bc_hiv+BF94*VLOOKUP(AZ95,boc_trpr_bc,11,TRUE)*boc_rr_bc_modp+BG94*VLOOKUP(AZ95,boc_trpr_bc,11,TRUE)*boc_rr_bc_modv+BH94*VLOOKUP(AZ95,boc_trpr_bc,11,TRUE)*boc_rr_bc_lop+BI94*VLOOKUP(AZ95,boc_trpr_bc,11,TRUE)*boc_rr_bc_lov+BJ94*VLOOKUP(AZ95,boc_trpr_bc,11,TRUE)*boc_rr_bc_np</f>
        <v>#N/A</v>
      </c>
      <c r="BL95" s="260" t="e">
        <f>BA94*VLOOKUP(AZ95,boc_trpr_oc,11,TRUE)*boc_rr_oc_mast+BB94*VLOOKUP(AZ95,boc_trpr_oc,11,TRUE)*boc_rr_oc_ooph+BC94*VLOOKUP(AZ95,boc_trpr_oc,11,TRUE)*boc_rr_oc_both+BD94*VLOOKUP(AZ95,boc_trpr_oc,11,TRUE)*boc_rr_oc_hip+BE94*VLOOKUP(AZ95,boc_trpr_oc,11,TRUE)*boc_rr_oc_hiv+BF94*VLOOKUP(AZ95,boc_trpr_oc,11,TRUE)*boc_rr_oc_modp+BG94*VLOOKUP(AZ95,boc_trpr_oc,11,TRUE)*boc_rr_oc_modv+BH94*VLOOKUP(AZ95,boc_trpr_oc,11,TRUE)*boc_rr_oc_lop+BI94*VLOOKUP(AZ95,boc_trpr_oc,11,TRUE)*boc_rr_oc_lov+BJ94*VLOOKUP(AZ95,boc_trpr_oc,11,TRUE)*boc_rr_oc_np</f>
        <v>#N/A</v>
      </c>
      <c r="BM95" s="260" t="e">
        <f>BK94*(1-VLOOKUP(AZ95,boc_trpr_bc_death,20,TRUE))+BL94*(1-VLOOKUP(AZ95,boc_trpr_oc_death,20,TRUE))+BM94*(1-VLOOKUP(AZ95,mortt,2,FALSE)*boc_rr_death_pc)</f>
        <v>#N/A</v>
      </c>
      <c r="BN95" s="260" t="e">
        <f>BN94+SUM(BA94:BJ94)*VLOOKUP(AZ95,mortt,2,FALSE)+BK94*VLOOKUP(AZ95,boc_trpr_bc_death,20,TRUE)+BL94*VLOOKUP(AZ95,boc_trpr_bc_death,20,TRUE)+BM94*VLOOKUP(AZ95,mortt,2,FALSE)*boc_rr_death_pc</f>
        <v>#N/A</v>
      </c>
      <c r="BO95" s="260" t="e">
        <f t="shared" si="41"/>
        <v>#N/A</v>
      </c>
      <c r="BP95" s="118" t="e">
        <f>(boc_cost_mast*SUM(BD95,BF95,BH95)*(boc_tr_mast_path+boc_tr_both_path)+SUM(BE95,BG95,BI95)*(boc_tr_mast_vus+boc_tr_both_vus)+BK95*boc_cost_bc+BL95*boc_cost_oc+BM95*boc_cost_pc+(BK95*VLOOKUP(AZ95,boc_trpr_bc_death,20,TRUE)+BL95*VLOOKUP(AZ95,boc_trpr_oc_death,TRUE)*boc_cost_death))/((1+discount)^AY95)</f>
        <v>#N/A</v>
      </c>
      <c r="BQ95" s="35" t="e">
        <f t="shared" si="65"/>
        <v>#N/A</v>
      </c>
      <c r="BR95" s="35" t="e">
        <f t="shared" si="66"/>
        <v>#N/A</v>
      </c>
      <c r="BS95" s="35"/>
      <c r="BV95">
        <f>(BV94-BV93)/4</f>
        <v>5</v>
      </c>
      <c r="CD95" s="138">
        <v>90</v>
      </c>
      <c r="CE95" s="291">
        <v>0.12809599999999999</v>
      </c>
    </row>
    <row r="96" spans="2:83" ht="15" customHeight="1" x14ac:dyDescent="0.2">
      <c r="B96" s="37" t="s">
        <v>12</v>
      </c>
      <c r="C96" s="35">
        <f>IF(psa,J96,IF(owsa_low=L96,F96,IF(owsa_high=L96,G96,IF(ISNUMBER(D96),D96,E96))))</f>
        <v>1.1000000000000001</v>
      </c>
      <c r="D96" s="158"/>
      <c r="E96" s="35">
        <v>1.1000000000000001</v>
      </c>
      <c r="F96" s="35">
        <f>MAX(0,IF(ISNUMBER(D96),D96,E96)*(1-owsa_boc))</f>
        <v>0.88000000000000012</v>
      </c>
      <c r="G96" s="35">
        <f>IF(ISNUMBER(D96),D96,E96)*(1+owsa_boc)</f>
        <v>1.32</v>
      </c>
      <c r="H96" s="69">
        <f t="shared" si="76"/>
        <v>0.10343687723509755</v>
      </c>
      <c r="I96" s="48"/>
      <c r="J96" s="35">
        <f ca="1">_xlfn.LOGNORM.INV(RAND(),LN(IF(ISNUMBER(D96),D96,E96))-(H96^2)/2,H96)</f>
        <v>1.2338435637350349</v>
      </c>
      <c r="K96" s="12" t="s">
        <v>213</v>
      </c>
      <c r="L96" s="40">
        <v>35</v>
      </c>
      <c r="M96" s="247" t="s">
        <v>255</v>
      </c>
      <c r="N96" s="39" t="s">
        <v>48</v>
      </c>
      <c r="Q96" s="11"/>
      <c r="S96" s="11"/>
      <c r="AD96" s="12">
        <v>90</v>
      </c>
      <c r="AE96" s="12">
        <f t="shared" si="61"/>
        <v>135</v>
      </c>
      <c r="AF96" s="260" t="e">
        <f>AF95*(1-VLOOKUP(AE96,boc_trpr_bc,11,TRUE)*boc_rr_bc_mast-VLOOKUP(AE96,boc_trpr_oc,11,TRUE)*boc_rr_oc_mast-VLOOKUP(AE96,mortt,2,FALSE))+SUM(AI95,AK95,AM95)*boc_tr_mast_path+SUM(AJ95,AL95,AN95)*boc_tr_mast_vus</f>
        <v>#N/A</v>
      </c>
      <c r="AG96" s="260" t="e">
        <f>AG95*(1-VLOOKUP(AE96,boc_trpr_bc,11,TRUE)*boc_rr_bc_ooph-VLOOKUP(AE96,boc_trpr_oc,11,TRUE)*boc_rr_oc_ooph-VLOOKUP(AE96,mortt,2,FALSE))+SUM(AI95,AK95,AM95)*boc_tr_ooph_path+SUM(AJ95,AL95,AN95)*boc_tr_ooph_vus</f>
        <v>#N/A</v>
      </c>
      <c r="AH96" s="260" t="e">
        <f>AH95*(1-VLOOKUP(AE96,boc_trpr_bc,11,TRUE)*boc_rr_bc_both-VLOOKUP(AE96,boc_trpr_oc,11,TRUE)*boc_rr_oc_both-VLOOKUP(AE96,mortt,2,FALSE))+SUM(AI95,AK95,AM95)*boc_tr_both_path+SUM(AJ95,AL95,AN95)*boc_tr_both_vus</f>
        <v>#N/A</v>
      </c>
      <c r="AI96" s="289" t="e">
        <f>AI95*(1-VLOOKUP(AE96,boc_trpr_bc,11,TRUE)*boc_rr_bc_hip-VLOOKUP(AE96,boc_trpr_oc,11,TRUE)*boc_rr_oc_hip-boc_tr_mast_path-boc_tr_ooph_path-boc_tr_both_path-VLOOKUP(AE96,mortt,2,FALSE))</f>
        <v>#N/A</v>
      </c>
      <c r="AJ96" s="289" t="e">
        <f>AJ95*(1-VLOOKUP(AE96,boc_trpr_bc,11,TRUE)*boc_rr_bc_hiv-VLOOKUP(AE96,boc_trpr_oc,11,TRUE)*boc_rr_oc_hiv-boc_tr_mast_vus-boc_tr_ooph_vus-boc_tr_both_vus-VLOOKUP(AE96,mortt,2,FALSE))</f>
        <v>#N/A</v>
      </c>
      <c r="AK96" s="289" t="e">
        <f>AK95*(1-VLOOKUP(AE96,boc_trpr_bc,11,TRUE)*boc_rr_bc_modp-VLOOKUP(AE96,boc_trpr_oc,11,TRUE)*boc_rr_oc_modp-boc_tr_mast_path-boc_tr_ooph_path-boc_tr_both_path-VLOOKUP(AE96,mortt,2,FALSE))</f>
        <v>#N/A</v>
      </c>
      <c r="AL96" s="289" t="e">
        <f>AL95*(1-VLOOKUP(AE96,boc_trpr_bc,11,TRUE)*boc_rr_bc_modv-VLOOKUP(AE96,boc_trpr_oc,11,TRUE)*boc_rr_oc_modv-boc_tr_mast_vus-boc_tr_ooph_vus-boc_tr_both_vus-VLOOKUP(AE96,mortt,2,FALSE))</f>
        <v>#N/A</v>
      </c>
      <c r="AM96" s="289" t="e">
        <f>AM95*(1-VLOOKUP(AE96,boc_trpr_bc,11,TRUE)*boc_rr_bc_lop-VLOOKUP(AE96,boc_trpr_oc,11,TRUE)*boc_rr_oc_lop-boc_tr_mast_path-boc_tr_ooph_path-boc_tr_both_path-VLOOKUP(AE96,mortt,2,FALSE))</f>
        <v>#N/A</v>
      </c>
      <c r="AN96" s="289" t="e">
        <f>AN95*(1-VLOOKUP(AE96,boc_trpr_bc,11,TRUE)*boc_rr_bc_lov-VLOOKUP(AE96,boc_trpr_oc,11,TRUE)*boc_rr_oc_lov-boc_tr_mast_vus-boc_tr_ooph_vus-boc_tr_both_vus-VLOOKUP(AE96,mortt,2,FALSE))</f>
        <v>#N/A</v>
      </c>
      <c r="AO96" s="260" t="e">
        <f>AO95*(1-VLOOKUP(AE96,boc_trpr_bc,11,TRUE)*boc_rr_bc_np-VLOOKUP(AE96,boc_trpr_oc,11,TRUE)*boc_rr_oc_np-VLOOKUP(AE96,mortt,2,FALSE))</f>
        <v>#N/A</v>
      </c>
      <c r="AP96" s="260" t="e">
        <f>AF95*VLOOKUP(AE96,boc_trpr_bc,11,TRUE)*boc_rr_bc_mast+AG95*VLOOKUP(AE96,boc_trpr_bc,11,TRUE)*boc_rr_bc_ooph+AH95*VLOOKUP(AE96,boc_trpr_bc,11,TRUE)*boc_rr_bc_both+AI95*VLOOKUP(AE96,boc_trpr_bc,11,TRUE)*boc_rr_bc_hip+AJ95*VLOOKUP(AE96,boc_trpr_bc,11,TRUE)*boc_rr_bc_hiv+AK95*VLOOKUP(AE96,boc_trpr_bc,11,TRUE)*boc_rr_bc_modp+AL95*VLOOKUP(AE96,boc_trpr_bc,11,TRUE)*boc_rr_bc_modv+AM95*VLOOKUP(AE96,boc_trpr_bc,11,TRUE)*boc_rr_bc_lop+AN95*VLOOKUP(AE96,boc_trpr_bc,11,TRUE)*boc_rr_bc_lov+AO95*VLOOKUP(AE96,boc_trpr_bc,11,TRUE)*boc_rr_bc_np</f>
        <v>#N/A</v>
      </c>
      <c r="AQ96" s="260" t="e">
        <f>AF95*VLOOKUP(AE96,boc_trpr_oc,11,TRUE)*boc_rr_oc_mast+AG95*VLOOKUP(AE96,boc_trpr_oc,11,TRUE)*boc_rr_oc_ooph+AH95*VLOOKUP(AE96,boc_trpr_oc,11,TRUE)*boc_rr_oc_both+AI95*VLOOKUP(AE96,boc_trpr_oc,11,TRUE)*boc_rr_oc_hip+AJ95*VLOOKUP(AE96,boc_trpr_oc,11,TRUE)*boc_rr_oc_hiv+AK95*VLOOKUP(AE96,boc_trpr_oc,11,TRUE)*boc_rr_oc_modp+AL95*VLOOKUP(AE96,boc_trpr_oc,11,TRUE)*boc_rr_oc_modv+AM95*VLOOKUP(AE96,boc_trpr_oc,11,TRUE)*boc_rr_oc_lop+AN95*VLOOKUP(AE96,boc_trpr_oc,11,TRUE)*boc_rr_oc_lov+AO95*VLOOKUP(AE96,boc_trpr_oc,11,TRUE)*boc_rr_oc_np</f>
        <v>#N/A</v>
      </c>
      <c r="AR96" s="260" t="e">
        <f>AP95*(1-VLOOKUP(AE96,boc_trpr_bc_death,20,TRUE))+AQ95*(1-VLOOKUP(AE96,boc_trpr_oc_death,20,TRUE))+AR95*(1-VLOOKUP(AE96,mortt,2,FALSE)*boc_rr_death_pc)</f>
        <v>#N/A</v>
      </c>
      <c r="AS96" s="260" t="e">
        <f>AS95+SUM(AF95:AO95)*VLOOKUP(AE96,mortt,2,FALSE)+AP95*VLOOKUP(AE96,boc_trpr_bc_death,20,TRUE)+AQ95*VLOOKUP(AE96,boc_trpr_bc_death,20,TRUE)+AR95*VLOOKUP(AE96,mortt,2,FALSE)*boc_rr_death_pc</f>
        <v>#N/A</v>
      </c>
      <c r="AT96" s="260" t="e">
        <f t="shared" si="52"/>
        <v>#N/A</v>
      </c>
      <c r="AU96" s="118" t="e">
        <f>(boc_cost_mast*SUM(AI96,AK96,AM96)*(boc_tr_mast_path+boc_tr_both_path)+SUM(AJ96,AL96,AN96)*(boc_tr_mast_vus+boc_tr_both_vus)+AP96*boc_cost_bc+AQ96*boc_cost_oc+AR96*boc_cost_pc+(AP96*VLOOKUP(AE96,boc_trpr_bc_death,20,TRUE)+AQ96*VLOOKUP(AE96,boc_trpr_oc_death,TRUE)*boc_cost_death))/((1+discount)^AD96)</f>
        <v>#N/A</v>
      </c>
      <c r="AV96" s="35" t="e">
        <f t="shared" si="62"/>
        <v>#N/A</v>
      </c>
      <c r="AW96" s="35" t="e">
        <f t="shared" si="63"/>
        <v>#N/A</v>
      </c>
      <c r="AY96" s="12">
        <v>90</v>
      </c>
      <c r="AZ96" s="12">
        <f t="shared" si="64"/>
        <v>135</v>
      </c>
      <c r="BA96" s="260" t="e">
        <f>BA95*(1-VLOOKUP(AZ96,boc_trpr_bc,11,TRUE)*boc_rr_bc_mast-VLOOKUP(AZ96,boc_trpr_oc,11,TRUE)*boc_rr_oc_mast-VLOOKUP(AZ96,mortt,2,FALSE))</f>
        <v>#N/A</v>
      </c>
      <c r="BB96" s="260" t="e">
        <f>BB95*(1-VLOOKUP(AZ96,boc_trpr_bc,11,TRUE)*boc_rr_bc_ooph-VLOOKUP(AZ96,boc_trpr_oc,11,TRUE)*boc_rr_oc_ooph-VLOOKUP(AZ96,mortt,2,FALSE))</f>
        <v>#N/A</v>
      </c>
      <c r="BC96" s="260" t="e">
        <f>BC95*(1-VLOOKUP(AZ96,boc_trpr_bc,11,TRUE)*boc_rr_bc_both-VLOOKUP(AZ96,boc_trpr_oc,11,TRUE)*boc_rr_oc_both-VLOOKUP(AZ96,mortt,2,FALSE))</f>
        <v>#N/A</v>
      </c>
      <c r="BD96" s="289" t="e">
        <f>BD95*(1-VLOOKUP(AZ96,boc_trpr_bc,11,TRUE)*boc_rr_bc_hip-VLOOKUP(AZ96,boc_trpr_oc,11,TRUE)*boc_rr_oc_hip-VLOOKUP(AZ96,mortt,2,FALSE))</f>
        <v>#N/A</v>
      </c>
      <c r="BE96" s="289" t="e">
        <f>BE95*(1-VLOOKUP(AZ96,boc_trpr_bc,11,TRUE)*boc_rr_bc_hiv-VLOOKUP(AZ96,boc_trpr_oc,11,TRUE)*boc_rr_oc_hiv-VLOOKUP(AZ96,mortt,2,FALSE))</f>
        <v>#N/A</v>
      </c>
      <c r="BF96" s="289" t="e">
        <f>BF95*(1-VLOOKUP(AZ96,boc_trpr_bc,11,TRUE)*boc_rr_bc_modp-VLOOKUP(AZ96,boc_trpr_oc,11,TRUE)*boc_rr_oc_modp-VLOOKUP(AZ96,mortt,2,FALSE))</f>
        <v>#N/A</v>
      </c>
      <c r="BG96" s="289" t="e">
        <f>BG95*(1-VLOOKUP(AZ96,boc_trpr_bc,11,TRUE)*boc_rr_bc_modv-VLOOKUP(AZ96,boc_trpr_oc,11,TRUE)*boc_rr_oc_modv-VLOOKUP(AZ96,mortt,2,FALSE))</f>
        <v>#N/A</v>
      </c>
      <c r="BH96" s="289" t="e">
        <f>BH95*(1-VLOOKUP(AZ96,boc_trpr_bc,11,TRUE)*boc_rr_bc_lop-VLOOKUP(AZ96,boc_trpr_oc,11,TRUE)*boc_rr_oc_lop-VLOOKUP(AZ96,mortt,2,FALSE))</f>
        <v>#N/A</v>
      </c>
      <c r="BI96" s="289" t="e">
        <f>BI95*(1-VLOOKUP(AZ96,boc_trpr_bc,11,TRUE)*boc_rr_bc_lov-VLOOKUP(AZ96,boc_trpr_oc,11,TRUE)*boc_rr_oc_lov-VLOOKUP(AZ96,mortt,2,FALSE))</f>
        <v>#N/A</v>
      </c>
      <c r="BJ96" s="260" t="e">
        <f>BJ95*(1-VLOOKUP(AZ96,boc_trpr_bc,11,TRUE)*boc_rr_bc_np-VLOOKUP(AZ96,boc_trpr_oc,11,TRUE)*boc_rr_oc_np-VLOOKUP(AZ96,mortt,2,FALSE))</f>
        <v>#N/A</v>
      </c>
      <c r="BK96" s="260" t="e">
        <f>BA95*VLOOKUP(AZ96,boc_trpr_bc,11,TRUE)*boc_rr_bc_mast+BB95*VLOOKUP(AZ96,boc_trpr_bc,11,TRUE)*boc_rr_bc_ooph+BC95*VLOOKUP(AZ96,boc_trpr_bc,11,TRUE)*boc_rr_bc_both+BD95*VLOOKUP(AZ96,boc_trpr_bc,11,TRUE)*boc_rr_bc_hip+BE95*VLOOKUP(AZ96,boc_trpr_bc,11,TRUE)*boc_rr_bc_hiv+BF95*VLOOKUP(AZ96,boc_trpr_bc,11,TRUE)*boc_rr_bc_modp+BG95*VLOOKUP(AZ96,boc_trpr_bc,11,TRUE)*boc_rr_bc_modv+BH95*VLOOKUP(AZ96,boc_trpr_bc,11,TRUE)*boc_rr_bc_lop+BI95*VLOOKUP(AZ96,boc_trpr_bc,11,TRUE)*boc_rr_bc_lov+BJ95*VLOOKUP(AZ96,boc_trpr_bc,11,TRUE)*boc_rr_bc_np</f>
        <v>#N/A</v>
      </c>
      <c r="BL96" s="260" t="e">
        <f>BA95*VLOOKUP(AZ96,boc_trpr_oc,11,TRUE)*boc_rr_oc_mast+BB95*VLOOKUP(AZ96,boc_trpr_oc,11,TRUE)*boc_rr_oc_ooph+BC95*VLOOKUP(AZ96,boc_trpr_oc,11,TRUE)*boc_rr_oc_both+BD95*VLOOKUP(AZ96,boc_trpr_oc,11,TRUE)*boc_rr_oc_hip+BE95*VLOOKUP(AZ96,boc_trpr_oc,11,TRUE)*boc_rr_oc_hiv+BF95*VLOOKUP(AZ96,boc_trpr_oc,11,TRUE)*boc_rr_oc_modp+BG95*VLOOKUP(AZ96,boc_trpr_oc,11,TRUE)*boc_rr_oc_modv+BH95*VLOOKUP(AZ96,boc_trpr_oc,11,TRUE)*boc_rr_oc_lop+BI95*VLOOKUP(AZ96,boc_trpr_oc,11,TRUE)*boc_rr_oc_lov+BJ95*VLOOKUP(AZ96,boc_trpr_oc,11,TRUE)*boc_rr_oc_np</f>
        <v>#N/A</v>
      </c>
      <c r="BM96" s="260" t="e">
        <f>BK95*(1-VLOOKUP(AZ96,boc_trpr_bc_death,20,TRUE))+BL95*(1-VLOOKUP(AZ96,boc_trpr_oc_death,20,TRUE))+BM95*(1-VLOOKUP(AZ96,mortt,2,FALSE)*boc_rr_death_pc)</f>
        <v>#N/A</v>
      </c>
      <c r="BN96" s="260" t="e">
        <f>BN95+SUM(BA95:BJ95)*VLOOKUP(AZ96,mortt,2,FALSE)+BK95*VLOOKUP(AZ96,boc_trpr_bc_death,20,TRUE)+BL95*VLOOKUP(AZ96,boc_trpr_bc_death,20,TRUE)+BM95*VLOOKUP(AZ96,mortt,2,FALSE)*boc_rr_death_pc</f>
        <v>#N/A</v>
      </c>
      <c r="BO96" s="260" t="e">
        <f t="shared" si="41"/>
        <v>#N/A</v>
      </c>
      <c r="BP96" s="118" t="e">
        <f>(boc_cost_mast*SUM(BD96,BF96,BH96)*(boc_tr_mast_path+boc_tr_both_path)+SUM(BE96,BG96,BI96)*(boc_tr_mast_vus+boc_tr_both_vus)+BK96*boc_cost_bc+BL96*boc_cost_oc+BM96*boc_cost_pc+(BK96*VLOOKUP(AZ96,boc_trpr_bc_death,20,TRUE)+BL96*VLOOKUP(AZ96,boc_trpr_oc_death,TRUE)*boc_cost_death))/((1+discount)^AY96)</f>
        <v>#N/A</v>
      </c>
      <c r="BQ96" s="35" t="e">
        <f t="shared" si="65"/>
        <v>#N/A</v>
      </c>
      <c r="BR96" s="35" t="e">
        <f t="shared" si="66"/>
        <v>#N/A</v>
      </c>
      <c r="BS96" s="35"/>
      <c r="CD96" s="138">
        <v>91</v>
      </c>
      <c r="CE96" s="291">
        <v>0.14240800000000001</v>
      </c>
    </row>
    <row r="97" spans="2:83" ht="15" customHeight="1" x14ac:dyDescent="0.2">
      <c r="B97" s="38" t="s">
        <v>173</v>
      </c>
      <c r="Q97" s="11"/>
      <c r="S97" s="11"/>
      <c r="U97" s="9" t="s">
        <v>7</v>
      </c>
      <c r="V97" s="250">
        <f>boc_unk_int_mast</f>
        <v>0.01</v>
      </c>
      <c r="X97" s="261">
        <f>R93*T98*V97</f>
        <v>6.9286235869884009E-5</v>
      </c>
      <c r="AD97" s="12">
        <v>91</v>
      </c>
      <c r="AE97" s="12">
        <f t="shared" si="61"/>
        <v>136</v>
      </c>
      <c r="AF97" s="260" t="e">
        <f>AF96*(1-VLOOKUP(AE97,boc_trpr_bc,11,TRUE)*boc_rr_bc_mast-VLOOKUP(AE97,boc_trpr_oc,11,TRUE)*boc_rr_oc_mast-VLOOKUP(AE97,mortt,2,FALSE))+SUM(AI96,AK96,AM96)*boc_tr_mast_path+SUM(AJ96,AL96,AN96)*boc_tr_mast_vus</f>
        <v>#N/A</v>
      </c>
      <c r="AG97" s="260" t="e">
        <f>AG96*(1-VLOOKUP(AE97,boc_trpr_bc,11,TRUE)*boc_rr_bc_ooph-VLOOKUP(AE97,boc_trpr_oc,11,TRUE)*boc_rr_oc_ooph-VLOOKUP(AE97,mortt,2,FALSE))+SUM(AI96,AK96,AM96)*boc_tr_ooph_path+SUM(AJ96,AL96,AN96)*boc_tr_ooph_vus</f>
        <v>#N/A</v>
      </c>
      <c r="AH97" s="260" t="e">
        <f>AH96*(1-VLOOKUP(AE97,boc_trpr_bc,11,TRUE)*boc_rr_bc_both-VLOOKUP(AE97,boc_trpr_oc,11,TRUE)*boc_rr_oc_both-VLOOKUP(AE97,mortt,2,FALSE))+SUM(AI96,AK96,AM96)*boc_tr_both_path+SUM(AJ96,AL96,AN96)*boc_tr_both_vus</f>
        <v>#N/A</v>
      </c>
      <c r="AI97" s="289" t="e">
        <f>AI96*(1-VLOOKUP(AE97,boc_trpr_bc,11,TRUE)*boc_rr_bc_hip-VLOOKUP(AE97,boc_trpr_oc,11,TRUE)*boc_rr_oc_hip-boc_tr_mast_path-boc_tr_ooph_path-boc_tr_both_path-VLOOKUP(AE97,mortt,2,FALSE))</f>
        <v>#N/A</v>
      </c>
      <c r="AJ97" s="289" t="e">
        <f>AJ96*(1-VLOOKUP(AE97,boc_trpr_bc,11,TRUE)*boc_rr_bc_hiv-VLOOKUP(AE97,boc_trpr_oc,11,TRUE)*boc_rr_oc_hiv-boc_tr_mast_vus-boc_tr_ooph_vus-boc_tr_both_vus-VLOOKUP(AE97,mortt,2,FALSE))</f>
        <v>#N/A</v>
      </c>
      <c r="AK97" s="289" t="e">
        <f>AK96*(1-VLOOKUP(AE97,boc_trpr_bc,11,TRUE)*boc_rr_bc_modp-VLOOKUP(AE97,boc_trpr_oc,11,TRUE)*boc_rr_oc_modp-boc_tr_mast_path-boc_tr_ooph_path-boc_tr_both_path-VLOOKUP(AE97,mortt,2,FALSE))</f>
        <v>#N/A</v>
      </c>
      <c r="AL97" s="289" t="e">
        <f>AL96*(1-VLOOKUP(AE97,boc_trpr_bc,11,TRUE)*boc_rr_bc_modv-VLOOKUP(AE97,boc_trpr_oc,11,TRUE)*boc_rr_oc_modv-boc_tr_mast_vus-boc_tr_ooph_vus-boc_tr_both_vus-VLOOKUP(AE97,mortt,2,FALSE))</f>
        <v>#N/A</v>
      </c>
      <c r="AM97" s="289" t="e">
        <f>AM96*(1-VLOOKUP(AE97,boc_trpr_bc,11,TRUE)*boc_rr_bc_lop-VLOOKUP(AE97,boc_trpr_oc,11,TRUE)*boc_rr_oc_lop-boc_tr_mast_path-boc_tr_ooph_path-boc_tr_both_path-VLOOKUP(AE97,mortt,2,FALSE))</f>
        <v>#N/A</v>
      </c>
      <c r="AN97" s="289" t="e">
        <f>AN96*(1-VLOOKUP(AE97,boc_trpr_bc,11,TRUE)*boc_rr_bc_lov-VLOOKUP(AE97,boc_trpr_oc,11,TRUE)*boc_rr_oc_lov-boc_tr_mast_vus-boc_tr_ooph_vus-boc_tr_both_vus-VLOOKUP(AE97,mortt,2,FALSE))</f>
        <v>#N/A</v>
      </c>
      <c r="AO97" s="260" t="e">
        <f>AO96*(1-VLOOKUP(AE97,boc_trpr_bc,11,TRUE)*boc_rr_bc_np-VLOOKUP(AE97,boc_trpr_oc,11,TRUE)*boc_rr_oc_np-VLOOKUP(AE97,mortt,2,FALSE))</f>
        <v>#N/A</v>
      </c>
      <c r="AP97" s="260" t="e">
        <f>AF96*VLOOKUP(AE97,boc_trpr_bc,11,TRUE)*boc_rr_bc_mast+AG96*VLOOKUP(AE97,boc_trpr_bc,11,TRUE)*boc_rr_bc_ooph+AH96*VLOOKUP(AE97,boc_trpr_bc,11,TRUE)*boc_rr_bc_both+AI96*VLOOKUP(AE97,boc_trpr_bc,11,TRUE)*boc_rr_bc_hip+AJ96*VLOOKUP(AE97,boc_trpr_bc,11,TRUE)*boc_rr_bc_hiv+AK96*VLOOKUP(AE97,boc_trpr_bc,11,TRUE)*boc_rr_bc_modp+AL96*VLOOKUP(AE97,boc_trpr_bc,11,TRUE)*boc_rr_bc_modv+AM96*VLOOKUP(AE97,boc_trpr_bc,11,TRUE)*boc_rr_bc_lop+AN96*VLOOKUP(AE97,boc_trpr_bc,11,TRUE)*boc_rr_bc_lov+AO96*VLOOKUP(AE97,boc_trpr_bc,11,TRUE)*boc_rr_bc_np</f>
        <v>#N/A</v>
      </c>
      <c r="AQ97" s="260" t="e">
        <f>AF96*VLOOKUP(AE97,boc_trpr_oc,11,TRUE)*boc_rr_oc_mast+AG96*VLOOKUP(AE97,boc_trpr_oc,11,TRUE)*boc_rr_oc_ooph+AH96*VLOOKUP(AE97,boc_trpr_oc,11,TRUE)*boc_rr_oc_both+AI96*VLOOKUP(AE97,boc_trpr_oc,11,TRUE)*boc_rr_oc_hip+AJ96*VLOOKUP(AE97,boc_trpr_oc,11,TRUE)*boc_rr_oc_hiv+AK96*VLOOKUP(AE97,boc_trpr_oc,11,TRUE)*boc_rr_oc_modp+AL96*VLOOKUP(AE97,boc_trpr_oc,11,TRUE)*boc_rr_oc_modv+AM96*VLOOKUP(AE97,boc_trpr_oc,11,TRUE)*boc_rr_oc_lop+AN96*VLOOKUP(AE97,boc_trpr_oc,11,TRUE)*boc_rr_oc_lov+AO96*VLOOKUP(AE97,boc_trpr_oc,11,TRUE)*boc_rr_oc_np</f>
        <v>#N/A</v>
      </c>
      <c r="AR97" s="260" t="e">
        <f>AP96*(1-VLOOKUP(AE97,boc_trpr_bc_death,20,TRUE))+AQ96*(1-VLOOKUP(AE97,boc_trpr_oc_death,20,TRUE))+AR96*(1-VLOOKUP(AE97,mortt,2,FALSE)*boc_rr_death_pc)</f>
        <v>#N/A</v>
      </c>
      <c r="AS97" s="260" t="e">
        <f>AS96+SUM(AF96:AO96)*VLOOKUP(AE97,mortt,2,FALSE)+AP96*VLOOKUP(AE97,boc_trpr_bc_death,20,TRUE)+AQ96*VLOOKUP(AE97,boc_trpr_bc_death,20,TRUE)+AR96*VLOOKUP(AE97,mortt,2,FALSE)*boc_rr_death_pc</f>
        <v>#N/A</v>
      </c>
      <c r="AT97" s="260" t="e">
        <f t="shared" si="52"/>
        <v>#N/A</v>
      </c>
      <c r="AU97" s="118" t="e">
        <f>(boc_cost_mast*SUM(AI97,AK97,AM97)*(boc_tr_mast_path+boc_tr_both_path)+SUM(AJ97,AL97,AN97)*(boc_tr_mast_vus+boc_tr_both_vus)+AP97*boc_cost_bc+AQ97*boc_cost_oc+AR97*boc_cost_pc+(AP97*VLOOKUP(AE97,boc_trpr_bc_death,20,TRUE)+AQ97*VLOOKUP(AE97,boc_trpr_oc_death,TRUE)*boc_cost_death))/((1+discount)^AD97)</f>
        <v>#N/A</v>
      </c>
      <c r="AV97" s="35" t="e">
        <f t="shared" si="62"/>
        <v>#N/A</v>
      </c>
      <c r="AW97" s="35" t="e">
        <f t="shared" si="63"/>
        <v>#N/A</v>
      </c>
      <c r="AY97" s="12">
        <v>91</v>
      </c>
      <c r="AZ97" s="12">
        <f t="shared" si="64"/>
        <v>136</v>
      </c>
      <c r="BA97" s="260" t="e">
        <f>BA96*(1-VLOOKUP(AZ97,boc_trpr_bc,11,TRUE)*boc_rr_bc_mast-VLOOKUP(AZ97,boc_trpr_oc,11,TRUE)*boc_rr_oc_mast-VLOOKUP(AZ97,mortt,2,FALSE))</f>
        <v>#N/A</v>
      </c>
      <c r="BB97" s="260" t="e">
        <f>BB96*(1-VLOOKUP(AZ97,boc_trpr_bc,11,TRUE)*boc_rr_bc_ooph-VLOOKUP(AZ97,boc_trpr_oc,11,TRUE)*boc_rr_oc_ooph-VLOOKUP(AZ97,mortt,2,FALSE))</f>
        <v>#N/A</v>
      </c>
      <c r="BC97" s="260" t="e">
        <f>BC96*(1-VLOOKUP(AZ97,boc_trpr_bc,11,TRUE)*boc_rr_bc_both-VLOOKUP(AZ97,boc_trpr_oc,11,TRUE)*boc_rr_oc_both-VLOOKUP(AZ97,mortt,2,FALSE))</f>
        <v>#N/A</v>
      </c>
      <c r="BD97" s="289" t="e">
        <f>BD96*(1-VLOOKUP(AZ97,boc_trpr_bc,11,TRUE)*boc_rr_bc_hip-VLOOKUP(AZ97,boc_trpr_oc,11,TRUE)*boc_rr_oc_hip-VLOOKUP(AZ97,mortt,2,FALSE))</f>
        <v>#N/A</v>
      </c>
      <c r="BE97" s="289" t="e">
        <f>BE96*(1-VLOOKUP(AZ97,boc_trpr_bc,11,TRUE)*boc_rr_bc_hiv-VLOOKUP(AZ97,boc_trpr_oc,11,TRUE)*boc_rr_oc_hiv-VLOOKUP(AZ97,mortt,2,FALSE))</f>
        <v>#N/A</v>
      </c>
      <c r="BF97" s="289" t="e">
        <f>BF96*(1-VLOOKUP(AZ97,boc_trpr_bc,11,TRUE)*boc_rr_bc_modp-VLOOKUP(AZ97,boc_trpr_oc,11,TRUE)*boc_rr_oc_modp-VLOOKUP(AZ97,mortt,2,FALSE))</f>
        <v>#N/A</v>
      </c>
      <c r="BG97" s="289" t="e">
        <f>BG96*(1-VLOOKUP(AZ97,boc_trpr_bc,11,TRUE)*boc_rr_bc_modv-VLOOKUP(AZ97,boc_trpr_oc,11,TRUE)*boc_rr_oc_modv-VLOOKUP(AZ97,mortt,2,FALSE))</f>
        <v>#N/A</v>
      </c>
      <c r="BH97" s="289" t="e">
        <f>BH96*(1-VLOOKUP(AZ97,boc_trpr_bc,11,TRUE)*boc_rr_bc_lop-VLOOKUP(AZ97,boc_trpr_oc,11,TRUE)*boc_rr_oc_lop-VLOOKUP(AZ97,mortt,2,FALSE))</f>
        <v>#N/A</v>
      </c>
      <c r="BI97" s="289" t="e">
        <f>BI96*(1-VLOOKUP(AZ97,boc_trpr_bc,11,TRUE)*boc_rr_bc_lov-VLOOKUP(AZ97,boc_trpr_oc,11,TRUE)*boc_rr_oc_lov-VLOOKUP(AZ97,mortt,2,FALSE))</f>
        <v>#N/A</v>
      </c>
      <c r="BJ97" s="260" t="e">
        <f>BJ96*(1-VLOOKUP(AZ97,boc_trpr_bc,11,TRUE)*boc_rr_bc_np-VLOOKUP(AZ97,boc_trpr_oc,11,TRUE)*boc_rr_oc_np-VLOOKUP(AZ97,mortt,2,FALSE))</f>
        <v>#N/A</v>
      </c>
      <c r="BK97" s="260" t="e">
        <f>BA96*VLOOKUP(AZ97,boc_trpr_bc,11,TRUE)*boc_rr_bc_mast+BB96*VLOOKUP(AZ97,boc_trpr_bc,11,TRUE)*boc_rr_bc_ooph+BC96*VLOOKUP(AZ97,boc_trpr_bc,11,TRUE)*boc_rr_bc_both+BD96*VLOOKUP(AZ97,boc_trpr_bc,11,TRUE)*boc_rr_bc_hip+BE96*VLOOKUP(AZ97,boc_trpr_bc,11,TRUE)*boc_rr_bc_hiv+BF96*VLOOKUP(AZ97,boc_trpr_bc,11,TRUE)*boc_rr_bc_modp+BG96*VLOOKUP(AZ97,boc_trpr_bc,11,TRUE)*boc_rr_bc_modv+BH96*VLOOKUP(AZ97,boc_trpr_bc,11,TRUE)*boc_rr_bc_lop+BI96*VLOOKUP(AZ97,boc_trpr_bc,11,TRUE)*boc_rr_bc_lov+BJ96*VLOOKUP(AZ97,boc_trpr_bc,11,TRUE)*boc_rr_bc_np</f>
        <v>#N/A</v>
      </c>
      <c r="BL97" s="260" t="e">
        <f>BA96*VLOOKUP(AZ97,boc_trpr_oc,11,TRUE)*boc_rr_oc_mast+BB96*VLOOKUP(AZ97,boc_trpr_oc,11,TRUE)*boc_rr_oc_ooph+BC96*VLOOKUP(AZ97,boc_trpr_oc,11,TRUE)*boc_rr_oc_both+BD96*VLOOKUP(AZ97,boc_trpr_oc,11,TRUE)*boc_rr_oc_hip+BE96*VLOOKUP(AZ97,boc_trpr_oc,11,TRUE)*boc_rr_oc_hiv+BF96*VLOOKUP(AZ97,boc_trpr_oc,11,TRUE)*boc_rr_oc_modp+BG96*VLOOKUP(AZ97,boc_trpr_oc,11,TRUE)*boc_rr_oc_modv+BH96*VLOOKUP(AZ97,boc_trpr_oc,11,TRUE)*boc_rr_oc_lop+BI96*VLOOKUP(AZ97,boc_trpr_oc,11,TRUE)*boc_rr_oc_lov+BJ96*VLOOKUP(AZ97,boc_trpr_oc,11,TRUE)*boc_rr_oc_np</f>
        <v>#N/A</v>
      </c>
      <c r="BM97" s="260" t="e">
        <f>BK96*(1-VLOOKUP(AZ97,boc_trpr_bc_death,20,TRUE))+BL96*(1-VLOOKUP(AZ97,boc_trpr_oc_death,20,TRUE))+BM96*(1-VLOOKUP(AZ97,mortt,2,FALSE)*boc_rr_death_pc)</f>
        <v>#N/A</v>
      </c>
      <c r="BN97" s="260" t="e">
        <f>BN96+SUM(BA96:BJ96)*VLOOKUP(AZ97,mortt,2,FALSE)+BK96*VLOOKUP(AZ97,boc_trpr_bc_death,20,TRUE)+BL96*VLOOKUP(AZ97,boc_trpr_bc_death,20,TRUE)+BM96*VLOOKUP(AZ97,mortt,2,FALSE)*boc_rr_death_pc</f>
        <v>#N/A</v>
      </c>
      <c r="BO97" s="260" t="e">
        <f t="shared" si="41"/>
        <v>#N/A</v>
      </c>
      <c r="BP97" s="118" t="e">
        <f>(boc_cost_mast*SUM(BD97,BF97,BH97)*(boc_tr_mast_path+boc_tr_both_path)+SUM(BE97,BG97,BI97)*(boc_tr_mast_vus+boc_tr_both_vus)+BK97*boc_cost_bc+BL97*boc_cost_oc+BM97*boc_cost_pc+(BK97*VLOOKUP(AZ97,boc_trpr_bc_death,20,TRUE)+BL97*VLOOKUP(AZ97,boc_trpr_oc_death,TRUE)*boc_cost_death))/((1+discount)^AY97)</f>
        <v>#N/A</v>
      </c>
      <c r="BQ97" s="35" t="e">
        <f t="shared" si="65"/>
        <v>#N/A</v>
      </c>
      <c r="BR97" s="35" t="e">
        <f t="shared" si="66"/>
        <v>#N/A</v>
      </c>
      <c r="BS97" s="35"/>
      <c r="CD97" s="138">
        <v>92</v>
      </c>
      <c r="CE97" s="291">
        <v>0.15784999999999999</v>
      </c>
    </row>
    <row r="98" spans="2:83" ht="15" customHeight="1" x14ac:dyDescent="0.2">
      <c r="B98" s="37" t="s">
        <v>11</v>
      </c>
      <c r="C98" s="35">
        <f>IF(psa,J98,IF(owsa_low=L98,F98,IF(owsa_high=L98,G98,IF(ISNUMBER(D98),D98,E98))))</f>
        <v>1.5</v>
      </c>
      <c r="D98" s="158"/>
      <c r="E98" s="35">
        <v>1.5</v>
      </c>
      <c r="F98" s="35">
        <f>MAX(0,IF(ISNUMBER(D98),D98,E98)*(1-owsa_boc))</f>
        <v>1.2000000000000002</v>
      </c>
      <c r="G98" s="35">
        <f>IF(ISNUMBER(D98),D98,E98)*(1+owsa_boc)</f>
        <v>1.7999999999999998</v>
      </c>
      <c r="H98" s="69">
        <f t="shared" si="76"/>
        <v>0.10343687723509751</v>
      </c>
      <c r="I98" s="48"/>
      <c r="J98" s="35">
        <f ca="1">_xlfn.LOGNORM.INV(RAND(),LN(IF(ISNUMBER(D98),D98,E98))-(H98^2)/2,H98)</f>
        <v>1.4968775359893853</v>
      </c>
      <c r="K98" s="12" t="s">
        <v>213</v>
      </c>
      <c r="L98" s="40">
        <v>36</v>
      </c>
      <c r="M98" s="247" t="s">
        <v>256</v>
      </c>
      <c r="N98" s="39" t="s">
        <v>48</v>
      </c>
      <c r="Q98" s="11"/>
      <c r="S98" s="9" t="s">
        <v>13</v>
      </c>
      <c r="T98" s="251">
        <f>boc_path_low_np</f>
        <v>0.63469613300000005</v>
      </c>
      <c r="U98" s="9" t="s">
        <v>8</v>
      </c>
      <c r="V98" s="250">
        <f>boc_unk_int_ooph</f>
        <v>0.01</v>
      </c>
      <c r="Y98" s="261">
        <f>R93*T98*V98</f>
        <v>6.9286235869884009E-5</v>
      </c>
      <c r="AD98" s="12">
        <v>92</v>
      </c>
      <c r="AE98" s="12">
        <f t="shared" si="61"/>
        <v>137</v>
      </c>
      <c r="AF98" s="260" t="e">
        <f>AF97*(1-VLOOKUP(AE98,boc_trpr_bc,11,TRUE)*boc_rr_bc_mast-VLOOKUP(AE98,boc_trpr_oc,11,TRUE)*boc_rr_oc_mast-VLOOKUP(AE98,mortt,2,FALSE))+SUM(AI97,AK97,AM97)*boc_tr_mast_path+SUM(AJ97,AL97,AN97)*boc_tr_mast_vus</f>
        <v>#N/A</v>
      </c>
      <c r="AG98" s="260" t="e">
        <f>AG97*(1-VLOOKUP(AE98,boc_trpr_bc,11,TRUE)*boc_rr_bc_ooph-VLOOKUP(AE98,boc_trpr_oc,11,TRUE)*boc_rr_oc_ooph-VLOOKUP(AE98,mortt,2,FALSE))+SUM(AI97,AK97,AM97)*boc_tr_ooph_path+SUM(AJ97,AL97,AN97)*boc_tr_ooph_vus</f>
        <v>#N/A</v>
      </c>
      <c r="AH98" s="260" t="e">
        <f>AH97*(1-VLOOKUP(AE98,boc_trpr_bc,11,TRUE)*boc_rr_bc_both-VLOOKUP(AE98,boc_trpr_oc,11,TRUE)*boc_rr_oc_both-VLOOKUP(AE98,mortt,2,FALSE))+SUM(AI97,AK97,AM97)*boc_tr_both_path+SUM(AJ97,AL97,AN97)*boc_tr_both_vus</f>
        <v>#N/A</v>
      </c>
      <c r="AI98" s="289" t="e">
        <f>AI97*(1-VLOOKUP(AE98,boc_trpr_bc,11,TRUE)*boc_rr_bc_hip-VLOOKUP(AE98,boc_trpr_oc,11,TRUE)*boc_rr_oc_hip-boc_tr_mast_path-boc_tr_ooph_path-boc_tr_both_path-VLOOKUP(AE98,mortt,2,FALSE))</f>
        <v>#N/A</v>
      </c>
      <c r="AJ98" s="289" t="e">
        <f>AJ97*(1-VLOOKUP(AE98,boc_trpr_bc,11,TRUE)*boc_rr_bc_hiv-VLOOKUP(AE98,boc_trpr_oc,11,TRUE)*boc_rr_oc_hiv-boc_tr_mast_vus-boc_tr_ooph_vus-boc_tr_both_vus-VLOOKUP(AE98,mortt,2,FALSE))</f>
        <v>#N/A</v>
      </c>
      <c r="AK98" s="289" t="e">
        <f>AK97*(1-VLOOKUP(AE98,boc_trpr_bc,11,TRUE)*boc_rr_bc_modp-VLOOKUP(AE98,boc_trpr_oc,11,TRUE)*boc_rr_oc_modp-boc_tr_mast_path-boc_tr_ooph_path-boc_tr_both_path-VLOOKUP(AE98,mortt,2,FALSE))</f>
        <v>#N/A</v>
      </c>
      <c r="AL98" s="289" t="e">
        <f>AL97*(1-VLOOKUP(AE98,boc_trpr_bc,11,TRUE)*boc_rr_bc_modv-VLOOKUP(AE98,boc_trpr_oc,11,TRUE)*boc_rr_oc_modv-boc_tr_mast_vus-boc_tr_ooph_vus-boc_tr_both_vus-VLOOKUP(AE98,mortt,2,FALSE))</f>
        <v>#N/A</v>
      </c>
      <c r="AM98" s="289" t="e">
        <f>AM97*(1-VLOOKUP(AE98,boc_trpr_bc,11,TRUE)*boc_rr_bc_lop-VLOOKUP(AE98,boc_trpr_oc,11,TRUE)*boc_rr_oc_lop-boc_tr_mast_path-boc_tr_ooph_path-boc_tr_both_path-VLOOKUP(AE98,mortt,2,FALSE))</f>
        <v>#N/A</v>
      </c>
      <c r="AN98" s="289" t="e">
        <f>AN97*(1-VLOOKUP(AE98,boc_trpr_bc,11,TRUE)*boc_rr_bc_lov-VLOOKUP(AE98,boc_trpr_oc,11,TRUE)*boc_rr_oc_lov-boc_tr_mast_vus-boc_tr_ooph_vus-boc_tr_both_vus-VLOOKUP(AE98,mortt,2,FALSE))</f>
        <v>#N/A</v>
      </c>
      <c r="AO98" s="260" t="e">
        <f>AO97*(1-VLOOKUP(AE98,boc_trpr_bc,11,TRUE)*boc_rr_bc_np-VLOOKUP(AE98,boc_trpr_oc,11,TRUE)*boc_rr_oc_np-VLOOKUP(AE98,mortt,2,FALSE))</f>
        <v>#N/A</v>
      </c>
      <c r="AP98" s="260" t="e">
        <f>AF97*VLOOKUP(AE98,boc_trpr_bc,11,TRUE)*boc_rr_bc_mast+AG97*VLOOKUP(AE98,boc_trpr_bc,11,TRUE)*boc_rr_bc_ooph+AH97*VLOOKUP(AE98,boc_trpr_bc,11,TRUE)*boc_rr_bc_both+AI97*VLOOKUP(AE98,boc_trpr_bc,11,TRUE)*boc_rr_bc_hip+AJ97*VLOOKUP(AE98,boc_trpr_bc,11,TRUE)*boc_rr_bc_hiv+AK97*VLOOKUP(AE98,boc_trpr_bc,11,TRUE)*boc_rr_bc_modp+AL97*VLOOKUP(AE98,boc_trpr_bc,11,TRUE)*boc_rr_bc_modv+AM97*VLOOKUP(AE98,boc_trpr_bc,11,TRUE)*boc_rr_bc_lop+AN97*VLOOKUP(AE98,boc_trpr_bc,11,TRUE)*boc_rr_bc_lov+AO97*VLOOKUP(AE98,boc_trpr_bc,11,TRUE)*boc_rr_bc_np</f>
        <v>#N/A</v>
      </c>
      <c r="AQ98" s="260" t="e">
        <f>AF97*VLOOKUP(AE98,boc_trpr_oc,11,TRUE)*boc_rr_oc_mast+AG97*VLOOKUP(AE98,boc_trpr_oc,11,TRUE)*boc_rr_oc_ooph+AH97*VLOOKUP(AE98,boc_trpr_oc,11,TRUE)*boc_rr_oc_both+AI97*VLOOKUP(AE98,boc_trpr_oc,11,TRUE)*boc_rr_oc_hip+AJ97*VLOOKUP(AE98,boc_trpr_oc,11,TRUE)*boc_rr_oc_hiv+AK97*VLOOKUP(AE98,boc_trpr_oc,11,TRUE)*boc_rr_oc_modp+AL97*VLOOKUP(AE98,boc_trpr_oc,11,TRUE)*boc_rr_oc_modv+AM97*VLOOKUP(AE98,boc_trpr_oc,11,TRUE)*boc_rr_oc_lop+AN97*VLOOKUP(AE98,boc_trpr_oc,11,TRUE)*boc_rr_oc_lov+AO97*VLOOKUP(AE98,boc_trpr_oc,11,TRUE)*boc_rr_oc_np</f>
        <v>#N/A</v>
      </c>
      <c r="AR98" s="260" t="e">
        <f>AP97*(1-VLOOKUP(AE98,boc_trpr_bc_death,20,TRUE))+AQ97*(1-VLOOKUP(AE98,boc_trpr_oc_death,20,TRUE))+AR97*(1-VLOOKUP(AE98,mortt,2,FALSE)*boc_rr_death_pc)</f>
        <v>#N/A</v>
      </c>
      <c r="AS98" s="260" t="e">
        <f>AS97+SUM(AF97:AO97)*VLOOKUP(AE98,mortt,2,FALSE)+AP97*VLOOKUP(AE98,boc_trpr_bc_death,20,TRUE)+AQ97*VLOOKUP(AE98,boc_trpr_bc_death,20,TRUE)+AR97*VLOOKUP(AE98,mortt,2,FALSE)*boc_rr_death_pc</f>
        <v>#N/A</v>
      </c>
      <c r="AT98" s="260" t="e">
        <f t="shared" si="52"/>
        <v>#N/A</v>
      </c>
      <c r="AU98" s="118" t="e">
        <f>(boc_cost_mast*SUM(AI98,AK98,AM98)*(boc_tr_mast_path+boc_tr_both_path)+SUM(AJ98,AL98,AN98)*(boc_tr_mast_vus+boc_tr_both_vus)+AP98*boc_cost_bc+AQ98*boc_cost_oc+AR98*boc_cost_pc+(AP98*VLOOKUP(AE98,boc_trpr_bc_death,20,TRUE)+AQ98*VLOOKUP(AE98,boc_trpr_oc_death,TRUE)*boc_cost_death))/((1+discount)^AD98)</f>
        <v>#N/A</v>
      </c>
      <c r="AV98" s="35" t="e">
        <f t="shared" si="62"/>
        <v>#N/A</v>
      </c>
      <c r="AW98" s="35" t="e">
        <f t="shared" si="63"/>
        <v>#N/A</v>
      </c>
      <c r="AY98" s="12">
        <v>92</v>
      </c>
      <c r="AZ98" s="12">
        <f t="shared" si="64"/>
        <v>137</v>
      </c>
      <c r="BA98" s="260" t="e">
        <f>BA97*(1-VLOOKUP(AZ98,boc_trpr_bc,11,TRUE)*boc_rr_bc_mast-VLOOKUP(AZ98,boc_trpr_oc,11,TRUE)*boc_rr_oc_mast-VLOOKUP(AZ98,mortt,2,FALSE))</f>
        <v>#N/A</v>
      </c>
      <c r="BB98" s="260" t="e">
        <f>BB97*(1-VLOOKUP(AZ98,boc_trpr_bc,11,TRUE)*boc_rr_bc_ooph-VLOOKUP(AZ98,boc_trpr_oc,11,TRUE)*boc_rr_oc_ooph-VLOOKUP(AZ98,mortt,2,FALSE))</f>
        <v>#N/A</v>
      </c>
      <c r="BC98" s="260" t="e">
        <f>BC97*(1-VLOOKUP(AZ98,boc_trpr_bc,11,TRUE)*boc_rr_bc_both-VLOOKUP(AZ98,boc_trpr_oc,11,TRUE)*boc_rr_oc_both-VLOOKUP(AZ98,mortt,2,FALSE))</f>
        <v>#N/A</v>
      </c>
      <c r="BD98" s="289" t="e">
        <f>BD97*(1-VLOOKUP(AZ98,boc_trpr_bc,11,TRUE)*boc_rr_bc_hip-VLOOKUP(AZ98,boc_trpr_oc,11,TRUE)*boc_rr_oc_hip-VLOOKUP(AZ98,mortt,2,FALSE))</f>
        <v>#N/A</v>
      </c>
      <c r="BE98" s="289" t="e">
        <f>BE97*(1-VLOOKUP(AZ98,boc_trpr_bc,11,TRUE)*boc_rr_bc_hiv-VLOOKUP(AZ98,boc_trpr_oc,11,TRUE)*boc_rr_oc_hiv-VLOOKUP(AZ98,mortt,2,FALSE))</f>
        <v>#N/A</v>
      </c>
      <c r="BF98" s="289" t="e">
        <f>BF97*(1-VLOOKUP(AZ98,boc_trpr_bc,11,TRUE)*boc_rr_bc_modp-VLOOKUP(AZ98,boc_trpr_oc,11,TRUE)*boc_rr_oc_modp-VLOOKUP(AZ98,mortt,2,FALSE))</f>
        <v>#N/A</v>
      </c>
      <c r="BG98" s="289" t="e">
        <f>BG97*(1-VLOOKUP(AZ98,boc_trpr_bc,11,TRUE)*boc_rr_bc_modv-VLOOKUP(AZ98,boc_trpr_oc,11,TRUE)*boc_rr_oc_modv-VLOOKUP(AZ98,mortt,2,FALSE))</f>
        <v>#N/A</v>
      </c>
      <c r="BH98" s="289" t="e">
        <f>BH97*(1-VLOOKUP(AZ98,boc_trpr_bc,11,TRUE)*boc_rr_bc_lop-VLOOKUP(AZ98,boc_trpr_oc,11,TRUE)*boc_rr_oc_lop-VLOOKUP(AZ98,mortt,2,FALSE))</f>
        <v>#N/A</v>
      </c>
      <c r="BI98" s="289" t="e">
        <f>BI97*(1-VLOOKUP(AZ98,boc_trpr_bc,11,TRUE)*boc_rr_bc_lov-VLOOKUP(AZ98,boc_trpr_oc,11,TRUE)*boc_rr_oc_lov-VLOOKUP(AZ98,mortt,2,FALSE))</f>
        <v>#N/A</v>
      </c>
      <c r="BJ98" s="260" t="e">
        <f>BJ97*(1-VLOOKUP(AZ98,boc_trpr_bc,11,TRUE)*boc_rr_bc_np-VLOOKUP(AZ98,boc_trpr_oc,11,TRUE)*boc_rr_oc_np-VLOOKUP(AZ98,mortt,2,FALSE))</f>
        <v>#N/A</v>
      </c>
      <c r="BK98" s="260" t="e">
        <f>BA97*VLOOKUP(AZ98,boc_trpr_bc,11,TRUE)*boc_rr_bc_mast+BB97*VLOOKUP(AZ98,boc_trpr_bc,11,TRUE)*boc_rr_bc_ooph+BC97*VLOOKUP(AZ98,boc_trpr_bc,11,TRUE)*boc_rr_bc_both+BD97*VLOOKUP(AZ98,boc_trpr_bc,11,TRUE)*boc_rr_bc_hip+BE97*VLOOKUP(AZ98,boc_trpr_bc,11,TRUE)*boc_rr_bc_hiv+BF97*VLOOKUP(AZ98,boc_trpr_bc,11,TRUE)*boc_rr_bc_modp+BG97*VLOOKUP(AZ98,boc_trpr_bc,11,TRUE)*boc_rr_bc_modv+BH97*VLOOKUP(AZ98,boc_trpr_bc,11,TRUE)*boc_rr_bc_lop+BI97*VLOOKUP(AZ98,boc_trpr_bc,11,TRUE)*boc_rr_bc_lov+BJ97*VLOOKUP(AZ98,boc_trpr_bc,11,TRUE)*boc_rr_bc_np</f>
        <v>#N/A</v>
      </c>
      <c r="BL98" s="260" t="e">
        <f>BA97*VLOOKUP(AZ98,boc_trpr_oc,11,TRUE)*boc_rr_oc_mast+BB97*VLOOKUP(AZ98,boc_trpr_oc,11,TRUE)*boc_rr_oc_ooph+BC97*VLOOKUP(AZ98,boc_trpr_oc,11,TRUE)*boc_rr_oc_both+BD97*VLOOKUP(AZ98,boc_trpr_oc,11,TRUE)*boc_rr_oc_hip+BE97*VLOOKUP(AZ98,boc_trpr_oc,11,TRUE)*boc_rr_oc_hiv+BF97*VLOOKUP(AZ98,boc_trpr_oc,11,TRUE)*boc_rr_oc_modp+BG97*VLOOKUP(AZ98,boc_trpr_oc,11,TRUE)*boc_rr_oc_modv+BH97*VLOOKUP(AZ98,boc_trpr_oc,11,TRUE)*boc_rr_oc_lop+BI97*VLOOKUP(AZ98,boc_trpr_oc,11,TRUE)*boc_rr_oc_lov+BJ97*VLOOKUP(AZ98,boc_trpr_oc,11,TRUE)*boc_rr_oc_np</f>
        <v>#N/A</v>
      </c>
      <c r="BM98" s="260" t="e">
        <f>BK97*(1-VLOOKUP(AZ98,boc_trpr_bc_death,20,TRUE))+BL97*(1-VLOOKUP(AZ98,boc_trpr_oc_death,20,TRUE))+BM97*(1-VLOOKUP(AZ98,mortt,2,FALSE)*boc_rr_death_pc)</f>
        <v>#N/A</v>
      </c>
      <c r="BN98" s="260" t="e">
        <f>BN97+SUM(BA97:BJ97)*VLOOKUP(AZ98,mortt,2,FALSE)+BK97*VLOOKUP(AZ98,boc_trpr_bc_death,20,TRUE)+BL97*VLOOKUP(AZ98,boc_trpr_bc_death,20,TRUE)+BM97*VLOOKUP(AZ98,mortt,2,FALSE)*boc_rr_death_pc</f>
        <v>#N/A</v>
      </c>
      <c r="BO98" s="260" t="e">
        <f t="shared" si="41"/>
        <v>#N/A</v>
      </c>
      <c r="BP98" s="118" t="e">
        <f>(boc_cost_mast*SUM(BD98,BF98,BH98)*(boc_tr_mast_path+boc_tr_both_path)+SUM(BE98,BG98,BI98)*(boc_tr_mast_vus+boc_tr_both_vus)+BK98*boc_cost_bc+BL98*boc_cost_oc+BM98*boc_cost_pc+(BK98*VLOOKUP(AZ98,boc_trpr_bc_death,20,TRUE)+BL98*VLOOKUP(AZ98,boc_trpr_oc_death,TRUE)*boc_cost_death))/((1+discount)^AY98)</f>
        <v>#N/A</v>
      </c>
      <c r="BQ98" s="35" t="e">
        <f t="shared" si="65"/>
        <v>#N/A</v>
      </c>
      <c r="BR98" s="35" t="e">
        <f t="shared" si="66"/>
        <v>#N/A</v>
      </c>
      <c r="BS98" s="35"/>
      <c r="CD98" s="138">
        <v>93</v>
      </c>
      <c r="CE98" s="291">
        <v>0.17441000000000001</v>
      </c>
    </row>
    <row r="99" spans="2:83" ht="15" customHeight="1" x14ac:dyDescent="0.2">
      <c r="B99" s="37" t="s">
        <v>12</v>
      </c>
      <c r="C99" s="35">
        <f>IF(psa,J99,IF(owsa_low=L99,F99,IF(owsa_high=L99,G99,IF(ISNUMBER(D99),D99,E99))))</f>
        <v>1.1000000000000001</v>
      </c>
      <c r="D99" s="158"/>
      <c r="E99" s="35">
        <v>1.1000000000000001</v>
      </c>
      <c r="F99" s="35">
        <f>MAX(0,IF(ISNUMBER(D99),D99,E99)*(1-owsa_boc))</f>
        <v>0.88000000000000012</v>
      </c>
      <c r="G99" s="35">
        <f>IF(ISNUMBER(D99),D99,E99)*(1+owsa_boc)</f>
        <v>1.32</v>
      </c>
      <c r="H99" s="69">
        <f t="shared" si="76"/>
        <v>0.10343687723509755</v>
      </c>
      <c r="I99" s="48"/>
      <c r="J99" s="35">
        <f ca="1">_xlfn.LOGNORM.INV(RAND(),LN(IF(ISNUMBER(D99),D99,E99))-(H99^2)/2,H99)</f>
        <v>1.1342066471874157</v>
      </c>
      <c r="K99" s="12" t="s">
        <v>213</v>
      </c>
      <c r="L99" s="40">
        <v>37</v>
      </c>
      <c r="M99" s="247" t="s">
        <v>257</v>
      </c>
      <c r="N99" s="39" t="s">
        <v>48</v>
      </c>
      <c r="Q99" s="11"/>
      <c r="U99" s="9" t="s">
        <v>6</v>
      </c>
      <c r="V99" s="250">
        <f>boc_unk_int_both</f>
        <v>0.01</v>
      </c>
      <c r="Z99" s="261">
        <f>R93*T98*V99</f>
        <v>6.9286235869884009E-5</v>
      </c>
      <c r="AD99" s="12">
        <v>93</v>
      </c>
      <c r="AE99" s="12">
        <f t="shared" si="61"/>
        <v>138</v>
      </c>
      <c r="AF99" s="260" t="e">
        <f>AF98*(1-VLOOKUP(AE99,boc_trpr_bc,11,TRUE)*boc_rr_bc_mast-VLOOKUP(AE99,boc_trpr_oc,11,TRUE)*boc_rr_oc_mast-VLOOKUP(AE99,mortt,2,FALSE))+SUM(AI98,AK98,AM98)*boc_tr_mast_path+SUM(AJ98,AL98,AN98)*boc_tr_mast_vus</f>
        <v>#N/A</v>
      </c>
      <c r="AG99" s="260" t="e">
        <f>AG98*(1-VLOOKUP(AE99,boc_trpr_bc,11,TRUE)*boc_rr_bc_ooph-VLOOKUP(AE99,boc_trpr_oc,11,TRUE)*boc_rr_oc_ooph-VLOOKUP(AE99,mortt,2,FALSE))+SUM(AI98,AK98,AM98)*boc_tr_ooph_path+SUM(AJ98,AL98,AN98)*boc_tr_ooph_vus</f>
        <v>#N/A</v>
      </c>
      <c r="AH99" s="260" t="e">
        <f>AH98*(1-VLOOKUP(AE99,boc_trpr_bc,11,TRUE)*boc_rr_bc_both-VLOOKUP(AE99,boc_trpr_oc,11,TRUE)*boc_rr_oc_both-VLOOKUP(AE99,mortt,2,FALSE))+SUM(AI98,AK98,AM98)*boc_tr_both_path+SUM(AJ98,AL98,AN98)*boc_tr_both_vus</f>
        <v>#N/A</v>
      </c>
      <c r="AI99" s="289" t="e">
        <f>AI98*(1-VLOOKUP(AE99,boc_trpr_bc,11,TRUE)*boc_rr_bc_hip-VLOOKUP(AE99,boc_trpr_oc,11,TRUE)*boc_rr_oc_hip-boc_tr_mast_path-boc_tr_ooph_path-boc_tr_both_path-VLOOKUP(AE99,mortt,2,FALSE))</f>
        <v>#N/A</v>
      </c>
      <c r="AJ99" s="289" t="e">
        <f>AJ98*(1-VLOOKUP(AE99,boc_trpr_bc,11,TRUE)*boc_rr_bc_hiv-VLOOKUP(AE99,boc_trpr_oc,11,TRUE)*boc_rr_oc_hiv-boc_tr_mast_vus-boc_tr_ooph_vus-boc_tr_both_vus-VLOOKUP(AE99,mortt,2,FALSE))</f>
        <v>#N/A</v>
      </c>
      <c r="AK99" s="289" t="e">
        <f>AK98*(1-VLOOKUP(AE99,boc_trpr_bc,11,TRUE)*boc_rr_bc_modp-VLOOKUP(AE99,boc_trpr_oc,11,TRUE)*boc_rr_oc_modp-boc_tr_mast_path-boc_tr_ooph_path-boc_tr_both_path-VLOOKUP(AE99,mortt,2,FALSE))</f>
        <v>#N/A</v>
      </c>
      <c r="AL99" s="289" t="e">
        <f>AL98*(1-VLOOKUP(AE99,boc_trpr_bc,11,TRUE)*boc_rr_bc_modv-VLOOKUP(AE99,boc_trpr_oc,11,TRUE)*boc_rr_oc_modv-boc_tr_mast_vus-boc_tr_ooph_vus-boc_tr_both_vus-VLOOKUP(AE99,mortt,2,FALSE))</f>
        <v>#N/A</v>
      </c>
      <c r="AM99" s="289" t="e">
        <f>AM98*(1-VLOOKUP(AE99,boc_trpr_bc,11,TRUE)*boc_rr_bc_lop-VLOOKUP(AE99,boc_trpr_oc,11,TRUE)*boc_rr_oc_lop-boc_tr_mast_path-boc_tr_ooph_path-boc_tr_both_path-VLOOKUP(AE99,mortt,2,FALSE))</f>
        <v>#N/A</v>
      </c>
      <c r="AN99" s="289" t="e">
        <f>AN98*(1-VLOOKUP(AE99,boc_trpr_bc,11,TRUE)*boc_rr_bc_lov-VLOOKUP(AE99,boc_trpr_oc,11,TRUE)*boc_rr_oc_lov-boc_tr_mast_vus-boc_tr_ooph_vus-boc_tr_both_vus-VLOOKUP(AE99,mortt,2,FALSE))</f>
        <v>#N/A</v>
      </c>
      <c r="AO99" s="260" t="e">
        <f>AO98*(1-VLOOKUP(AE99,boc_trpr_bc,11,TRUE)*boc_rr_bc_np-VLOOKUP(AE99,boc_trpr_oc,11,TRUE)*boc_rr_oc_np-VLOOKUP(AE99,mortt,2,FALSE))</f>
        <v>#N/A</v>
      </c>
      <c r="AP99" s="260" t="e">
        <f>AF98*VLOOKUP(AE99,boc_trpr_bc,11,TRUE)*boc_rr_bc_mast+AG98*VLOOKUP(AE99,boc_trpr_bc,11,TRUE)*boc_rr_bc_ooph+AH98*VLOOKUP(AE99,boc_trpr_bc,11,TRUE)*boc_rr_bc_both+AI98*VLOOKUP(AE99,boc_trpr_bc,11,TRUE)*boc_rr_bc_hip+AJ98*VLOOKUP(AE99,boc_trpr_bc,11,TRUE)*boc_rr_bc_hiv+AK98*VLOOKUP(AE99,boc_trpr_bc,11,TRUE)*boc_rr_bc_modp+AL98*VLOOKUP(AE99,boc_trpr_bc,11,TRUE)*boc_rr_bc_modv+AM98*VLOOKUP(AE99,boc_trpr_bc,11,TRUE)*boc_rr_bc_lop+AN98*VLOOKUP(AE99,boc_trpr_bc,11,TRUE)*boc_rr_bc_lov+AO98*VLOOKUP(AE99,boc_trpr_bc,11,TRUE)*boc_rr_bc_np</f>
        <v>#N/A</v>
      </c>
      <c r="AQ99" s="260" t="e">
        <f>AF98*VLOOKUP(AE99,boc_trpr_oc,11,TRUE)*boc_rr_oc_mast+AG98*VLOOKUP(AE99,boc_trpr_oc,11,TRUE)*boc_rr_oc_ooph+AH98*VLOOKUP(AE99,boc_trpr_oc,11,TRUE)*boc_rr_oc_both+AI98*VLOOKUP(AE99,boc_trpr_oc,11,TRUE)*boc_rr_oc_hip+AJ98*VLOOKUP(AE99,boc_trpr_oc,11,TRUE)*boc_rr_oc_hiv+AK98*VLOOKUP(AE99,boc_trpr_oc,11,TRUE)*boc_rr_oc_modp+AL98*VLOOKUP(AE99,boc_trpr_oc,11,TRUE)*boc_rr_oc_modv+AM98*VLOOKUP(AE99,boc_trpr_oc,11,TRUE)*boc_rr_oc_lop+AN98*VLOOKUP(AE99,boc_trpr_oc,11,TRUE)*boc_rr_oc_lov+AO98*VLOOKUP(AE99,boc_trpr_oc,11,TRUE)*boc_rr_oc_np</f>
        <v>#N/A</v>
      </c>
      <c r="AR99" s="260" t="e">
        <f>AP98*(1-VLOOKUP(AE99,boc_trpr_bc_death,20,TRUE))+AQ98*(1-VLOOKUP(AE99,boc_trpr_oc_death,20,TRUE))+AR98*(1-VLOOKUP(AE99,mortt,2,FALSE)*boc_rr_death_pc)</f>
        <v>#N/A</v>
      </c>
      <c r="AS99" s="260" t="e">
        <f>AS98+SUM(AF98:AO98)*VLOOKUP(AE99,mortt,2,FALSE)+AP98*VLOOKUP(AE99,boc_trpr_bc_death,20,TRUE)+AQ98*VLOOKUP(AE99,boc_trpr_bc_death,20,TRUE)+AR98*VLOOKUP(AE99,mortt,2,FALSE)*boc_rr_death_pc</f>
        <v>#N/A</v>
      </c>
      <c r="AT99" s="260" t="e">
        <f t="shared" si="52"/>
        <v>#N/A</v>
      </c>
      <c r="AU99" s="118" t="e">
        <f>(boc_cost_mast*SUM(AI99,AK99,AM99)*(boc_tr_mast_path+boc_tr_both_path)+SUM(AJ99,AL99,AN99)*(boc_tr_mast_vus+boc_tr_both_vus)+AP99*boc_cost_bc+AQ99*boc_cost_oc+AR99*boc_cost_pc+(AP99*VLOOKUP(AE99,boc_trpr_bc_death,20,TRUE)+AQ99*VLOOKUP(AE99,boc_trpr_oc_death,TRUE)*boc_cost_death))/((1+discount)^AD99)</f>
        <v>#N/A</v>
      </c>
      <c r="AV99" s="35" t="e">
        <f t="shared" si="62"/>
        <v>#N/A</v>
      </c>
      <c r="AW99" s="35" t="e">
        <f t="shared" si="63"/>
        <v>#N/A</v>
      </c>
      <c r="AY99" s="12">
        <v>93</v>
      </c>
      <c r="AZ99" s="12">
        <f t="shared" si="64"/>
        <v>138</v>
      </c>
      <c r="BA99" s="260" t="e">
        <f>BA98*(1-VLOOKUP(AZ99,boc_trpr_bc,11,TRUE)*boc_rr_bc_mast-VLOOKUP(AZ99,boc_trpr_oc,11,TRUE)*boc_rr_oc_mast-VLOOKUP(AZ99,mortt,2,FALSE))</f>
        <v>#N/A</v>
      </c>
      <c r="BB99" s="260" t="e">
        <f>BB98*(1-VLOOKUP(AZ99,boc_trpr_bc,11,TRUE)*boc_rr_bc_ooph-VLOOKUP(AZ99,boc_trpr_oc,11,TRUE)*boc_rr_oc_ooph-VLOOKUP(AZ99,mortt,2,FALSE))</f>
        <v>#N/A</v>
      </c>
      <c r="BC99" s="260" t="e">
        <f>BC98*(1-VLOOKUP(AZ99,boc_trpr_bc,11,TRUE)*boc_rr_bc_both-VLOOKUP(AZ99,boc_trpr_oc,11,TRUE)*boc_rr_oc_both-VLOOKUP(AZ99,mortt,2,FALSE))</f>
        <v>#N/A</v>
      </c>
      <c r="BD99" s="289" t="e">
        <f>BD98*(1-VLOOKUP(AZ99,boc_trpr_bc,11,TRUE)*boc_rr_bc_hip-VLOOKUP(AZ99,boc_trpr_oc,11,TRUE)*boc_rr_oc_hip-VLOOKUP(AZ99,mortt,2,FALSE))</f>
        <v>#N/A</v>
      </c>
      <c r="BE99" s="289" t="e">
        <f>BE98*(1-VLOOKUP(AZ99,boc_trpr_bc,11,TRUE)*boc_rr_bc_hiv-VLOOKUP(AZ99,boc_trpr_oc,11,TRUE)*boc_rr_oc_hiv-VLOOKUP(AZ99,mortt,2,FALSE))</f>
        <v>#N/A</v>
      </c>
      <c r="BF99" s="289" t="e">
        <f>BF98*(1-VLOOKUP(AZ99,boc_trpr_bc,11,TRUE)*boc_rr_bc_modp-VLOOKUP(AZ99,boc_trpr_oc,11,TRUE)*boc_rr_oc_modp-VLOOKUP(AZ99,mortt,2,FALSE))</f>
        <v>#N/A</v>
      </c>
      <c r="BG99" s="289" t="e">
        <f>BG98*(1-VLOOKUP(AZ99,boc_trpr_bc,11,TRUE)*boc_rr_bc_modv-VLOOKUP(AZ99,boc_trpr_oc,11,TRUE)*boc_rr_oc_modv-VLOOKUP(AZ99,mortt,2,FALSE))</f>
        <v>#N/A</v>
      </c>
      <c r="BH99" s="289" t="e">
        <f>BH98*(1-VLOOKUP(AZ99,boc_trpr_bc,11,TRUE)*boc_rr_bc_lop-VLOOKUP(AZ99,boc_trpr_oc,11,TRUE)*boc_rr_oc_lop-VLOOKUP(AZ99,mortt,2,FALSE))</f>
        <v>#N/A</v>
      </c>
      <c r="BI99" s="289" t="e">
        <f>BI98*(1-VLOOKUP(AZ99,boc_trpr_bc,11,TRUE)*boc_rr_bc_lov-VLOOKUP(AZ99,boc_trpr_oc,11,TRUE)*boc_rr_oc_lov-VLOOKUP(AZ99,mortt,2,FALSE))</f>
        <v>#N/A</v>
      </c>
      <c r="BJ99" s="260" t="e">
        <f>BJ98*(1-VLOOKUP(AZ99,boc_trpr_bc,11,TRUE)*boc_rr_bc_np-VLOOKUP(AZ99,boc_trpr_oc,11,TRUE)*boc_rr_oc_np-VLOOKUP(AZ99,mortt,2,FALSE))</f>
        <v>#N/A</v>
      </c>
      <c r="BK99" s="260" t="e">
        <f>BA98*VLOOKUP(AZ99,boc_trpr_bc,11,TRUE)*boc_rr_bc_mast+BB98*VLOOKUP(AZ99,boc_trpr_bc,11,TRUE)*boc_rr_bc_ooph+BC98*VLOOKUP(AZ99,boc_trpr_bc,11,TRUE)*boc_rr_bc_both+BD98*VLOOKUP(AZ99,boc_trpr_bc,11,TRUE)*boc_rr_bc_hip+BE98*VLOOKUP(AZ99,boc_trpr_bc,11,TRUE)*boc_rr_bc_hiv+BF98*VLOOKUP(AZ99,boc_trpr_bc,11,TRUE)*boc_rr_bc_modp+BG98*VLOOKUP(AZ99,boc_trpr_bc,11,TRUE)*boc_rr_bc_modv+BH98*VLOOKUP(AZ99,boc_trpr_bc,11,TRUE)*boc_rr_bc_lop+BI98*VLOOKUP(AZ99,boc_trpr_bc,11,TRUE)*boc_rr_bc_lov+BJ98*VLOOKUP(AZ99,boc_trpr_bc,11,TRUE)*boc_rr_bc_np</f>
        <v>#N/A</v>
      </c>
      <c r="BL99" s="260" t="e">
        <f>BA98*VLOOKUP(AZ99,boc_trpr_oc,11,TRUE)*boc_rr_oc_mast+BB98*VLOOKUP(AZ99,boc_trpr_oc,11,TRUE)*boc_rr_oc_ooph+BC98*VLOOKUP(AZ99,boc_trpr_oc,11,TRUE)*boc_rr_oc_both+BD98*VLOOKUP(AZ99,boc_trpr_oc,11,TRUE)*boc_rr_oc_hip+BE98*VLOOKUP(AZ99,boc_trpr_oc,11,TRUE)*boc_rr_oc_hiv+BF98*VLOOKUP(AZ99,boc_trpr_oc,11,TRUE)*boc_rr_oc_modp+BG98*VLOOKUP(AZ99,boc_trpr_oc,11,TRUE)*boc_rr_oc_modv+BH98*VLOOKUP(AZ99,boc_trpr_oc,11,TRUE)*boc_rr_oc_lop+BI98*VLOOKUP(AZ99,boc_trpr_oc,11,TRUE)*boc_rr_oc_lov+BJ98*VLOOKUP(AZ99,boc_trpr_oc,11,TRUE)*boc_rr_oc_np</f>
        <v>#N/A</v>
      </c>
      <c r="BM99" s="260" t="e">
        <f>BK98*(1-VLOOKUP(AZ99,boc_trpr_bc_death,20,TRUE))+BL98*(1-VLOOKUP(AZ99,boc_trpr_oc_death,20,TRUE))+BM98*(1-VLOOKUP(AZ99,mortt,2,FALSE)*boc_rr_death_pc)</f>
        <v>#N/A</v>
      </c>
      <c r="BN99" s="260" t="e">
        <f>BN98+SUM(BA98:BJ98)*VLOOKUP(AZ99,mortt,2,FALSE)+BK98*VLOOKUP(AZ99,boc_trpr_bc_death,20,TRUE)+BL98*VLOOKUP(AZ99,boc_trpr_bc_death,20,TRUE)+BM98*VLOOKUP(AZ99,mortt,2,FALSE)*boc_rr_death_pc</f>
        <v>#N/A</v>
      </c>
      <c r="BO99" s="260" t="e">
        <f t="shared" ref="BO99:BO106" si="77">SUM(BA99:BN99)</f>
        <v>#N/A</v>
      </c>
      <c r="BP99" s="118" t="e">
        <f>(boc_cost_mast*SUM(BD99,BF99,BH99)*(boc_tr_mast_path+boc_tr_both_path)+SUM(BE99,BG99,BI99)*(boc_tr_mast_vus+boc_tr_both_vus)+BK99*boc_cost_bc+BL99*boc_cost_oc+BM99*boc_cost_pc+(BK99*VLOOKUP(AZ99,boc_trpr_bc_death,20,TRUE)+BL99*VLOOKUP(AZ99,boc_trpr_oc_death,TRUE)*boc_cost_death))/((1+discount)^AY99)</f>
        <v>#N/A</v>
      </c>
      <c r="BQ99" s="35" t="e">
        <f t="shared" si="65"/>
        <v>#N/A</v>
      </c>
      <c r="BR99" s="35" t="e">
        <f t="shared" si="66"/>
        <v>#N/A</v>
      </c>
      <c r="BS99" s="35"/>
      <c r="CD99" s="138">
        <v>94</v>
      </c>
      <c r="CE99" s="291">
        <v>0.192051</v>
      </c>
    </row>
    <row r="100" spans="2:83" ht="15" customHeight="1" x14ac:dyDescent="0.2">
      <c r="B100" s="19" t="s">
        <v>219</v>
      </c>
      <c r="C100" s="35">
        <f>IF(psa,J100,IF(owsa_low=L100,F100,IF(owsa_high=L100,G100,IF(ISNUMBER(D100),D100,E100))))</f>
        <v>1</v>
      </c>
      <c r="D100" s="158"/>
      <c r="E100" s="35">
        <v>1</v>
      </c>
      <c r="F100" s="35">
        <f>MAX(0,IF(ISNUMBER(D100),D100,E100)*(1-owsa_boc))</f>
        <v>0.8</v>
      </c>
      <c r="G100" s="35">
        <f>IF(ISNUMBER(D100),D100,E100)*(1+owsa_boc)</f>
        <v>1.2</v>
      </c>
      <c r="H100" s="69">
        <f t="shared" si="76"/>
        <v>0.10343687723509754</v>
      </c>
      <c r="I100" s="48"/>
      <c r="J100" s="35">
        <f ca="1">_xlfn.LOGNORM.INV(RAND(),LN(IF(ISNUMBER(D100),D100,E100))-(H100^2)/2,H100)</f>
        <v>1.117085514344194</v>
      </c>
      <c r="K100" s="12" t="s">
        <v>213</v>
      </c>
      <c r="L100" s="40">
        <v>38</v>
      </c>
      <c r="M100" s="247" t="s">
        <v>258</v>
      </c>
      <c r="N100" s="39" t="s">
        <v>48</v>
      </c>
      <c r="Q100" s="11"/>
      <c r="U100" s="9" t="s">
        <v>9</v>
      </c>
      <c r="V100" s="250">
        <f>1-SUM(V97,V98,V99)</f>
        <v>0.97</v>
      </c>
      <c r="AA100" s="261">
        <f>R93*T98*V100</f>
        <v>6.7207648793787484E-3</v>
      </c>
      <c r="AD100" s="12">
        <v>94</v>
      </c>
      <c r="AE100" s="12">
        <f t="shared" si="61"/>
        <v>139</v>
      </c>
      <c r="AF100" s="260" t="e">
        <f>AF99*(1-VLOOKUP(AE100,boc_trpr_bc,11,TRUE)*boc_rr_bc_mast-VLOOKUP(AE100,boc_trpr_oc,11,TRUE)*boc_rr_oc_mast-VLOOKUP(AE100,mortt,2,FALSE))+SUM(AI99,AK99,AM99)*boc_tr_mast_path+SUM(AJ99,AL99,AN99)*boc_tr_mast_vus</f>
        <v>#N/A</v>
      </c>
      <c r="AG100" s="260" t="e">
        <f>AG99*(1-VLOOKUP(AE100,boc_trpr_bc,11,TRUE)*boc_rr_bc_ooph-VLOOKUP(AE100,boc_trpr_oc,11,TRUE)*boc_rr_oc_ooph-VLOOKUP(AE100,mortt,2,FALSE))+SUM(AI99,AK99,AM99)*boc_tr_ooph_path+SUM(AJ99,AL99,AN99)*boc_tr_ooph_vus</f>
        <v>#N/A</v>
      </c>
      <c r="AH100" s="260" t="e">
        <f>AH99*(1-VLOOKUP(AE100,boc_trpr_bc,11,TRUE)*boc_rr_bc_both-VLOOKUP(AE100,boc_trpr_oc,11,TRUE)*boc_rr_oc_both-VLOOKUP(AE100,mortt,2,FALSE))+SUM(AI99,AK99,AM99)*boc_tr_both_path+SUM(AJ99,AL99,AN99)*boc_tr_both_vus</f>
        <v>#N/A</v>
      </c>
      <c r="AI100" s="289" t="e">
        <f>AI99*(1-VLOOKUP(AE100,boc_trpr_bc,11,TRUE)*boc_rr_bc_hip-VLOOKUP(AE100,boc_trpr_oc,11,TRUE)*boc_rr_oc_hip-boc_tr_mast_path-boc_tr_ooph_path-boc_tr_both_path-VLOOKUP(AE100,mortt,2,FALSE))</f>
        <v>#N/A</v>
      </c>
      <c r="AJ100" s="289" t="e">
        <f>AJ99*(1-VLOOKUP(AE100,boc_trpr_bc,11,TRUE)*boc_rr_bc_hiv-VLOOKUP(AE100,boc_trpr_oc,11,TRUE)*boc_rr_oc_hiv-boc_tr_mast_vus-boc_tr_ooph_vus-boc_tr_both_vus-VLOOKUP(AE100,mortt,2,FALSE))</f>
        <v>#N/A</v>
      </c>
      <c r="AK100" s="289" t="e">
        <f>AK99*(1-VLOOKUP(AE100,boc_trpr_bc,11,TRUE)*boc_rr_bc_modp-VLOOKUP(AE100,boc_trpr_oc,11,TRUE)*boc_rr_oc_modp-boc_tr_mast_path-boc_tr_ooph_path-boc_tr_both_path-VLOOKUP(AE100,mortt,2,FALSE))</f>
        <v>#N/A</v>
      </c>
      <c r="AL100" s="289" t="e">
        <f>AL99*(1-VLOOKUP(AE100,boc_trpr_bc,11,TRUE)*boc_rr_bc_modv-VLOOKUP(AE100,boc_trpr_oc,11,TRUE)*boc_rr_oc_modv-boc_tr_mast_vus-boc_tr_ooph_vus-boc_tr_both_vus-VLOOKUP(AE100,mortt,2,FALSE))</f>
        <v>#N/A</v>
      </c>
      <c r="AM100" s="289" t="e">
        <f>AM99*(1-VLOOKUP(AE100,boc_trpr_bc,11,TRUE)*boc_rr_bc_lop-VLOOKUP(AE100,boc_trpr_oc,11,TRUE)*boc_rr_oc_lop-boc_tr_mast_path-boc_tr_ooph_path-boc_tr_both_path-VLOOKUP(AE100,mortt,2,FALSE))</f>
        <v>#N/A</v>
      </c>
      <c r="AN100" s="289" t="e">
        <f>AN99*(1-VLOOKUP(AE100,boc_trpr_bc,11,TRUE)*boc_rr_bc_lov-VLOOKUP(AE100,boc_trpr_oc,11,TRUE)*boc_rr_oc_lov-boc_tr_mast_vus-boc_tr_ooph_vus-boc_tr_both_vus-VLOOKUP(AE100,mortt,2,FALSE))</f>
        <v>#N/A</v>
      </c>
      <c r="AO100" s="260" t="e">
        <f>AO99*(1-VLOOKUP(AE100,boc_trpr_bc,11,TRUE)*boc_rr_bc_np-VLOOKUP(AE100,boc_trpr_oc,11,TRUE)*boc_rr_oc_np-VLOOKUP(AE100,mortt,2,FALSE))</f>
        <v>#N/A</v>
      </c>
      <c r="AP100" s="260" t="e">
        <f>AF99*VLOOKUP(AE100,boc_trpr_bc,11,TRUE)*boc_rr_bc_mast+AG99*VLOOKUP(AE100,boc_trpr_bc,11,TRUE)*boc_rr_bc_ooph+AH99*VLOOKUP(AE100,boc_trpr_bc,11,TRUE)*boc_rr_bc_both+AI99*VLOOKUP(AE100,boc_trpr_bc,11,TRUE)*boc_rr_bc_hip+AJ99*VLOOKUP(AE100,boc_trpr_bc,11,TRUE)*boc_rr_bc_hiv+AK99*VLOOKUP(AE100,boc_trpr_bc,11,TRUE)*boc_rr_bc_modp+AL99*VLOOKUP(AE100,boc_trpr_bc,11,TRUE)*boc_rr_bc_modv+AM99*VLOOKUP(AE100,boc_trpr_bc,11,TRUE)*boc_rr_bc_lop+AN99*VLOOKUP(AE100,boc_trpr_bc,11,TRUE)*boc_rr_bc_lov+AO99*VLOOKUP(AE100,boc_trpr_bc,11,TRUE)*boc_rr_bc_np</f>
        <v>#N/A</v>
      </c>
      <c r="AQ100" s="260" t="e">
        <f>AF99*VLOOKUP(AE100,boc_trpr_oc,11,TRUE)*boc_rr_oc_mast+AG99*VLOOKUP(AE100,boc_trpr_oc,11,TRUE)*boc_rr_oc_ooph+AH99*VLOOKUP(AE100,boc_trpr_oc,11,TRUE)*boc_rr_oc_both+AI99*VLOOKUP(AE100,boc_trpr_oc,11,TRUE)*boc_rr_oc_hip+AJ99*VLOOKUP(AE100,boc_trpr_oc,11,TRUE)*boc_rr_oc_hiv+AK99*VLOOKUP(AE100,boc_trpr_oc,11,TRUE)*boc_rr_oc_modp+AL99*VLOOKUP(AE100,boc_trpr_oc,11,TRUE)*boc_rr_oc_modv+AM99*VLOOKUP(AE100,boc_trpr_oc,11,TRUE)*boc_rr_oc_lop+AN99*VLOOKUP(AE100,boc_trpr_oc,11,TRUE)*boc_rr_oc_lov+AO99*VLOOKUP(AE100,boc_trpr_oc,11,TRUE)*boc_rr_oc_np</f>
        <v>#N/A</v>
      </c>
      <c r="AR100" s="260" t="e">
        <f>AP99*(1-VLOOKUP(AE100,boc_trpr_bc_death,20,TRUE))+AQ99*(1-VLOOKUP(AE100,boc_trpr_oc_death,20,TRUE))+AR99*(1-VLOOKUP(AE100,mortt,2,FALSE)*boc_rr_death_pc)</f>
        <v>#N/A</v>
      </c>
      <c r="AS100" s="260" t="e">
        <f>AS99+SUM(AF99:AO99)*VLOOKUP(AE100,mortt,2,FALSE)+AP99*VLOOKUP(AE100,boc_trpr_bc_death,20,TRUE)+AQ99*VLOOKUP(AE100,boc_trpr_bc_death,20,TRUE)+AR99*VLOOKUP(AE100,mortt,2,FALSE)*boc_rr_death_pc</f>
        <v>#N/A</v>
      </c>
      <c r="AT100" s="260" t="e">
        <f t="shared" si="52"/>
        <v>#N/A</v>
      </c>
      <c r="AU100" s="118" t="e">
        <f>(boc_cost_mast*SUM(AI100,AK100,AM100)*(boc_tr_mast_path+boc_tr_both_path)+SUM(AJ100,AL100,AN100)*(boc_tr_mast_vus+boc_tr_both_vus)+AP100*boc_cost_bc+AQ100*boc_cost_oc+AR100*boc_cost_pc+(AP100*VLOOKUP(AE100,boc_trpr_bc_death,20,TRUE)+AQ100*VLOOKUP(AE100,boc_trpr_oc_death,TRUE)*boc_cost_death))/((1+discount)^AD100)</f>
        <v>#N/A</v>
      </c>
      <c r="AV100" s="35" t="e">
        <f t="shared" si="62"/>
        <v>#N/A</v>
      </c>
      <c r="AW100" s="35" t="e">
        <f t="shared" si="63"/>
        <v>#N/A</v>
      </c>
      <c r="AY100" s="12">
        <v>94</v>
      </c>
      <c r="AZ100" s="12">
        <f t="shared" si="64"/>
        <v>139</v>
      </c>
      <c r="BA100" s="260" t="e">
        <f>BA99*(1-VLOOKUP(AZ100,boc_trpr_bc,11,TRUE)*boc_rr_bc_mast-VLOOKUP(AZ100,boc_trpr_oc,11,TRUE)*boc_rr_oc_mast-VLOOKUP(AZ100,mortt,2,FALSE))</f>
        <v>#N/A</v>
      </c>
      <c r="BB100" s="260" t="e">
        <f>BB99*(1-VLOOKUP(AZ100,boc_trpr_bc,11,TRUE)*boc_rr_bc_ooph-VLOOKUP(AZ100,boc_trpr_oc,11,TRUE)*boc_rr_oc_ooph-VLOOKUP(AZ100,mortt,2,FALSE))</f>
        <v>#N/A</v>
      </c>
      <c r="BC100" s="260" t="e">
        <f>BC99*(1-VLOOKUP(AZ100,boc_trpr_bc,11,TRUE)*boc_rr_bc_both-VLOOKUP(AZ100,boc_trpr_oc,11,TRUE)*boc_rr_oc_both-VLOOKUP(AZ100,mortt,2,FALSE))</f>
        <v>#N/A</v>
      </c>
      <c r="BD100" s="289" t="e">
        <f>BD99*(1-VLOOKUP(AZ100,boc_trpr_bc,11,TRUE)*boc_rr_bc_hip-VLOOKUP(AZ100,boc_trpr_oc,11,TRUE)*boc_rr_oc_hip-VLOOKUP(AZ100,mortt,2,FALSE))</f>
        <v>#N/A</v>
      </c>
      <c r="BE100" s="289" t="e">
        <f>BE99*(1-VLOOKUP(AZ100,boc_trpr_bc,11,TRUE)*boc_rr_bc_hiv-VLOOKUP(AZ100,boc_trpr_oc,11,TRUE)*boc_rr_oc_hiv-VLOOKUP(AZ100,mortt,2,FALSE))</f>
        <v>#N/A</v>
      </c>
      <c r="BF100" s="289" t="e">
        <f>BF99*(1-VLOOKUP(AZ100,boc_trpr_bc,11,TRUE)*boc_rr_bc_modp-VLOOKUP(AZ100,boc_trpr_oc,11,TRUE)*boc_rr_oc_modp-VLOOKUP(AZ100,mortt,2,FALSE))</f>
        <v>#N/A</v>
      </c>
      <c r="BG100" s="289" t="e">
        <f>BG99*(1-VLOOKUP(AZ100,boc_trpr_bc,11,TRUE)*boc_rr_bc_modv-VLOOKUP(AZ100,boc_trpr_oc,11,TRUE)*boc_rr_oc_modv-VLOOKUP(AZ100,mortt,2,FALSE))</f>
        <v>#N/A</v>
      </c>
      <c r="BH100" s="289" t="e">
        <f>BH99*(1-VLOOKUP(AZ100,boc_trpr_bc,11,TRUE)*boc_rr_bc_lop-VLOOKUP(AZ100,boc_trpr_oc,11,TRUE)*boc_rr_oc_lop-VLOOKUP(AZ100,mortt,2,FALSE))</f>
        <v>#N/A</v>
      </c>
      <c r="BI100" s="289" t="e">
        <f>BI99*(1-VLOOKUP(AZ100,boc_trpr_bc,11,TRUE)*boc_rr_bc_lov-VLOOKUP(AZ100,boc_trpr_oc,11,TRUE)*boc_rr_oc_lov-VLOOKUP(AZ100,mortt,2,FALSE))</f>
        <v>#N/A</v>
      </c>
      <c r="BJ100" s="260" t="e">
        <f>BJ99*(1-VLOOKUP(AZ100,boc_trpr_bc,11,TRUE)*boc_rr_bc_np-VLOOKUP(AZ100,boc_trpr_oc,11,TRUE)*boc_rr_oc_np-VLOOKUP(AZ100,mortt,2,FALSE))</f>
        <v>#N/A</v>
      </c>
      <c r="BK100" s="260" t="e">
        <f>BA99*VLOOKUP(AZ100,boc_trpr_bc,11,TRUE)*boc_rr_bc_mast+BB99*VLOOKUP(AZ100,boc_trpr_bc,11,TRUE)*boc_rr_bc_ooph+BC99*VLOOKUP(AZ100,boc_trpr_bc,11,TRUE)*boc_rr_bc_both+BD99*VLOOKUP(AZ100,boc_trpr_bc,11,TRUE)*boc_rr_bc_hip+BE99*VLOOKUP(AZ100,boc_trpr_bc,11,TRUE)*boc_rr_bc_hiv+BF99*VLOOKUP(AZ100,boc_trpr_bc,11,TRUE)*boc_rr_bc_modp+BG99*VLOOKUP(AZ100,boc_trpr_bc,11,TRUE)*boc_rr_bc_modv+BH99*VLOOKUP(AZ100,boc_trpr_bc,11,TRUE)*boc_rr_bc_lop+BI99*VLOOKUP(AZ100,boc_trpr_bc,11,TRUE)*boc_rr_bc_lov+BJ99*VLOOKUP(AZ100,boc_trpr_bc,11,TRUE)*boc_rr_bc_np</f>
        <v>#N/A</v>
      </c>
      <c r="BL100" s="260" t="e">
        <f>BA99*VLOOKUP(AZ100,boc_trpr_oc,11,TRUE)*boc_rr_oc_mast+BB99*VLOOKUP(AZ100,boc_trpr_oc,11,TRUE)*boc_rr_oc_ooph+BC99*VLOOKUP(AZ100,boc_trpr_oc,11,TRUE)*boc_rr_oc_both+BD99*VLOOKUP(AZ100,boc_trpr_oc,11,TRUE)*boc_rr_oc_hip+BE99*VLOOKUP(AZ100,boc_trpr_oc,11,TRUE)*boc_rr_oc_hiv+BF99*VLOOKUP(AZ100,boc_trpr_oc,11,TRUE)*boc_rr_oc_modp+BG99*VLOOKUP(AZ100,boc_trpr_oc,11,TRUE)*boc_rr_oc_modv+BH99*VLOOKUP(AZ100,boc_trpr_oc,11,TRUE)*boc_rr_oc_lop+BI99*VLOOKUP(AZ100,boc_trpr_oc,11,TRUE)*boc_rr_oc_lov+BJ99*VLOOKUP(AZ100,boc_trpr_oc,11,TRUE)*boc_rr_oc_np</f>
        <v>#N/A</v>
      </c>
      <c r="BM100" s="260" t="e">
        <f>BK99*(1-VLOOKUP(AZ100,boc_trpr_bc_death,20,TRUE))+BL99*(1-VLOOKUP(AZ100,boc_trpr_oc_death,20,TRUE))+BM99*(1-VLOOKUP(AZ100,mortt,2,FALSE)*boc_rr_death_pc)</f>
        <v>#N/A</v>
      </c>
      <c r="BN100" s="260" t="e">
        <f>BN99+SUM(BA99:BJ99)*VLOOKUP(AZ100,mortt,2,FALSE)+BK99*VLOOKUP(AZ100,boc_trpr_bc_death,20,TRUE)+BL99*VLOOKUP(AZ100,boc_trpr_bc_death,20,TRUE)+BM99*VLOOKUP(AZ100,mortt,2,FALSE)*boc_rr_death_pc</f>
        <v>#N/A</v>
      </c>
      <c r="BO100" s="260" t="e">
        <f t="shared" si="77"/>
        <v>#N/A</v>
      </c>
      <c r="BP100" s="118" t="e">
        <f>(boc_cost_mast*SUM(BD100,BF100,BH100)*(boc_tr_mast_path+boc_tr_both_path)+SUM(BE100,BG100,BI100)*(boc_tr_mast_vus+boc_tr_both_vus)+BK100*boc_cost_bc+BL100*boc_cost_oc+BM100*boc_cost_pc+(BK100*VLOOKUP(AZ100,boc_trpr_bc_death,20,TRUE)+BL100*VLOOKUP(AZ100,boc_trpr_oc_death,TRUE)*boc_cost_death))/((1+discount)^AY100)</f>
        <v>#N/A</v>
      </c>
      <c r="BQ100" s="35" t="e">
        <f t="shared" si="65"/>
        <v>#N/A</v>
      </c>
      <c r="BR100" s="35" t="e">
        <f t="shared" si="66"/>
        <v>#N/A</v>
      </c>
      <c r="BS100" s="35"/>
      <c r="CD100" s="138">
        <v>95</v>
      </c>
      <c r="CE100" s="291">
        <v>0.21071300000000001</v>
      </c>
    </row>
    <row r="101" spans="2:83" ht="15" customHeight="1" x14ac:dyDescent="0.2">
      <c r="Q101" s="11"/>
      <c r="AD101" s="12">
        <v>95</v>
      </c>
      <c r="AE101" s="12">
        <f t="shared" si="61"/>
        <v>140</v>
      </c>
      <c r="AF101" s="260" t="e">
        <f>AF100*(1-VLOOKUP(AE101,boc_trpr_bc,11,TRUE)*boc_rr_bc_mast-VLOOKUP(AE101,boc_trpr_oc,11,TRUE)*boc_rr_oc_mast-VLOOKUP(AE101,mortt,2,FALSE))+SUM(AI100,AK100,AM100)*boc_tr_mast_path+SUM(AJ100,AL100,AN100)*boc_tr_mast_vus</f>
        <v>#N/A</v>
      </c>
      <c r="AG101" s="260" t="e">
        <f>AG100*(1-VLOOKUP(AE101,boc_trpr_bc,11,TRUE)*boc_rr_bc_ooph-VLOOKUP(AE101,boc_trpr_oc,11,TRUE)*boc_rr_oc_ooph-VLOOKUP(AE101,mortt,2,FALSE))+SUM(AI100,AK100,AM100)*boc_tr_ooph_path+SUM(AJ100,AL100,AN100)*boc_tr_ooph_vus</f>
        <v>#N/A</v>
      </c>
      <c r="AH101" s="260" t="e">
        <f>AH100*(1-VLOOKUP(AE101,boc_trpr_bc,11,TRUE)*boc_rr_bc_both-VLOOKUP(AE101,boc_trpr_oc,11,TRUE)*boc_rr_oc_both-VLOOKUP(AE101,mortt,2,FALSE))+SUM(AI100,AK100,AM100)*boc_tr_both_path+SUM(AJ100,AL100,AN100)*boc_tr_both_vus</f>
        <v>#N/A</v>
      </c>
      <c r="AI101" s="289" t="e">
        <f>AI100*(1-VLOOKUP(AE101,boc_trpr_bc,11,TRUE)*boc_rr_bc_hip-VLOOKUP(AE101,boc_trpr_oc,11,TRUE)*boc_rr_oc_hip-boc_tr_mast_path-boc_tr_ooph_path-boc_tr_both_path-VLOOKUP(AE101,mortt,2,FALSE))</f>
        <v>#N/A</v>
      </c>
      <c r="AJ101" s="289" t="e">
        <f>AJ100*(1-VLOOKUP(AE101,boc_trpr_bc,11,TRUE)*boc_rr_bc_hiv-VLOOKUP(AE101,boc_trpr_oc,11,TRUE)*boc_rr_oc_hiv-boc_tr_mast_vus-boc_tr_ooph_vus-boc_tr_both_vus-VLOOKUP(AE101,mortt,2,FALSE))</f>
        <v>#N/A</v>
      </c>
      <c r="AK101" s="289" t="e">
        <f>AK100*(1-VLOOKUP(AE101,boc_trpr_bc,11,TRUE)*boc_rr_bc_modp-VLOOKUP(AE101,boc_trpr_oc,11,TRUE)*boc_rr_oc_modp-boc_tr_mast_path-boc_tr_ooph_path-boc_tr_both_path-VLOOKUP(AE101,mortt,2,FALSE))</f>
        <v>#N/A</v>
      </c>
      <c r="AL101" s="289" t="e">
        <f>AL100*(1-VLOOKUP(AE101,boc_trpr_bc,11,TRUE)*boc_rr_bc_modv-VLOOKUP(AE101,boc_trpr_oc,11,TRUE)*boc_rr_oc_modv-boc_tr_mast_vus-boc_tr_ooph_vus-boc_tr_both_vus-VLOOKUP(AE101,mortt,2,FALSE))</f>
        <v>#N/A</v>
      </c>
      <c r="AM101" s="289" t="e">
        <f>AM100*(1-VLOOKUP(AE101,boc_trpr_bc,11,TRUE)*boc_rr_bc_lop-VLOOKUP(AE101,boc_trpr_oc,11,TRUE)*boc_rr_oc_lop-boc_tr_mast_path-boc_tr_ooph_path-boc_tr_both_path-VLOOKUP(AE101,mortt,2,FALSE))</f>
        <v>#N/A</v>
      </c>
      <c r="AN101" s="289" t="e">
        <f>AN100*(1-VLOOKUP(AE101,boc_trpr_bc,11,TRUE)*boc_rr_bc_lov-VLOOKUP(AE101,boc_trpr_oc,11,TRUE)*boc_rr_oc_lov-boc_tr_mast_vus-boc_tr_ooph_vus-boc_tr_both_vus-VLOOKUP(AE101,mortt,2,FALSE))</f>
        <v>#N/A</v>
      </c>
      <c r="AO101" s="260" t="e">
        <f>AO100*(1-VLOOKUP(AE101,boc_trpr_bc,11,TRUE)*boc_rr_bc_np-VLOOKUP(AE101,boc_trpr_oc,11,TRUE)*boc_rr_oc_np-VLOOKUP(AE101,mortt,2,FALSE))</f>
        <v>#N/A</v>
      </c>
      <c r="AP101" s="260" t="e">
        <f>AF100*VLOOKUP(AE101,boc_trpr_bc,11,TRUE)*boc_rr_bc_mast+AG100*VLOOKUP(AE101,boc_trpr_bc,11,TRUE)*boc_rr_bc_ooph+AH100*VLOOKUP(AE101,boc_trpr_bc,11,TRUE)*boc_rr_bc_both+AI100*VLOOKUP(AE101,boc_trpr_bc,11,TRUE)*boc_rr_bc_hip+AJ100*VLOOKUP(AE101,boc_trpr_bc,11,TRUE)*boc_rr_bc_hiv+AK100*VLOOKUP(AE101,boc_trpr_bc,11,TRUE)*boc_rr_bc_modp+AL100*VLOOKUP(AE101,boc_trpr_bc,11,TRUE)*boc_rr_bc_modv+AM100*VLOOKUP(AE101,boc_trpr_bc,11,TRUE)*boc_rr_bc_lop+AN100*VLOOKUP(AE101,boc_trpr_bc,11,TRUE)*boc_rr_bc_lov+AO100*VLOOKUP(AE101,boc_trpr_bc,11,TRUE)*boc_rr_bc_np</f>
        <v>#N/A</v>
      </c>
      <c r="AQ101" s="260" t="e">
        <f>AF100*VLOOKUP(AE101,boc_trpr_oc,11,TRUE)*boc_rr_oc_mast+AG100*VLOOKUP(AE101,boc_trpr_oc,11,TRUE)*boc_rr_oc_ooph+AH100*VLOOKUP(AE101,boc_trpr_oc,11,TRUE)*boc_rr_oc_both+AI100*VLOOKUP(AE101,boc_trpr_oc,11,TRUE)*boc_rr_oc_hip+AJ100*VLOOKUP(AE101,boc_trpr_oc,11,TRUE)*boc_rr_oc_hiv+AK100*VLOOKUP(AE101,boc_trpr_oc,11,TRUE)*boc_rr_oc_modp+AL100*VLOOKUP(AE101,boc_trpr_oc,11,TRUE)*boc_rr_oc_modv+AM100*VLOOKUP(AE101,boc_trpr_oc,11,TRUE)*boc_rr_oc_lop+AN100*VLOOKUP(AE101,boc_trpr_oc,11,TRUE)*boc_rr_oc_lov+AO100*VLOOKUP(AE101,boc_trpr_oc,11,TRUE)*boc_rr_oc_np</f>
        <v>#N/A</v>
      </c>
      <c r="AR101" s="260" t="e">
        <f>AP100*(1-VLOOKUP(AE101,boc_trpr_bc_death,20,TRUE))+AQ100*(1-VLOOKUP(AE101,boc_trpr_oc_death,20,TRUE))+AR100*(1-VLOOKUP(AE101,mortt,2,FALSE)*boc_rr_death_pc)</f>
        <v>#N/A</v>
      </c>
      <c r="AS101" s="260" t="e">
        <f>AS100+SUM(AF100:AO100)*VLOOKUP(AE101,mortt,2,FALSE)+AP100*VLOOKUP(AE101,boc_trpr_bc_death,20,TRUE)+AQ100*VLOOKUP(AE101,boc_trpr_bc_death,20,TRUE)+AR100*VLOOKUP(AE101,mortt,2,FALSE)*boc_rr_death_pc</f>
        <v>#N/A</v>
      </c>
      <c r="AT101" s="260" t="e">
        <f t="shared" si="52"/>
        <v>#N/A</v>
      </c>
      <c r="AU101" s="118" t="e">
        <f>(boc_cost_mast*SUM(AI101,AK101,AM101)*(boc_tr_mast_path+boc_tr_both_path)+SUM(AJ101,AL101,AN101)*(boc_tr_mast_vus+boc_tr_both_vus)+AP101*boc_cost_bc+AQ101*boc_cost_oc+AR101*boc_cost_pc+(AP101*VLOOKUP(AE101,boc_trpr_bc_death,20,TRUE)+AQ101*VLOOKUP(AE101,boc_trpr_oc_death,TRUE)*boc_cost_death))/((1+discount)^AD101)</f>
        <v>#N/A</v>
      </c>
      <c r="AV101" s="35" t="e">
        <f t="shared" si="62"/>
        <v>#N/A</v>
      </c>
      <c r="AW101" s="35" t="e">
        <f t="shared" si="63"/>
        <v>#N/A</v>
      </c>
      <c r="AY101" s="12">
        <v>95</v>
      </c>
      <c r="AZ101" s="12">
        <f t="shared" si="64"/>
        <v>140</v>
      </c>
      <c r="BA101" s="260" t="e">
        <f>BA100*(1-VLOOKUP(AZ101,boc_trpr_bc,11,TRUE)*boc_rr_bc_mast-VLOOKUP(AZ101,boc_trpr_oc,11,TRUE)*boc_rr_oc_mast-VLOOKUP(AZ101,mortt,2,FALSE))</f>
        <v>#N/A</v>
      </c>
      <c r="BB101" s="260" t="e">
        <f>BB100*(1-VLOOKUP(AZ101,boc_trpr_bc,11,TRUE)*boc_rr_bc_ooph-VLOOKUP(AZ101,boc_trpr_oc,11,TRUE)*boc_rr_oc_ooph-VLOOKUP(AZ101,mortt,2,FALSE))</f>
        <v>#N/A</v>
      </c>
      <c r="BC101" s="260" t="e">
        <f>BC100*(1-VLOOKUP(AZ101,boc_trpr_bc,11,TRUE)*boc_rr_bc_both-VLOOKUP(AZ101,boc_trpr_oc,11,TRUE)*boc_rr_oc_both-VLOOKUP(AZ101,mortt,2,FALSE))</f>
        <v>#N/A</v>
      </c>
      <c r="BD101" s="289" t="e">
        <f>BD100*(1-VLOOKUP(AZ101,boc_trpr_bc,11,TRUE)*boc_rr_bc_hip-VLOOKUP(AZ101,boc_trpr_oc,11,TRUE)*boc_rr_oc_hip-VLOOKUP(AZ101,mortt,2,FALSE))</f>
        <v>#N/A</v>
      </c>
      <c r="BE101" s="289" t="e">
        <f>BE100*(1-VLOOKUP(AZ101,boc_trpr_bc,11,TRUE)*boc_rr_bc_hiv-VLOOKUP(AZ101,boc_trpr_oc,11,TRUE)*boc_rr_oc_hiv-VLOOKUP(AZ101,mortt,2,FALSE))</f>
        <v>#N/A</v>
      </c>
      <c r="BF101" s="289" t="e">
        <f>BF100*(1-VLOOKUP(AZ101,boc_trpr_bc,11,TRUE)*boc_rr_bc_modp-VLOOKUP(AZ101,boc_trpr_oc,11,TRUE)*boc_rr_oc_modp-VLOOKUP(AZ101,mortt,2,FALSE))</f>
        <v>#N/A</v>
      </c>
      <c r="BG101" s="289" t="e">
        <f>BG100*(1-VLOOKUP(AZ101,boc_trpr_bc,11,TRUE)*boc_rr_bc_modv-VLOOKUP(AZ101,boc_trpr_oc,11,TRUE)*boc_rr_oc_modv-VLOOKUP(AZ101,mortt,2,FALSE))</f>
        <v>#N/A</v>
      </c>
      <c r="BH101" s="289" t="e">
        <f>BH100*(1-VLOOKUP(AZ101,boc_trpr_bc,11,TRUE)*boc_rr_bc_lop-VLOOKUP(AZ101,boc_trpr_oc,11,TRUE)*boc_rr_oc_lop-VLOOKUP(AZ101,mortt,2,FALSE))</f>
        <v>#N/A</v>
      </c>
      <c r="BI101" s="289" t="e">
        <f>BI100*(1-VLOOKUP(AZ101,boc_trpr_bc,11,TRUE)*boc_rr_bc_lov-VLOOKUP(AZ101,boc_trpr_oc,11,TRUE)*boc_rr_oc_lov-VLOOKUP(AZ101,mortt,2,FALSE))</f>
        <v>#N/A</v>
      </c>
      <c r="BJ101" s="260" t="e">
        <f>BJ100*(1-VLOOKUP(AZ101,boc_trpr_bc,11,TRUE)*boc_rr_bc_np-VLOOKUP(AZ101,boc_trpr_oc,11,TRUE)*boc_rr_oc_np-VLOOKUP(AZ101,mortt,2,FALSE))</f>
        <v>#N/A</v>
      </c>
      <c r="BK101" s="260" t="e">
        <f>BA100*VLOOKUP(AZ101,boc_trpr_bc,11,TRUE)*boc_rr_bc_mast+BB100*VLOOKUP(AZ101,boc_trpr_bc,11,TRUE)*boc_rr_bc_ooph+BC100*VLOOKUP(AZ101,boc_trpr_bc,11,TRUE)*boc_rr_bc_both+BD100*VLOOKUP(AZ101,boc_trpr_bc,11,TRUE)*boc_rr_bc_hip+BE100*VLOOKUP(AZ101,boc_trpr_bc,11,TRUE)*boc_rr_bc_hiv+BF100*VLOOKUP(AZ101,boc_trpr_bc,11,TRUE)*boc_rr_bc_modp+BG100*VLOOKUP(AZ101,boc_trpr_bc,11,TRUE)*boc_rr_bc_modv+BH100*VLOOKUP(AZ101,boc_trpr_bc,11,TRUE)*boc_rr_bc_lop+BI100*VLOOKUP(AZ101,boc_trpr_bc,11,TRUE)*boc_rr_bc_lov+BJ100*VLOOKUP(AZ101,boc_trpr_bc,11,TRUE)*boc_rr_bc_np</f>
        <v>#N/A</v>
      </c>
      <c r="BL101" s="260" t="e">
        <f>BA100*VLOOKUP(AZ101,boc_trpr_oc,11,TRUE)*boc_rr_oc_mast+BB100*VLOOKUP(AZ101,boc_trpr_oc,11,TRUE)*boc_rr_oc_ooph+BC100*VLOOKUP(AZ101,boc_trpr_oc,11,TRUE)*boc_rr_oc_both+BD100*VLOOKUP(AZ101,boc_trpr_oc,11,TRUE)*boc_rr_oc_hip+BE100*VLOOKUP(AZ101,boc_trpr_oc,11,TRUE)*boc_rr_oc_hiv+BF100*VLOOKUP(AZ101,boc_trpr_oc,11,TRUE)*boc_rr_oc_modp+BG100*VLOOKUP(AZ101,boc_trpr_oc,11,TRUE)*boc_rr_oc_modv+BH100*VLOOKUP(AZ101,boc_trpr_oc,11,TRUE)*boc_rr_oc_lop+BI100*VLOOKUP(AZ101,boc_trpr_oc,11,TRUE)*boc_rr_oc_lov+BJ100*VLOOKUP(AZ101,boc_trpr_oc,11,TRUE)*boc_rr_oc_np</f>
        <v>#N/A</v>
      </c>
      <c r="BM101" s="260" t="e">
        <f>BK100*(1-VLOOKUP(AZ101,boc_trpr_bc_death,20,TRUE))+BL100*(1-VLOOKUP(AZ101,boc_trpr_oc_death,20,TRUE))+BM100*(1-VLOOKUP(AZ101,mortt,2,FALSE)*boc_rr_death_pc)</f>
        <v>#N/A</v>
      </c>
      <c r="BN101" s="260" t="e">
        <f>BN100+SUM(BA100:BJ100)*VLOOKUP(AZ101,mortt,2,FALSE)+BK100*VLOOKUP(AZ101,boc_trpr_bc_death,20,TRUE)+BL100*VLOOKUP(AZ101,boc_trpr_bc_death,20,TRUE)+BM100*VLOOKUP(AZ101,mortt,2,FALSE)*boc_rr_death_pc</f>
        <v>#N/A</v>
      </c>
      <c r="BO101" s="260" t="e">
        <f t="shared" si="77"/>
        <v>#N/A</v>
      </c>
      <c r="BP101" s="118" t="e">
        <f>(boc_cost_mast*SUM(BD101,BF101,BH101)*(boc_tr_mast_path+boc_tr_both_path)+SUM(BE101,BG101,BI101)*(boc_tr_mast_vus+boc_tr_both_vus)+BK101*boc_cost_bc+BL101*boc_cost_oc+BM101*boc_cost_pc+(BK101*VLOOKUP(AZ101,boc_trpr_bc_death,20,TRUE)+BL101*VLOOKUP(AZ101,boc_trpr_oc_death,TRUE)*boc_cost_death))/((1+discount)^AY101)</f>
        <v>#N/A</v>
      </c>
      <c r="BQ101" s="35" t="e">
        <f t="shared" si="65"/>
        <v>#N/A</v>
      </c>
      <c r="BR101" s="35" t="e">
        <f t="shared" si="66"/>
        <v>#N/A</v>
      </c>
      <c r="BS101" s="35"/>
      <c r="CD101" s="138">
        <v>96</v>
      </c>
      <c r="CE101" s="291">
        <v>0.23030800000000001</v>
      </c>
    </row>
    <row r="102" spans="2:83" ht="15" customHeight="1" x14ac:dyDescent="0.25">
      <c r="B102" s="93" t="s">
        <v>220</v>
      </c>
      <c r="E102" s="372" t="s">
        <v>299</v>
      </c>
      <c r="Q102" s="11"/>
      <c r="U102" s="9" t="s">
        <v>7</v>
      </c>
      <c r="V102" s="250">
        <f>boc_unk_int_mast</f>
        <v>0.01</v>
      </c>
      <c r="X102" s="261">
        <f>T103*V102</f>
        <v>9.0000000000000011E-3</v>
      </c>
      <c r="AD102" s="12">
        <v>96</v>
      </c>
      <c r="AE102" s="12">
        <f t="shared" ref="AE102:AE106" si="78">age+AD102</f>
        <v>141</v>
      </c>
      <c r="AF102" s="260" t="e">
        <f>AF101*(1-VLOOKUP(AE102,boc_trpr_bc,11,TRUE)*boc_rr_bc_mast-VLOOKUP(AE102,boc_trpr_oc,11,TRUE)*boc_rr_oc_mast-VLOOKUP(AE102,mortt,2,FALSE))+SUM(AI101,AK101,AM101)*boc_tr_mast_path+SUM(AJ101,AL101,AN101)*boc_tr_mast_vus</f>
        <v>#N/A</v>
      </c>
      <c r="AG102" s="260" t="e">
        <f>AG101*(1-VLOOKUP(AE102,boc_trpr_bc,11,TRUE)*boc_rr_bc_ooph-VLOOKUP(AE102,boc_trpr_oc,11,TRUE)*boc_rr_oc_ooph-VLOOKUP(AE102,mortt,2,FALSE))+SUM(AI101,AK101,AM101)*boc_tr_ooph_path+SUM(AJ101,AL101,AN101)*boc_tr_ooph_vus</f>
        <v>#N/A</v>
      </c>
      <c r="AH102" s="260" t="e">
        <f>AH101*(1-VLOOKUP(AE102,boc_trpr_bc,11,TRUE)*boc_rr_bc_both-VLOOKUP(AE102,boc_trpr_oc,11,TRUE)*boc_rr_oc_both-VLOOKUP(AE102,mortt,2,FALSE))+SUM(AI101,AK101,AM101)*boc_tr_both_path+SUM(AJ101,AL101,AN101)*boc_tr_both_vus</f>
        <v>#N/A</v>
      </c>
      <c r="AI102" s="289" t="e">
        <f>AI101*(1-VLOOKUP(AE102,boc_trpr_bc,11,TRUE)*boc_rr_bc_hip-VLOOKUP(AE102,boc_trpr_oc,11,TRUE)*boc_rr_oc_hip-boc_tr_mast_path-boc_tr_ooph_path-boc_tr_both_path-VLOOKUP(AE102,mortt,2,FALSE))</f>
        <v>#N/A</v>
      </c>
      <c r="AJ102" s="289" t="e">
        <f>AJ101*(1-VLOOKUP(AE102,boc_trpr_bc,11,TRUE)*boc_rr_bc_hiv-VLOOKUP(AE102,boc_trpr_oc,11,TRUE)*boc_rr_oc_hiv-boc_tr_mast_vus-boc_tr_ooph_vus-boc_tr_both_vus-VLOOKUP(AE102,mortt,2,FALSE))</f>
        <v>#N/A</v>
      </c>
      <c r="AK102" s="289" t="e">
        <f>AK101*(1-VLOOKUP(AE102,boc_trpr_bc,11,TRUE)*boc_rr_bc_modp-VLOOKUP(AE102,boc_trpr_oc,11,TRUE)*boc_rr_oc_modp-boc_tr_mast_path-boc_tr_ooph_path-boc_tr_both_path-VLOOKUP(AE102,mortt,2,FALSE))</f>
        <v>#N/A</v>
      </c>
      <c r="AL102" s="289" t="e">
        <f>AL101*(1-VLOOKUP(AE102,boc_trpr_bc,11,TRUE)*boc_rr_bc_modv-VLOOKUP(AE102,boc_trpr_oc,11,TRUE)*boc_rr_oc_modv-boc_tr_mast_vus-boc_tr_ooph_vus-boc_tr_both_vus-VLOOKUP(AE102,mortt,2,FALSE))</f>
        <v>#N/A</v>
      </c>
      <c r="AM102" s="289" t="e">
        <f>AM101*(1-VLOOKUP(AE102,boc_trpr_bc,11,TRUE)*boc_rr_bc_lop-VLOOKUP(AE102,boc_trpr_oc,11,TRUE)*boc_rr_oc_lop-boc_tr_mast_path-boc_tr_ooph_path-boc_tr_both_path-VLOOKUP(AE102,mortt,2,FALSE))</f>
        <v>#N/A</v>
      </c>
      <c r="AN102" s="289" t="e">
        <f>AN101*(1-VLOOKUP(AE102,boc_trpr_bc,11,TRUE)*boc_rr_bc_lov-VLOOKUP(AE102,boc_trpr_oc,11,TRUE)*boc_rr_oc_lov-boc_tr_mast_vus-boc_tr_ooph_vus-boc_tr_both_vus-VLOOKUP(AE102,mortt,2,FALSE))</f>
        <v>#N/A</v>
      </c>
      <c r="AO102" s="260" t="e">
        <f>AO101*(1-VLOOKUP(AE102,boc_trpr_bc,11,TRUE)*boc_rr_bc_np-VLOOKUP(AE102,boc_trpr_oc,11,TRUE)*boc_rr_oc_np-VLOOKUP(AE102,mortt,2,FALSE))</f>
        <v>#N/A</v>
      </c>
      <c r="AP102" s="260" t="e">
        <f>AF101*VLOOKUP(AE102,boc_trpr_bc,11,TRUE)*boc_rr_bc_mast+AG101*VLOOKUP(AE102,boc_trpr_bc,11,TRUE)*boc_rr_bc_ooph+AH101*VLOOKUP(AE102,boc_trpr_bc,11,TRUE)*boc_rr_bc_both+AI101*VLOOKUP(AE102,boc_trpr_bc,11,TRUE)*boc_rr_bc_hip+AJ101*VLOOKUP(AE102,boc_trpr_bc,11,TRUE)*boc_rr_bc_hiv+AK101*VLOOKUP(AE102,boc_trpr_bc,11,TRUE)*boc_rr_bc_modp+AL101*VLOOKUP(AE102,boc_trpr_bc,11,TRUE)*boc_rr_bc_modv+AM101*VLOOKUP(AE102,boc_trpr_bc,11,TRUE)*boc_rr_bc_lop+AN101*VLOOKUP(AE102,boc_trpr_bc,11,TRUE)*boc_rr_bc_lov+AO101*VLOOKUP(AE102,boc_trpr_bc,11,TRUE)*boc_rr_bc_np</f>
        <v>#N/A</v>
      </c>
      <c r="AQ102" s="260" t="e">
        <f>AF101*VLOOKUP(AE102,boc_trpr_oc,11,TRUE)*boc_rr_oc_mast+AG101*VLOOKUP(AE102,boc_trpr_oc,11,TRUE)*boc_rr_oc_ooph+AH101*VLOOKUP(AE102,boc_trpr_oc,11,TRUE)*boc_rr_oc_both+AI101*VLOOKUP(AE102,boc_trpr_oc,11,TRUE)*boc_rr_oc_hip+AJ101*VLOOKUP(AE102,boc_trpr_oc,11,TRUE)*boc_rr_oc_hiv+AK101*VLOOKUP(AE102,boc_trpr_oc,11,TRUE)*boc_rr_oc_modp+AL101*VLOOKUP(AE102,boc_trpr_oc,11,TRUE)*boc_rr_oc_modv+AM101*VLOOKUP(AE102,boc_trpr_oc,11,TRUE)*boc_rr_oc_lop+AN101*VLOOKUP(AE102,boc_trpr_oc,11,TRUE)*boc_rr_oc_lov+AO101*VLOOKUP(AE102,boc_trpr_oc,11,TRUE)*boc_rr_oc_np</f>
        <v>#N/A</v>
      </c>
      <c r="AR102" s="260" t="e">
        <f>AP101*(1-VLOOKUP(AE102,boc_trpr_bc_death,20,TRUE))+AQ101*(1-VLOOKUP(AE102,boc_trpr_oc_death,20,TRUE))+AR101*(1-VLOOKUP(AE102,mortt,2,FALSE)*boc_rr_death_pc)</f>
        <v>#N/A</v>
      </c>
      <c r="AS102" s="260" t="e">
        <f>AS101+SUM(AF101:AO101)*VLOOKUP(AE102,mortt,2,FALSE)+AP101*VLOOKUP(AE102,boc_trpr_bc_death,20,TRUE)+AQ101*VLOOKUP(AE102,boc_trpr_bc_death,20,TRUE)+AR101*VLOOKUP(AE102,mortt,2,FALSE)*boc_rr_death_pc</f>
        <v>#N/A</v>
      </c>
      <c r="AT102" s="260" t="e">
        <f t="shared" si="52"/>
        <v>#N/A</v>
      </c>
      <c r="AU102" s="118" t="e">
        <f>(boc_cost_mast*SUM(AI102,AK102,AM102)*(boc_tr_mast_path+boc_tr_both_path)+SUM(AJ102,AL102,AN102)*(boc_tr_mast_vus+boc_tr_both_vus)+AP102*boc_cost_bc+AQ102*boc_cost_oc+AR102*boc_cost_pc+(AP102*VLOOKUP(AE102,boc_trpr_bc_death,20,TRUE)+AQ102*VLOOKUP(AE102,boc_trpr_oc_death,TRUE)*boc_cost_death))/((1+discount)^AD102)</f>
        <v>#N/A</v>
      </c>
      <c r="AV102" s="35" t="e">
        <f t="shared" si="62"/>
        <v>#N/A</v>
      </c>
      <c r="AW102" s="35" t="e">
        <f t="shared" si="63"/>
        <v>#N/A</v>
      </c>
      <c r="AY102" s="12">
        <v>96</v>
      </c>
      <c r="AZ102" s="12">
        <f t="shared" ref="AZ102:AZ106" si="79">age+AY102</f>
        <v>141</v>
      </c>
      <c r="BA102" s="260" t="e">
        <f>BA101*(1-VLOOKUP(AZ102,boc_trpr_bc,11,TRUE)*boc_rr_bc_mast-VLOOKUP(AZ102,boc_trpr_oc,11,TRUE)*boc_rr_oc_mast-VLOOKUP(AZ102,mortt,2,FALSE))</f>
        <v>#N/A</v>
      </c>
      <c r="BB102" s="260" t="e">
        <f>BB101*(1-VLOOKUP(AZ102,boc_trpr_bc,11,TRUE)*boc_rr_bc_ooph-VLOOKUP(AZ102,boc_trpr_oc,11,TRUE)*boc_rr_oc_ooph-VLOOKUP(AZ102,mortt,2,FALSE))</f>
        <v>#N/A</v>
      </c>
      <c r="BC102" s="260" t="e">
        <f>BC101*(1-VLOOKUP(AZ102,boc_trpr_bc,11,TRUE)*boc_rr_bc_both-VLOOKUP(AZ102,boc_trpr_oc,11,TRUE)*boc_rr_oc_both-VLOOKUP(AZ102,mortt,2,FALSE))</f>
        <v>#N/A</v>
      </c>
      <c r="BD102" s="289" t="e">
        <f>BD101*(1-VLOOKUP(AZ102,boc_trpr_bc,11,TRUE)*boc_rr_bc_hip-VLOOKUP(AZ102,boc_trpr_oc,11,TRUE)*boc_rr_oc_hip-VLOOKUP(AZ102,mortt,2,FALSE))</f>
        <v>#N/A</v>
      </c>
      <c r="BE102" s="289" t="e">
        <f>BE101*(1-VLOOKUP(AZ102,boc_trpr_bc,11,TRUE)*boc_rr_bc_hiv-VLOOKUP(AZ102,boc_trpr_oc,11,TRUE)*boc_rr_oc_hiv-VLOOKUP(AZ102,mortt,2,FALSE))</f>
        <v>#N/A</v>
      </c>
      <c r="BF102" s="289" t="e">
        <f>BF101*(1-VLOOKUP(AZ102,boc_trpr_bc,11,TRUE)*boc_rr_bc_modp-VLOOKUP(AZ102,boc_trpr_oc,11,TRUE)*boc_rr_oc_modp-VLOOKUP(AZ102,mortt,2,FALSE))</f>
        <v>#N/A</v>
      </c>
      <c r="BG102" s="289" t="e">
        <f>BG101*(1-VLOOKUP(AZ102,boc_trpr_bc,11,TRUE)*boc_rr_bc_modv-VLOOKUP(AZ102,boc_trpr_oc,11,TRUE)*boc_rr_oc_modv-VLOOKUP(AZ102,mortt,2,FALSE))</f>
        <v>#N/A</v>
      </c>
      <c r="BH102" s="289" t="e">
        <f>BH101*(1-VLOOKUP(AZ102,boc_trpr_bc,11,TRUE)*boc_rr_bc_lop-VLOOKUP(AZ102,boc_trpr_oc,11,TRUE)*boc_rr_oc_lop-VLOOKUP(AZ102,mortt,2,FALSE))</f>
        <v>#N/A</v>
      </c>
      <c r="BI102" s="289" t="e">
        <f>BI101*(1-VLOOKUP(AZ102,boc_trpr_bc,11,TRUE)*boc_rr_bc_lov-VLOOKUP(AZ102,boc_trpr_oc,11,TRUE)*boc_rr_oc_lov-VLOOKUP(AZ102,mortt,2,FALSE))</f>
        <v>#N/A</v>
      </c>
      <c r="BJ102" s="260" t="e">
        <f>BJ101*(1-VLOOKUP(AZ102,boc_trpr_bc,11,TRUE)*boc_rr_bc_np-VLOOKUP(AZ102,boc_trpr_oc,11,TRUE)*boc_rr_oc_np-VLOOKUP(AZ102,mortt,2,FALSE))</f>
        <v>#N/A</v>
      </c>
      <c r="BK102" s="260" t="e">
        <f>BA101*VLOOKUP(AZ102,boc_trpr_bc,11,TRUE)*boc_rr_bc_mast+BB101*VLOOKUP(AZ102,boc_trpr_bc,11,TRUE)*boc_rr_bc_ooph+BC101*VLOOKUP(AZ102,boc_trpr_bc,11,TRUE)*boc_rr_bc_both+BD101*VLOOKUP(AZ102,boc_trpr_bc,11,TRUE)*boc_rr_bc_hip+BE101*VLOOKUP(AZ102,boc_trpr_bc,11,TRUE)*boc_rr_bc_hiv+BF101*VLOOKUP(AZ102,boc_trpr_bc,11,TRUE)*boc_rr_bc_modp+BG101*VLOOKUP(AZ102,boc_trpr_bc,11,TRUE)*boc_rr_bc_modv+BH101*VLOOKUP(AZ102,boc_trpr_bc,11,TRUE)*boc_rr_bc_lop+BI101*VLOOKUP(AZ102,boc_trpr_bc,11,TRUE)*boc_rr_bc_lov+BJ101*VLOOKUP(AZ102,boc_trpr_bc,11,TRUE)*boc_rr_bc_np</f>
        <v>#N/A</v>
      </c>
      <c r="BL102" s="260" t="e">
        <f>BA101*VLOOKUP(AZ102,boc_trpr_oc,11,TRUE)*boc_rr_oc_mast+BB101*VLOOKUP(AZ102,boc_trpr_oc,11,TRUE)*boc_rr_oc_ooph+BC101*VLOOKUP(AZ102,boc_trpr_oc,11,TRUE)*boc_rr_oc_both+BD101*VLOOKUP(AZ102,boc_trpr_oc,11,TRUE)*boc_rr_oc_hip+BE101*VLOOKUP(AZ102,boc_trpr_oc,11,TRUE)*boc_rr_oc_hiv+BF101*VLOOKUP(AZ102,boc_trpr_oc,11,TRUE)*boc_rr_oc_modp+BG101*VLOOKUP(AZ102,boc_trpr_oc,11,TRUE)*boc_rr_oc_modv+BH101*VLOOKUP(AZ102,boc_trpr_oc,11,TRUE)*boc_rr_oc_lop+BI101*VLOOKUP(AZ102,boc_trpr_oc,11,TRUE)*boc_rr_oc_lov+BJ101*VLOOKUP(AZ102,boc_trpr_oc,11,TRUE)*boc_rr_oc_np</f>
        <v>#N/A</v>
      </c>
      <c r="BM102" s="260" t="e">
        <f>BK101*(1-VLOOKUP(AZ102,boc_trpr_bc_death,20,TRUE))+BL101*(1-VLOOKUP(AZ102,boc_trpr_oc_death,20,TRUE))+BM101*(1-VLOOKUP(AZ102,mortt,2,FALSE)*boc_rr_death_pc)</f>
        <v>#N/A</v>
      </c>
      <c r="BN102" s="260" t="e">
        <f>BN101+SUM(BA101:BJ101)*VLOOKUP(AZ102,mortt,2,FALSE)+BK101*VLOOKUP(AZ102,boc_trpr_bc_death,20,TRUE)+BL101*VLOOKUP(AZ102,boc_trpr_bc_death,20,TRUE)+BM101*VLOOKUP(AZ102,mortt,2,FALSE)*boc_rr_death_pc</f>
        <v>#N/A</v>
      </c>
      <c r="BO102" s="260" t="e">
        <f t="shared" si="77"/>
        <v>#N/A</v>
      </c>
      <c r="BP102" s="118" t="e">
        <f>(boc_cost_mast*SUM(BD102,BF102,BH102)*(boc_tr_mast_path+boc_tr_both_path)+SUM(BE102,BG102,BI102)*(boc_tr_mast_vus+boc_tr_both_vus)+BK102*boc_cost_bc+BL102*boc_cost_oc+BM102*boc_cost_pc+(BK102*VLOOKUP(AZ102,boc_trpr_bc_death,20,TRUE)+BL102*VLOOKUP(AZ102,boc_trpr_oc_death,TRUE)*boc_cost_death))/((1+discount)^AY102)</f>
        <v>#N/A</v>
      </c>
      <c r="BQ102" s="35" t="e">
        <f t="shared" si="65"/>
        <v>#N/A</v>
      </c>
      <c r="BR102" s="35" t="e">
        <f t="shared" si="66"/>
        <v>#N/A</v>
      </c>
      <c r="BS102" s="35"/>
      <c r="CD102" s="138">
        <v>97</v>
      </c>
      <c r="CE102" s="291">
        <v>0.250724</v>
      </c>
    </row>
    <row r="103" spans="2:83" ht="15" customHeight="1" x14ac:dyDescent="0.2">
      <c r="B103" s="19" t="s">
        <v>154</v>
      </c>
      <c r="C103" s="35">
        <f>IF(psa,J103,IF(owsa_low=L103,F103,IF(owsa_high=L103,G103,IF(ISNUMBER(D103),D103,E103))))</f>
        <v>1</v>
      </c>
      <c r="D103" s="158"/>
      <c r="E103" s="370">
        <v>1</v>
      </c>
      <c r="F103" s="35">
        <f>MAX(0,IF(ISNUMBER(D103),D103,E103)*(1-owsa_boc))</f>
        <v>0.8</v>
      </c>
      <c r="G103" s="35">
        <f>IF(ISNUMBER(D103),D103,E103)*(1+owsa_boc)</f>
        <v>1.2</v>
      </c>
      <c r="H103" s="69">
        <f t="shared" si="76"/>
        <v>0.10343687723509754</v>
      </c>
      <c r="I103" s="48"/>
      <c r="J103" s="35">
        <f ca="1">_xlfn.LOGNORM.INV(RAND(),LN(IF(ISNUMBER(D103),D103,E103))-(H103^2)/2,H103)</f>
        <v>0.79006875011337918</v>
      </c>
      <c r="K103" s="12" t="s">
        <v>213</v>
      </c>
      <c r="L103" s="40">
        <v>39</v>
      </c>
      <c r="M103" s="247" t="s">
        <v>249</v>
      </c>
      <c r="N103" s="247" t="s">
        <v>300</v>
      </c>
      <c r="Q103" s="9" t="s">
        <v>186</v>
      </c>
      <c r="R103" s="177"/>
      <c r="S103" s="177"/>
      <c r="T103" s="262">
        <f>1-L7</f>
        <v>0.9</v>
      </c>
      <c r="U103" s="9" t="s">
        <v>8</v>
      </c>
      <c r="V103" s="250">
        <f>boc_unk_int_ooph</f>
        <v>0.01</v>
      </c>
      <c r="Y103" s="261">
        <f>T103*V103</f>
        <v>9.0000000000000011E-3</v>
      </c>
      <c r="AD103" s="12">
        <v>97</v>
      </c>
      <c r="AE103" s="12">
        <f t="shared" si="78"/>
        <v>142</v>
      </c>
      <c r="AF103" s="260" t="e">
        <f>AF102*(1-VLOOKUP(AE103,boc_trpr_bc,11,TRUE)*boc_rr_bc_mast-VLOOKUP(AE103,boc_trpr_oc,11,TRUE)*boc_rr_oc_mast-VLOOKUP(AE103,mortt,2,FALSE))+SUM(AI102,AK102,AM102)*boc_tr_mast_path+SUM(AJ102,AL102,AN102)*boc_tr_mast_vus</f>
        <v>#N/A</v>
      </c>
      <c r="AG103" s="260" t="e">
        <f>AG102*(1-VLOOKUP(AE103,boc_trpr_bc,11,TRUE)*boc_rr_bc_ooph-VLOOKUP(AE103,boc_trpr_oc,11,TRUE)*boc_rr_oc_ooph-VLOOKUP(AE103,mortt,2,FALSE))+SUM(AI102,AK102,AM102)*boc_tr_ooph_path+SUM(AJ102,AL102,AN102)*boc_tr_ooph_vus</f>
        <v>#N/A</v>
      </c>
      <c r="AH103" s="260" t="e">
        <f>AH102*(1-VLOOKUP(AE103,boc_trpr_bc,11,TRUE)*boc_rr_bc_both-VLOOKUP(AE103,boc_trpr_oc,11,TRUE)*boc_rr_oc_both-VLOOKUP(AE103,mortt,2,FALSE))+SUM(AI102,AK102,AM102)*boc_tr_both_path+SUM(AJ102,AL102,AN102)*boc_tr_both_vus</f>
        <v>#N/A</v>
      </c>
      <c r="AI103" s="289" t="e">
        <f>AI102*(1-VLOOKUP(AE103,boc_trpr_bc,11,TRUE)*boc_rr_bc_hip-VLOOKUP(AE103,boc_trpr_oc,11,TRUE)*boc_rr_oc_hip-boc_tr_mast_path-boc_tr_ooph_path-boc_tr_both_path-VLOOKUP(AE103,mortt,2,FALSE))</f>
        <v>#N/A</v>
      </c>
      <c r="AJ103" s="289" t="e">
        <f>AJ102*(1-VLOOKUP(AE103,boc_trpr_bc,11,TRUE)*boc_rr_bc_hiv-VLOOKUP(AE103,boc_trpr_oc,11,TRUE)*boc_rr_oc_hiv-boc_tr_mast_vus-boc_tr_ooph_vus-boc_tr_both_vus-VLOOKUP(AE103,mortt,2,FALSE))</f>
        <v>#N/A</v>
      </c>
      <c r="AK103" s="289" t="e">
        <f>AK102*(1-VLOOKUP(AE103,boc_trpr_bc,11,TRUE)*boc_rr_bc_modp-VLOOKUP(AE103,boc_trpr_oc,11,TRUE)*boc_rr_oc_modp-boc_tr_mast_path-boc_tr_ooph_path-boc_tr_both_path-VLOOKUP(AE103,mortt,2,FALSE))</f>
        <v>#N/A</v>
      </c>
      <c r="AL103" s="289" t="e">
        <f>AL102*(1-VLOOKUP(AE103,boc_trpr_bc,11,TRUE)*boc_rr_bc_modv-VLOOKUP(AE103,boc_trpr_oc,11,TRUE)*boc_rr_oc_modv-boc_tr_mast_vus-boc_tr_ooph_vus-boc_tr_both_vus-VLOOKUP(AE103,mortt,2,FALSE))</f>
        <v>#N/A</v>
      </c>
      <c r="AM103" s="289" t="e">
        <f>AM102*(1-VLOOKUP(AE103,boc_trpr_bc,11,TRUE)*boc_rr_bc_lop-VLOOKUP(AE103,boc_trpr_oc,11,TRUE)*boc_rr_oc_lop-boc_tr_mast_path-boc_tr_ooph_path-boc_tr_both_path-VLOOKUP(AE103,mortt,2,FALSE))</f>
        <v>#N/A</v>
      </c>
      <c r="AN103" s="289" t="e">
        <f>AN102*(1-VLOOKUP(AE103,boc_trpr_bc,11,TRUE)*boc_rr_bc_lov-VLOOKUP(AE103,boc_trpr_oc,11,TRUE)*boc_rr_oc_lov-boc_tr_mast_vus-boc_tr_ooph_vus-boc_tr_both_vus-VLOOKUP(AE103,mortt,2,FALSE))</f>
        <v>#N/A</v>
      </c>
      <c r="AO103" s="260" t="e">
        <f>AO102*(1-VLOOKUP(AE103,boc_trpr_bc,11,TRUE)*boc_rr_bc_np-VLOOKUP(AE103,boc_trpr_oc,11,TRUE)*boc_rr_oc_np-VLOOKUP(AE103,mortt,2,FALSE))</f>
        <v>#N/A</v>
      </c>
      <c r="AP103" s="260" t="e">
        <f>AF102*VLOOKUP(AE103,boc_trpr_bc,11,TRUE)*boc_rr_bc_mast+AG102*VLOOKUP(AE103,boc_trpr_bc,11,TRUE)*boc_rr_bc_ooph+AH102*VLOOKUP(AE103,boc_trpr_bc,11,TRUE)*boc_rr_bc_both+AI102*VLOOKUP(AE103,boc_trpr_bc,11,TRUE)*boc_rr_bc_hip+AJ102*VLOOKUP(AE103,boc_trpr_bc,11,TRUE)*boc_rr_bc_hiv+AK102*VLOOKUP(AE103,boc_trpr_bc,11,TRUE)*boc_rr_bc_modp+AL102*VLOOKUP(AE103,boc_trpr_bc,11,TRUE)*boc_rr_bc_modv+AM102*VLOOKUP(AE103,boc_trpr_bc,11,TRUE)*boc_rr_bc_lop+AN102*VLOOKUP(AE103,boc_trpr_bc,11,TRUE)*boc_rr_bc_lov+AO102*VLOOKUP(AE103,boc_trpr_bc,11,TRUE)*boc_rr_bc_np</f>
        <v>#N/A</v>
      </c>
      <c r="AQ103" s="260" t="e">
        <f>AF102*VLOOKUP(AE103,boc_trpr_oc,11,TRUE)*boc_rr_oc_mast+AG102*VLOOKUP(AE103,boc_trpr_oc,11,TRUE)*boc_rr_oc_ooph+AH102*VLOOKUP(AE103,boc_trpr_oc,11,TRUE)*boc_rr_oc_both+AI102*VLOOKUP(AE103,boc_trpr_oc,11,TRUE)*boc_rr_oc_hip+AJ102*VLOOKUP(AE103,boc_trpr_oc,11,TRUE)*boc_rr_oc_hiv+AK102*VLOOKUP(AE103,boc_trpr_oc,11,TRUE)*boc_rr_oc_modp+AL102*VLOOKUP(AE103,boc_trpr_oc,11,TRUE)*boc_rr_oc_modv+AM102*VLOOKUP(AE103,boc_trpr_oc,11,TRUE)*boc_rr_oc_lop+AN102*VLOOKUP(AE103,boc_trpr_oc,11,TRUE)*boc_rr_oc_lov+AO102*VLOOKUP(AE103,boc_trpr_oc,11,TRUE)*boc_rr_oc_np</f>
        <v>#N/A</v>
      </c>
      <c r="AR103" s="260" t="e">
        <f>AP102*(1-VLOOKUP(AE103,boc_trpr_bc_death,20,TRUE))+AQ102*(1-VLOOKUP(AE103,boc_trpr_oc_death,20,TRUE))+AR102*(1-VLOOKUP(AE103,mortt,2,FALSE)*boc_rr_death_pc)</f>
        <v>#N/A</v>
      </c>
      <c r="AS103" s="260" t="e">
        <f>AS102+SUM(AF102:AO102)*VLOOKUP(AE103,mortt,2,FALSE)+AP102*VLOOKUP(AE103,boc_trpr_bc_death,20,TRUE)+AQ102*VLOOKUP(AE103,boc_trpr_bc_death,20,TRUE)+AR102*VLOOKUP(AE103,mortt,2,FALSE)*boc_rr_death_pc</f>
        <v>#N/A</v>
      </c>
      <c r="AT103" s="260" t="e">
        <f t="shared" si="52"/>
        <v>#N/A</v>
      </c>
      <c r="AU103" s="118" t="e">
        <f>(boc_cost_mast*SUM(AI103,AK103,AM103)*(boc_tr_mast_path+boc_tr_both_path)+SUM(AJ103,AL103,AN103)*(boc_tr_mast_vus+boc_tr_both_vus)+AP103*boc_cost_bc+AQ103*boc_cost_oc+AR103*boc_cost_pc+(AP103*VLOOKUP(AE103,boc_trpr_bc_death,20,TRUE)+AQ103*VLOOKUP(AE103,boc_trpr_oc_death,TRUE)*boc_cost_death))/((1+discount)^AD103)</f>
        <v>#N/A</v>
      </c>
      <c r="AV103" s="35" t="e">
        <f t="shared" si="62"/>
        <v>#N/A</v>
      </c>
      <c r="AW103" s="35" t="e">
        <f t="shared" si="63"/>
        <v>#N/A</v>
      </c>
      <c r="AY103" s="12">
        <v>97</v>
      </c>
      <c r="AZ103" s="12">
        <f t="shared" si="79"/>
        <v>142</v>
      </c>
      <c r="BA103" s="260" t="e">
        <f>BA102*(1-VLOOKUP(AZ103,boc_trpr_bc,11,TRUE)*boc_rr_bc_mast-VLOOKUP(AZ103,boc_trpr_oc,11,TRUE)*boc_rr_oc_mast-VLOOKUP(AZ103,mortt,2,FALSE))</f>
        <v>#N/A</v>
      </c>
      <c r="BB103" s="260" t="e">
        <f>BB102*(1-VLOOKUP(AZ103,boc_trpr_bc,11,TRUE)*boc_rr_bc_ooph-VLOOKUP(AZ103,boc_trpr_oc,11,TRUE)*boc_rr_oc_ooph-VLOOKUP(AZ103,mortt,2,FALSE))</f>
        <v>#N/A</v>
      </c>
      <c r="BC103" s="260" t="e">
        <f>BC102*(1-VLOOKUP(AZ103,boc_trpr_bc,11,TRUE)*boc_rr_bc_both-VLOOKUP(AZ103,boc_trpr_oc,11,TRUE)*boc_rr_oc_both-VLOOKUP(AZ103,mortt,2,FALSE))</f>
        <v>#N/A</v>
      </c>
      <c r="BD103" s="289" t="e">
        <f>BD102*(1-VLOOKUP(AZ103,boc_trpr_bc,11,TRUE)*boc_rr_bc_hip-VLOOKUP(AZ103,boc_trpr_oc,11,TRUE)*boc_rr_oc_hip-VLOOKUP(AZ103,mortt,2,FALSE))</f>
        <v>#N/A</v>
      </c>
      <c r="BE103" s="289" t="e">
        <f>BE102*(1-VLOOKUP(AZ103,boc_trpr_bc,11,TRUE)*boc_rr_bc_hiv-VLOOKUP(AZ103,boc_trpr_oc,11,TRUE)*boc_rr_oc_hiv-VLOOKUP(AZ103,mortt,2,FALSE))</f>
        <v>#N/A</v>
      </c>
      <c r="BF103" s="289" t="e">
        <f>BF102*(1-VLOOKUP(AZ103,boc_trpr_bc,11,TRUE)*boc_rr_bc_modp-VLOOKUP(AZ103,boc_trpr_oc,11,TRUE)*boc_rr_oc_modp-VLOOKUP(AZ103,mortt,2,FALSE))</f>
        <v>#N/A</v>
      </c>
      <c r="BG103" s="289" t="e">
        <f>BG102*(1-VLOOKUP(AZ103,boc_trpr_bc,11,TRUE)*boc_rr_bc_modv-VLOOKUP(AZ103,boc_trpr_oc,11,TRUE)*boc_rr_oc_modv-VLOOKUP(AZ103,mortt,2,FALSE))</f>
        <v>#N/A</v>
      </c>
      <c r="BH103" s="289" t="e">
        <f>BH102*(1-VLOOKUP(AZ103,boc_trpr_bc,11,TRUE)*boc_rr_bc_lop-VLOOKUP(AZ103,boc_trpr_oc,11,TRUE)*boc_rr_oc_lop-VLOOKUP(AZ103,mortt,2,FALSE))</f>
        <v>#N/A</v>
      </c>
      <c r="BI103" s="289" t="e">
        <f>BI102*(1-VLOOKUP(AZ103,boc_trpr_bc,11,TRUE)*boc_rr_bc_lov-VLOOKUP(AZ103,boc_trpr_oc,11,TRUE)*boc_rr_oc_lov-VLOOKUP(AZ103,mortt,2,FALSE))</f>
        <v>#N/A</v>
      </c>
      <c r="BJ103" s="260" t="e">
        <f>BJ102*(1-VLOOKUP(AZ103,boc_trpr_bc,11,TRUE)*boc_rr_bc_np-VLOOKUP(AZ103,boc_trpr_oc,11,TRUE)*boc_rr_oc_np-VLOOKUP(AZ103,mortt,2,FALSE))</f>
        <v>#N/A</v>
      </c>
      <c r="BK103" s="260" t="e">
        <f>BA102*VLOOKUP(AZ103,boc_trpr_bc,11,TRUE)*boc_rr_bc_mast+BB102*VLOOKUP(AZ103,boc_trpr_bc,11,TRUE)*boc_rr_bc_ooph+BC102*VLOOKUP(AZ103,boc_trpr_bc,11,TRUE)*boc_rr_bc_both+BD102*VLOOKUP(AZ103,boc_trpr_bc,11,TRUE)*boc_rr_bc_hip+BE102*VLOOKUP(AZ103,boc_trpr_bc,11,TRUE)*boc_rr_bc_hiv+BF102*VLOOKUP(AZ103,boc_trpr_bc,11,TRUE)*boc_rr_bc_modp+BG102*VLOOKUP(AZ103,boc_trpr_bc,11,TRUE)*boc_rr_bc_modv+BH102*VLOOKUP(AZ103,boc_trpr_bc,11,TRUE)*boc_rr_bc_lop+BI102*VLOOKUP(AZ103,boc_trpr_bc,11,TRUE)*boc_rr_bc_lov+BJ102*VLOOKUP(AZ103,boc_trpr_bc,11,TRUE)*boc_rr_bc_np</f>
        <v>#N/A</v>
      </c>
      <c r="BL103" s="260" t="e">
        <f>BA102*VLOOKUP(AZ103,boc_trpr_oc,11,TRUE)*boc_rr_oc_mast+BB102*VLOOKUP(AZ103,boc_trpr_oc,11,TRUE)*boc_rr_oc_ooph+BC102*VLOOKUP(AZ103,boc_trpr_oc,11,TRUE)*boc_rr_oc_both+BD102*VLOOKUP(AZ103,boc_trpr_oc,11,TRUE)*boc_rr_oc_hip+BE102*VLOOKUP(AZ103,boc_trpr_oc,11,TRUE)*boc_rr_oc_hiv+BF102*VLOOKUP(AZ103,boc_trpr_oc,11,TRUE)*boc_rr_oc_modp+BG102*VLOOKUP(AZ103,boc_trpr_oc,11,TRUE)*boc_rr_oc_modv+BH102*VLOOKUP(AZ103,boc_trpr_oc,11,TRUE)*boc_rr_oc_lop+BI102*VLOOKUP(AZ103,boc_trpr_oc,11,TRUE)*boc_rr_oc_lov+BJ102*VLOOKUP(AZ103,boc_trpr_oc,11,TRUE)*boc_rr_oc_np</f>
        <v>#N/A</v>
      </c>
      <c r="BM103" s="260" t="e">
        <f>BK102*(1-VLOOKUP(AZ103,boc_trpr_bc_death,20,TRUE))+BL102*(1-VLOOKUP(AZ103,boc_trpr_oc_death,20,TRUE))+BM102*(1-VLOOKUP(AZ103,mortt,2,FALSE)*boc_rr_death_pc)</f>
        <v>#N/A</v>
      </c>
      <c r="BN103" s="260" t="e">
        <f>BN102+SUM(BA102:BJ102)*VLOOKUP(AZ103,mortt,2,FALSE)+BK102*VLOOKUP(AZ103,boc_trpr_bc_death,20,TRUE)+BL102*VLOOKUP(AZ103,boc_trpr_bc_death,20,TRUE)+BM102*VLOOKUP(AZ103,mortt,2,FALSE)*boc_rr_death_pc</f>
        <v>#N/A</v>
      </c>
      <c r="BO103" s="260" t="e">
        <f t="shared" si="77"/>
        <v>#N/A</v>
      </c>
      <c r="BP103" s="118" t="e">
        <f>(boc_cost_mast*SUM(BD103,BF103,BH103)*(boc_tr_mast_path+boc_tr_both_path)+SUM(BE103,BG103,BI103)*(boc_tr_mast_vus+boc_tr_both_vus)+BK103*boc_cost_bc+BL103*boc_cost_oc+BM103*boc_cost_pc+(BK103*VLOOKUP(AZ103,boc_trpr_bc_death,20,TRUE)+BL103*VLOOKUP(AZ103,boc_trpr_oc_death,TRUE)*boc_cost_death))/((1+discount)^AY103)</f>
        <v>#N/A</v>
      </c>
      <c r="BQ103" s="35" t="e">
        <f t="shared" si="65"/>
        <v>#N/A</v>
      </c>
      <c r="BR103" s="35" t="e">
        <f t="shared" si="66"/>
        <v>#N/A</v>
      </c>
      <c r="BS103" s="35"/>
      <c r="CD103" s="138">
        <v>98</v>
      </c>
      <c r="CE103" s="291">
        <v>0.27182200000000001</v>
      </c>
    </row>
    <row r="104" spans="2:83" ht="15" customHeight="1" x14ac:dyDescent="0.2">
      <c r="B104" s="19" t="s">
        <v>155</v>
      </c>
      <c r="C104" s="35">
        <f>IF(psa,J104,IF(owsa_low=L104,F104,IF(owsa_high=L104,G104,IF(ISNUMBER(D104),D104,E104))))</f>
        <v>0.16</v>
      </c>
      <c r="D104" s="158"/>
      <c r="E104" s="370">
        <v>0.16</v>
      </c>
      <c r="F104" s="35">
        <f>MAX(0,IF(ISNUMBER(D104),D104,E104)*(1-owsa_boc))</f>
        <v>0.128</v>
      </c>
      <c r="G104" s="35">
        <f>IF(ISNUMBER(D104),D104,E104)*(1+owsa_boc)</f>
        <v>0.192</v>
      </c>
      <c r="H104" s="69">
        <f t="shared" si="76"/>
        <v>0.10343687723509756</v>
      </c>
      <c r="I104" s="48"/>
      <c r="J104" s="35">
        <f ca="1">_xlfn.LOGNORM.INV(RAND(),LN(IF(ISNUMBER(D104),D104,E104))-(H104^2)/2,H104)</f>
        <v>0.17715499743712301</v>
      </c>
      <c r="K104" s="12" t="s">
        <v>213</v>
      </c>
      <c r="L104" s="40">
        <v>40</v>
      </c>
      <c r="M104" s="247" t="s">
        <v>250</v>
      </c>
      <c r="N104" s="247" t="s">
        <v>300</v>
      </c>
      <c r="U104" s="9" t="s">
        <v>6</v>
      </c>
      <c r="V104" s="250">
        <f>boc_unk_int_both</f>
        <v>0.01</v>
      </c>
      <c r="Z104" s="261">
        <f>T103*V104</f>
        <v>9.0000000000000011E-3</v>
      </c>
      <c r="AD104" s="12">
        <v>98</v>
      </c>
      <c r="AE104" s="12">
        <f t="shared" si="78"/>
        <v>143</v>
      </c>
      <c r="AF104" s="260" t="e">
        <f>AF103*(1-VLOOKUP(AE104,boc_trpr_bc,11,TRUE)*boc_rr_bc_mast-VLOOKUP(AE104,boc_trpr_oc,11,TRUE)*boc_rr_oc_mast-VLOOKUP(AE104,mortt,2,FALSE))+SUM(AI103,AK103,AM103)*boc_tr_mast_path+SUM(AJ103,AL103,AN103)*boc_tr_mast_vus</f>
        <v>#N/A</v>
      </c>
      <c r="AG104" s="260" t="e">
        <f>AG103*(1-VLOOKUP(AE104,boc_trpr_bc,11,TRUE)*boc_rr_bc_ooph-VLOOKUP(AE104,boc_trpr_oc,11,TRUE)*boc_rr_oc_ooph-VLOOKUP(AE104,mortt,2,FALSE))+SUM(AI103,AK103,AM103)*boc_tr_ooph_path+SUM(AJ103,AL103,AN103)*boc_tr_ooph_vus</f>
        <v>#N/A</v>
      </c>
      <c r="AH104" s="260" t="e">
        <f>AH103*(1-VLOOKUP(AE104,boc_trpr_bc,11,TRUE)*boc_rr_bc_both-VLOOKUP(AE104,boc_trpr_oc,11,TRUE)*boc_rr_oc_both-VLOOKUP(AE104,mortt,2,FALSE))+SUM(AI103,AK103,AM103)*boc_tr_both_path+SUM(AJ103,AL103,AN103)*boc_tr_both_vus</f>
        <v>#N/A</v>
      </c>
      <c r="AI104" s="289" t="e">
        <f>AI103*(1-VLOOKUP(AE104,boc_trpr_bc,11,TRUE)*boc_rr_bc_hip-VLOOKUP(AE104,boc_trpr_oc,11,TRUE)*boc_rr_oc_hip-boc_tr_mast_path-boc_tr_ooph_path-boc_tr_both_path-VLOOKUP(AE104,mortt,2,FALSE))</f>
        <v>#N/A</v>
      </c>
      <c r="AJ104" s="289" t="e">
        <f>AJ103*(1-VLOOKUP(AE104,boc_trpr_bc,11,TRUE)*boc_rr_bc_hiv-VLOOKUP(AE104,boc_trpr_oc,11,TRUE)*boc_rr_oc_hiv-boc_tr_mast_vus-boc_tr_ooph_vus-boc_tr_both_vus-VLOOKUP(AE104,mortt,2,FALSE))</f>
        <v>#N/A</v>
      </c>
      <c r="AK104" s="289" t="e">
        <f>AK103*(1-VLOOKUP(AE104,boc_trpr_bc,11,TRUE)*boc_rr_bc_modp-VLOOKUP(AE104,boc_trpr_oc,11,TRUE)*boc_rr_oc_modp-boc_tr_mast_path-boc_tr_ooph_path-boc_tr_both_path-VLOOKUP(AE104,mortt,2,FALSE))</f>
        <v>#N/A</v>
      </c>
      <c r="AL104" s="289" t="e">
        <f>AL103*(1-VLOOKUP(AE104,boc_trpr_bc,11,TRUE)*boc_rr_bc_modv-VLOOKUP(AE104,boc_trpr_oc,11,TRUE)*boc_rr_oc_modv-boc_tr_mast_vus-boc_tr_ooph_vus-boc_tr_both_vus-VLOOKUP(AE104,mortt,2,FALSE))</f>
        <v>#N/A</v>
      </c>
      <c r="AM104" s="289" t="e">
        <f>AM103*(1-VLOOKUP(AE104,boc_trpr_bc,11,TRUE)*boc_rr_bc_lop-VLOOKUP(AE104,boc_trpr_oc,11,TRUE)*boc_rr_oc_lop-boc_tr_mast_path-boc_tr_ooph_path-boc_tr_both_path-VLOOKUP(AE104,mortt,2,FALSE))</f>
        <v>#N/A</v>
      </c>
      <c r="AN104" s="289" t="e">
        <f>AN103*(1-VLOOKUP(AE104,boc_trpr_bc,11,TRUE)*boc_rr_bc_lov-VLOOKUP(AE104,boc_trpr_oc,11,TRUE)*boc_rr_oc_lov-boc_tr_mast_vus-boc_tr_ooph_vus-boc_tr_both_vus-VLOOKUP(AE104,mortt,2,FALSE))</f>
        <v>#N/A</v>
      </c>
      <c r="AO104" s="260" t="e">
        <f>AO103*(1-VLOOKUP(AE104,boc_trpr_bc,11,TRUE)*boc_rr_bc_np-VLOOKUP(AE104,boc_trpr_oc,11,TRUE)*boc_rr_oc_np-VLOOKUP(AE104,mortt,2,FALSE))</f>
        <v>#N/A</v>
      </c>
      <c r="AP104" s="260" t="e">
        <f>AF103*VLOOKUP(AE104,boc_trpr_bc,11,TRUE)*boc_rr_bc_mast+AG103*VLOOKUP(AE104,boc_trpr_bc,11,TRUE)*boc_rr_bc_ooph+AH103*VLOOKUP(AE104,boc_trpr_bc,11,TRUE)*boc_rr_bc_both+AI103*VLOOKUP(AE104,boc_trpr_bc,11,TRUE)*boc_rr_bc_hip+AJ103*VLOOKUP(AE104,boc_trpr_bc,11,TRUE)*boc_rr_bc_hiv+AK103*VLOOKUP(AE104,boc_trpr_bc,11,TRUE)*boc_rr_bc_modp+AL103*VLOOKUP(AE104,boc_trpr_bc,11,TRUE)*boc_rr_bc_modv+AM103*VLOOKUP(AE104,boc_trpr_bc,11,TRUE)*boc_rr_bc_lop+AN103*VLOOKUP(AE104,boc_trpr_bc,11,TRUE)*boc_rr_bc_lov+AO103*VLOOKUP(AE104,boc_trpr_bc,11,TRUE)*boc_rr_bc_np</f>
        <v>#N/A</v>
      </c>
      <c r="AQ104" s="260" t="e">
        <f>AF103*VLOOKUP(AE104,boc_trpr_oc,11,TRUE)*boc_rr_oc_mast+AG103*VLOOKUP(AE104,boc_trpr_oc,11,TRUE)*boc_rr_oc_ooph+AH103*VLOOKUP(AE104,boc_trpr_oc,11,TRUE)*boc_rr_oc_both+AI103*VLOOKUP(AE104,boc_trpr_oc,11,TRUE)*boc_rr_oc_hip+AJ103*VLOOKUP(AE104,boc_trpr_oc,11,TRUE)*boc_rr_oc_hiv+AK103*VLOOKUP(AE104,boc_trpr_oc,11,TRUE)*boc_rr_oc_modp+AL103*VLOOKUP(AE104,boc_trpr_oc,11,TRUE)*boc_rr_oc_modv+AM103*VLOOKUP(AE104,boc_trpr_oc,11,TRUE)*boc_rr_oc_lop+AN103*VLOOKUP(AE104,boc_trpr_oc,11,TRUE)*boc_rr_oc_lov+AO103*VLOOKUP(AE104,boc_trpr_oc,11,TRUE)*boc_rr_oc_np</f>
        <v>#N/A</v>
      </c>
      <c r="AR104" s="260" t="e">
        <f>AP103*(1-VLOOKUP(AE104,boc_trpr_bc_death,20,TRUE))+AQ103*(1-VLOOKUP(AE104,boc_trpr_oc_death,20,TRUE))+AR103*(1-VLOOKUP(AE104,mortt,2,FALSE)*boc_rr_death_pc)</f>
        <v>#N/A</v>
      </c>
      <c r="AS104" s="260" t="e">
        <f>AS103+SUM(AF103:AO103)*VLOOKUP(AE104,mortt,2,FALSE)+AP103*VLOOKUP(AE104,boc_trpr_bc_death,20,TRUE)+AQ103*VLOOKUP(AE104,boc_trpr_bc_death,20,TRUE)+AR103*VLOOKUP(AE104,mortt,2,FALSE)*boc_rr_death_pc</f>
        <v>#N/A</v>
      </c>
      <c r="AT104" s="260" t="e">
        <f t="shared" si="52"/>
        <v>#N/A</v>
      </c>
      <c r="AU104" s="118" t="e">
        <f>(boc_cost_mast*SUM(AI104,AK104,AM104)*(boc_tr_mast_path+boc_tr_both_path)+SUM(AJ104,AL104,AN104)*(boc_tr_mast_vus+boc_tr_both_vus)+AP104*boc_cost_bc+AQ104*boc_cost_oc+AR104*boc_cost_pc+(AP104*VLOOKUP(AE104,boc_trpr_bc_death,20,TRUE)+AQ104*VLOOKUP(AE104,boc_trpr_oc_death,TRUE)*boc_cost_death))/((1+discount)^AD104)</f>
        <v>#N/A</v>
      </c>
      <c r="AV104" s="35" t="e">
        <f t="shared" si="62"/>
        <v>#N/A</v>
      </c>
      <c r="AW104" s="35" t="e">
        <f t="shared" si="63"/>
        <v>#N/A</v>
      </c>
      <c r="AY104" s="12">
        <v>98</v>
      </c>
      <c r="AZ104" s="12">
        <f t="shared" si="79"/>
        <v>143</v>
      </c>
      <c r="BA104" s="260" t="e">
        <f>BA103*(1-VLOOKUP(AZ104,boc_trpr_bc,11,TRUE)*boc_rr_bc_mast-VLOOKUP(AZ104,boc_trpr_oc,11,TRUE)*boc_rr_oc_mast-VLOOKUP(AZ104,mortt,2,FALSE))</f>
        <v>#N/A</v>
      </c>
      <c r="BB104" s="260" t="e">
        <f>BB103*(1-VLOOKUP(AZ104,boc_trpr_bc,11,TRUE)*boc_rr_bc_ooph-VLOOKUP(AZ104,boc_trpr_oc,11,TRUE)*boc_rr_oc_ooph-VLOOKUP(AZ104,mortt,2,FALSE))</f>
        <v>#N/A</v>
      </c>
      <c r="BC104" s="260" t="e">
        <f>BC103*(1-VLOOKUP(AZ104,boc_trpr_bc,11,TRUE)*boc_rr_bc_both-VLOOKUP(AZ104,boc_trpr_oc,11,TRUE)*boc_rr_oc_both-VLOOKUP(AZ104,mortt,2,FALSE))</f>
        <v>#N/A</v>
      </c>
      <c r="BD104" s="289" t="e">
        <f>BD103*(1-VLOOKUP(AZ104,boc_trpr_bc,11,TRUE)*boc_rr_bc_hip-VLOOKUP(AZ104,boc_trpr_oc,11,TRUE)*boc_rr_oc_hip-VLOOKUP(AZ104,mortt,2,FALSE))</f>
        <v>#N/A</v>
      </c>
      <c r="BE104" s="289" t="e">
        <f>BE103*(1-VLOOKUP(AZ104,boc_trpr_bc,11,TRUE)*boc_rr_bc_hiv-VLOOKUP(AZ104,boc_trpr_oc,11,TRUE)*boc_rr_oc_hiv-VLOOKUP(AZ104,mortt,2,FALSE))</f>
        <v>#N/A</v>
      </c>
      <c r="BF104" s="289" t="e">
        <f>BF103*(1-VLOOKUP(AZ104,boc_trpr_bc,11,TRUE)*boc_rr_bc_modp-VLOOKUP(AZ104,boc_trpr_oc,11,TRUE)*boc_rr_oc_modp-VLOOKUP(AZ104,mortt,2,FALSE))</f>
        <v>#N/A</v>
      </c>
      <c r="BG104" s="289" t="e">
        <f>BG103*(1-VLOOKUP(AZ104,boc_trpr_bc,11,TRUE)*boc_rr_bc_modv-VLOOKUP(AZ104,boc_trpr_oc,11,TRUE)*boc_rr_oc_modv-VLOOKUP(AZ104,mortt,2,FALSE))</f>
        <v>#N/A</v>
      </c>
      <c r="BH104" s="289" t="e">
        <f>BH103*(1-VLOOKUP(AZ104,boc_trpr_bc,11,TRUE)*boc_rr_bc_lop-VLOOKUP(AZ104,boc_trpr_oc,11,TRUE)*boc_rr_oc_lop-VLOOKUP(AZ104,mortt,2,FALSE))</f>
        <v>#N/A</v>
      </c>
      <c r="BI104" s="289" t="e">
        <f>BI103*(1-VLOOKUP(AZ104,boc_trpr_bc,11,TRUE)*boc_rr_bc_lov-VLOOKUP(AZ104,boc_trpr_oc,11,TRUE)*boc_rr_oc_lov-VLOOKUP(AZ104,mortt,2,FALSE))</f>
        <v>#N/A</v>
      </c>
      <c r="BJ104" s="260" t="e">
        <f>BJ103*(1-VLOOKUP(AZ104,boc_trpr_bc,11,TRUE)*boc_rr_bc_np-VLOOKUP(AZ104,boc_trpr_oc,11,TRUE)*boc_rr_oc_np-VLOOKUP(AZ104,mortt,2,FALSE))</f>
        <v>#N/A</v>
      </c>
      <c r="BK104" s="260" t="e">
        <f>BA103*VLOOKUP(AZ104,boc_trpr_bc,11,TRUE)*boc_rr_bc_mast+BB103*VLOOKUP(AZ104,boc_trpr_bc,11,TRUE)*boc_rr_bc_ooph+BC103*VLOOKUP(AZ104,boc_trpr_bc,11,TRUE)*boc_rr_bc_both+BD103*VLOOKUP(AZ104,boc_trpr_bc,11,TRUE)*boc_rr_bc_hip+BE103*VLOOKUP(AZ104,boc_trpr_bc,11,TRUE)*boc_rr_bc_hiv+BF103*VLOOKUP(AZ104,boc_trpr_bc,11,TRUE)*boc_rr_bc_modp+BG103*VLOOKUP(AZ104,boc_trpr_bc,11,TRUE)*boc_rr_bc_modv+BH103*VLOOKUP(AZ104,boc_trpr_bc,11,TRUE)*boc_rr_bc_lop+BI103*VLOOKUP(AZ104,boc_trpr_bc,11,TRUE)*boc_rr_bc_lov+BJ103*VLOOKUP(AZ104,boc_trpr_bc,11,TRUE)*boc_rr_bc_np</f>
        <v>#N/A</v>
      </c>
      <c r="BL104" s="260" t="e">
        <f>BA103*VLOOKUP(AZ104,boc_trpr_oc,11,TRUE)*boc_rr_oc_mast+BB103*VLOOKUP(AZ104,boc_trpr_oc,11,TRUE)*boc_rr_oc_ooph+BC103*VLOOKUP(AZ104,boc_trpr_oc,11,TRUE)*boc_rr_oc_both+BD103*VLOOKUP(AZ104,boc_trpr_oc,11,TRUE)*boc_rr_oc_hip+BE103*VLOOKUP(AZ104,boc_trpr_oc,11,TRUE)*boc_rr_oc_hiv+BF103*VLOOKUP(AZ104,boc_trpr_oc,11,TRUE)*boc_rr_oc_modp+BG103*VLOOKUP(AZ104,boc_trpr_oc,11,TRUE)*boc_rr_oc_modv+BH103*VLOOKUP(AZ104,boc_trpr_oc,11,TRUE)*boc_rr_oc_lop+BI103*VLOOKUP(AZ104,boc_trpr_oc,11,TRUE)*boc_rr_oc_lov+BJ103*VLOOKUP(AZ104,boc_trpr_oc,11,TRUE)*boc_rr_oc_np</f>
        <v>#N/A</v>
      </c>
      <c r="BM104" s="260" t="e">
        <f>BK103*(1-VLOOKUP(AZ104,boc_trpr_bc_death,20,TRUE))+BL103*(1-VLOOKUP(AZ104,boc_trpr_oc_death,20,TRUE))+BM103*(1-VLOOKUP(AZ104,mortt,2,FALSE)*boc_rr_death_pc)</f>
        <v>#N/A</v>
      </c>
      <c r="BN104" s="260" t="e">
        <f>BN103+SUM(BA103:BJ103)*VLOOKUP(AZ104,mortt,2,FALSE)+BK103*VLOOKUP(AZ104,boc_trpr_bc_death,20,TRUE)+BL103*VLOOKUP(AZ104,boc_trpr_bc_death,20,TRUE)+BM103*VLOOKUP(AZ104,mortt,2,FALSE)*boc_rr_death_pc</f>
        <v>#N/A</v>
      </c>
      <c r="BO104" s="260" t="e">
        <f t="shared" si="77"/>
        <v>#N/A</v>
      </c>
      <c r="BP104" s="118" t="e">
        <f>(boc_cost_mast*SUM(BD104,BF104,BH104)*(boc_tr_mast_path+boc_tr_both_path)+SUM(BE104,BG104,BI104)*(boc_tr_mast_vus+boc_tr_both_vus)+BK104*boc_cost_bc+BL104*boc_cost_oc+BM104*boc_cost_pc+(BK104*VLOOKUP(AZ104,boc_trpr_bc_death,20,TRUE)+BL104*VLOOKUP(AZ104,boc_trpr_oc_death,TRUE)*boc_cost_death))/((1+discount)^AY104)</f>
        <v>#N/A</v>
      </c>
      <c r="BQ104" s="35" t="e">
        <f t="shared" si="65"/>
        <v>#N/A</v>
      </c>
      <c r="BR104" s="35" t="e">
        <f t="shared" si="66"/>
        <v>#N/A</v>
      </c>
      <c r="BS104" s="35"/>
      <c r="CD104" s="138">
        <v>99</v>
      </c>
      <c r="CE104" s="291">
        <v>0.29344300000000001</v>
      </c>
    </row>
    <row r="105" spans="2:83" ht="15" customHeight="1" x14ac:dyDescent="0.2">
      <c r="B105" s="19" t="s">
        <v>156</v>
      </c>
      <c r="C105" s="35">
        <f>IF(psa,J105,IF(owsa_low=L105,F105,IF(owsa_high=L105,G105,IF(ISNUMBER(D105),D105,E105))))</f>
        <v>0.16</v>
      </c>
      <c r="D105" s="158"/>
      <c r="E105" s="371">
        <v>0.16</v>
      </c>
      <c r="F105" s="35">
        <f>MAX(0,IF(ISNUMBER(D105),D105,E105)*(1-owsa_boc))</f>
        <v>0.128</v>
      </c>
      <c r="G105" s="35">
        <f>IF(ISNUMBER(D105),D105,E105)*(1+owsa_boc)</f>
        <v>0.192</v>
      </c>
      <c r="H105" s="69">
        <f t="shared" si="76"/>
        <v>0.10343687723509756</v>
      </c>
      <c r="I105" s="48"/>
      <c r="J105" s="35">
        <f ca="1">_xlfn.LOGNORM.INV(RAND(),LN(IF(ISNUMBER(D105),D105,E105))-(H105^2)/2,H105)</f>
        <v>0.14162514031545406</v>
      </c>
      <c r="K105" s="12" t="s">
        <v>213</v>
      </c>
      <c r="L105" s="40">
        <v>41</v>
      </c>
      <c r="M105" s="247" t="s">
        <v>251</v>
      </c>
      <c r="N105" s="247" t="s">
        <v>300</v>
      </c>
      <c r="U105" s="9" t="s">
        <v>9</v>
      </c>
      <c r="V105" s="250">
        <f>1-SUM(V102,V103,V104)</f>
        <v>0.97</v>
      </c>
      <c r="AA105" s="261">
        <f>T103*V105</f>
        <v>0.873</v>
      </c>
      <c r="AD105" s="12">
        <v>99</v>
      </c>
      <c r="AE105" s="12">
        <f t="shared" si="78"/>
        <v>144</v>
      </c>
      <c r="AF105" s="260" t="e">
        <f>AF104*(1-VLOOKUP(AE105,boc_trpr_bc,11,TRUE)*boc_rr_bc_mast-VLOOKUP(AE105,boc_trpr_oc,11,TRUE)*boc_rr_oc_mast-VLOOKUP(AE105,mortt,2,FALSE))+SUM(AI104,AK104,AM104)*boc_tr_mast_path+SUM(AJ104,AL104,AN104)*boc_tr_mast_vus</f>
        <v>#N/A</v>
      </c>
      <c r="AG105" s="260" t="e">
        <f>AG104*(1-VLOOKUP(AE105,boc_trpr_bc,11,TRUE)*boc_rr_bc_ooph-VLOOKUP(AE105,boc_trpr_oc,11,TRUE)*boc_rr_oc_ooph-VLOOKUP(AE105,mortt,2,FALSE))+SUM(AI104,AK104,AM104)*boc_tr_ooph_path+SUM(AJ104,AL104,AN104)*boc_tr_ooph_vus</f>
        <v>#N/A</v>
      </c>
      <c r="AH105" s="260" t="e">
        <f>AH104*(1-VLOOKUP(AE105,boc_trpr_bc,11,TRUE)*boc_rr_bc_both-VLOOKUP(AE105,boc_trpr_oc,11,TRUE)*boc_rr_oc_both-VLOOKUP(AE105,mortt,2,FALSE))+SUM(AI104,AK104,AM104)*boc_tr_both_path+SUM(AJ104,AL104,AN104)*boc_tr_both_vus</f>
        <v>#N/A</v>
      </c>
      <c r="AI105" s="289" t="e">
        <f>AI104*(1-VLOOKUP(AE105,boc_trpr_bc,11,TRUE)*boc_rr_bc_hip-VLOOKUP(AE105,boc_trpr_oc,11,TRUE)*boc_rr_oc_hip-boc_tr_mast_path-boc_tr_ooph_path-boc_tr_both_path-VLOOKUP(AE105,mortt,2,FALSE))</f>
        <v>#N/A</v>
      </c>
      <c r="AJ105" s="289" t="e">
        <f>AJ104*(1-VLOOKUP(AE105,boc_trpr_bc,11,TRUE)*boc_rr_bc_hiv-VLOOKUP(AE105,boc_trpr_oc,11,TRUE)*boc_rr_oc_hiv-boc_tr_mast_vus-boc_tr_ooph_vus-boc_tr_both_vus-VLOOKUP(AE105,mortt,2,FALSE))</f>
        <v>#N/A</v>
      </c>
      <c r="AK105" s="289" t="e">
        <f>AK104*(1-VLOOKUP(AE105,boc_trpr_bc,11,TRUE)*boc_rr_bc_modp-VLOOKUP(AE105,boc_trpr_oc,11,TRUE)*boc_rr_oc_modp-boc_tr_mast_path-boc_tr_ooph_path-boc_tr_both_path-VLOOKUP(AE105,mortt,2,FALSE))</f>
        <v>#N/A</v>
      </c>
      <c r="AL105" s="289" t="e">
        <f>AL104*(1-VLOOKUP(AE105,boc_trpr_bc,11,TRUE)*boc_rr_bc_modv-VLOOKUP(AE105,boc_trpr_oc,11,TRUE)*boc_rr_oc_modv-boc_tr_mast_vus-boc_tr_ooph_vus-boc_tr_both_vus-VLOOKUP(AE105,mortt,2,FALSE))</f>
        <v>#N/A</v>
      </c>
      <c r="AM105" s="289" t="e">
        <f>AM104*(1-VLOOKUP(AE105,boc_trpr_bc,11,TRUE)*boc_rr_bc_lop-VLOOKUP(AE105,boc_trpr_oc,11,TRUE)*boc_rr_oc_lop-boc_tr_mast_path-boc_tr_ooph_path-boc_tr_both_path-VLOOKUP(AE105,mortt,2,FALSE))</f>
        <v>#N/A</v>
      </c>
      <c r="AN105" s="289" t="e">
        <f>AN104*(1-VLOOKUP(AE105,boc_trpr_bc,11,TRUE)*boc_rr_bc_lov-VLOOKUP(AE105,boc_trpr_oc,11,TRUE)*boc_rr_oc_lov-boc_tr_mast_vus-boc_tr_ooph_vus-boc_tr_both_vus-VLOOKUP(AE105,mortt,2,FALSE))</f>
        <v>#N/A</v>
      </c>
      <c r="AO105" s="260" t="e">
        <f>AO104*(1-VLOOKUP(AE105,boc_trpr_bc,11,TRUE)*boc_rr_bc_np-VLOOKUP(AE105,boc_trpr_oc,11,TRUE)*boc_rr_oc_np-VLOOKUP(AE105,mortt,2,FALSE))</f>
        <v>#N/A</v>
      </c>
      <c r="AP105" s="260" t="e">
        <f>AF104*VLOOKUP(AE105,boc_trpr_bc,11,TRUE)*boc_rr_bc_mast+AG104*VLOOKUP(AE105,boc_trpr_bc,11,TRUE)*boc_rr_bc_ooph+AH104*VLOOKUP(AE105,boc_trpr_bc,11,TRUE)*boc_rr_bc_both+AI104*VLOOKUP(AE105,boc_trpr_bc,11,TRUE)*boc_rr_bc_hip+AJ104*VLOOKUP(AE105,boc_trpr_bc,11,TRUE)*boc_rr_bc_hiv+AK104*VLOOKUP(AE105,boc_trpr_bc,11,TRUE)*boc_rr_bc_modp+AL104*VLOOKUP(AE105,boc_trpr_bc,11,TRUE)*boc_rr_bc_modv+AM104*VLOOKUP(AE105,boc_trpr_bc,11,TRUE)*boc_rr_bc_lop+AN104*VLOOKUP(AE105,boc_trpr_bc,11,TRUE)*boc_rr_bc_lov+AO104*VLOOKUP(AE105,boc_trpr_bc,11,TRUE)*boc_rr_bc_np</f>
        <v>#N/A</v>
      </c>
      <c r="AQ105" s="260" t="e">
        <f>AF104*VLOOKUP(AE105,boc_trpr_oc,11,TRUE)*boc_rr_oc_mast+AG104*VLOOKUP(AE105,boc_trpr_oc,11,TRUE)*boc_rr_oc_ooph+AH104*VLOOKUP(AE105,boc_trpr_oc,11,TRUE)*boc_rr_oc_both+AI104*VLOOKUP(AE105,boc_trpr_oc,11,TRUE)*boc_rr_oc_hip+AJ104*VLOOKUP(AE105,boc_trpr_oc,11,TRUE)*boc_rr_oc_hiv+AK104*VLOOKUP(AE105,boc_trpr_oc,11,TRUE)*boc_rr_oc_modp+AL104*VLOOKUP(AE105,boc_trpr_oc,11,TRUE)*boc_rr_oc_modv+AM104*VLOOKUP(AE105,boc_trpr_oc,11,TRUE)*boc_rr_oc_lop+AN104*VLOOKUP(AE105,boc_trpr_oc,11,TRUE)*boc_rr_oc_lov+AO104*VLOOKUP(AE105,boc_trpr_oc,11,TRUE)*boc_rr_oc_np</f>
        <v>#N/A</v>
      </c>
      <c r="AR105" s="260" t="e">
        <f>AP104*(1-VLOOKUP(AE105,boc_trpr_bc_death,20,TRUE))+AQ104*(1-VLOOKUP(AE105,boc_trpr_oc_death,20,TRUE))+AR104*(1-VLOOKUP(AE105,mortt,2,FALSE)*boc_rr_death_pc)</f>
        <v>#N/A</v>
      </c>
      <c r="AS105" s="260" t="e">
        <f>AS104+SUM(AF104:AO104)*VLOOKUP(AE105,mortt,2,FALSE)+AP104*VLOOKUP(AE105,boc_trpr_bc_death,20,TRUE)+AQ104*VLOOKUP(AE105,boc_trpr_bc_death,20,TRUE)+AR104*VLOOKUP(AE105,mortt,2,FALSE)*boc_rr_death_pc</f>
        <v>#N/A</v>
      </c>
      <c r="AT105" s="260" t="e">
        <f t="shared" si="52"/>
        <v>#N/A</v>
      </c>
      <c r="AU105" s="118" t="e">
        <f>(boc_cost_mast*SUM(AI105,AK105,AM105)*(boc_tr_mast_path+boc_tr_both_path)+SUM(AJ105,AL105,AN105)*(boc_tr_mast_vus+boc_tr_both_vus)+AP105*boc_cost_bc+AQ105*boc_cost_oc+AR105*boc_cost_pc+(AP105*VLOOKUP(AE105,boc_trpr_bc_death,20,TRUE)+AQ105*VLOOKUP(AE105,boc_trpr_oc_death,TRUE)*boc_cost_death))/((1+discount)^AD105)</f>
        <v>#N/A</v>
      </c>
      <c r="AV105" s="35" t="e">
        <f t="shared" si="62"/>
        <v>#N/A</v>
      </c>
      <c r="AW105" s="35" t="e">
        <f t="shared" si="63"/>
        <v>#N/A</v>
      </c>
      <c r="AY105" s="12">
        <v>99</v>
      </c>
      <c r="AZ105" s="12">
        <f t="shared" si="79"/>
        <v>144</v>
      </c>
      <c r="BA105" s="260" t="e">
        <f>BA104*(1-VLOOKUP(AZ105,boc_trpr_bc,11,TRUE)*boc_rr_bc_mast-VLOOKUP(AZ105,boc_trpr_oc,11,TRUE)*boc_rr_oc_mast-VLOOKUP(AZ105,mortt,2,FALSE))</f>
        <v>#N/A</v>
      </c>
      <c r="BB105" s="260" t="e">
        <f>BB104*(1-VLOOKUP(AZ105,boc_trpr_bc,11,TRUE)*boc_rr_bc_ooph-VLOOKUP(AZ105,boc_trpr_oc,11,TRUE)*boc_rr_oc_ooph-VLOOKUP(AZ105,mortt,2,FALSE))</f>
        <v>#N/A</v>
      </c>
      <c r="BC105" s="260" t="e">
        <f>BC104*(1-VLOOKUP(AZ105,boc_trpr_bc,11,TRUE)*boc_rr_bc_both-VLOOKUP(AZ105,boc_trpr_oc,11,TRUE)*boc_rr_oc_both-VLOOKUP(AZ105,mortt,2,FALSE))</f>
        <v>#N/A</v>
      </c>
      <c r="BD105" s="289" t="e">
        <f>BD104*(1-VLOOKUP(AZ105,boc_trpr_bc,11,TRUE)*boc_rr_bc_hip-VLOOKUP(AZ105,boc_trpr_oc,11,TRUE)*boc_rr_oc_hip-VLOOKUP(AZ105,mortt,2,FALSE))</f>
        <v>#N/A</v>
      </c>
      <c r="BE105" s="289" t="e">
        <f>BE104*(1-VLOOKUP(AZ105,boc_trpr_bc,11,TRUE)*boc_rr_bc_hiv-VLOOKUP(AZ105,boc_trpr_oc,11,TRUE)*boc_rr_oc_hiv-VLOOKUP(AZ105,mortt,2,FALSE))</f>
        <v>#N/A</v>
      </c>
      <c r="BF105" s="289" t="e">
        <f>BF104*(1-VLOOKUP(AZ105,boc_trpr_bc,11,TRUE)*boc_rr_bc_modp-VLOOKUP(AZ105,boc_trpr_oc,11,TRUE)*boc_rr_oc_modp-VLOOKUP(AZ105,mortt,2,FALSE))</f>
        <v>#N/A</v>
      </c>
      <c r="BG105" s="289" t="e">
        <f>BG104*(1-VLOOKUP(AZ105,boc_trpr_bc,11,TRUE)*boc_rr_bc_modv-VLOOKUP(AZ105,boc_trpr_oc,11,TRUE)*boc_rr_oc_modv-VLOOKUP(AZ105,mortt,2,FALSE))</f>
        <v>#N/A</v>
      </c>
      <c r="BH105" s="289" t="e">
        <f>BH104*(1-VLOOKUP(AZ105,boc_trpr_bc,11,TRUE)*boc_rr_bc_lop-VLOOKUP(AZ105,boc_trpr_oc,11,TRUE)*boc_rr_oc_lop-VLOOKUP(AZ105,mortt,2,FALSE))</f>
        <v>#N/A</v>
      </c>
      <c r="BI105" s="289" t="e">
        <f>BI104*(1-VLOOKUP(AZ105,boc_trpr_bc,11,TRUE)*boc_rr_bc_lov-VLOOKUP(AZ105,boc_trpr_oc,11,TRUE)*boc_rr_oc_lov-VLOOKUP(AZ105,mortt,2,FALSE))</f>
        <v>#N/A</v>
      </c>
      <c r="BJ105" s="260" t="e">
        <f>BJ104*(1-VLOOKUP(AZ105,boc_trpr_bc,11,TRUE)*boc_rr_bc_np-VLOOKUP(AZ105,boc_trpr_oc,11,TRUE)*boc_rr_oc_np-VLOOKUP(AZ105,mortt,2,FALSE))</f>
        <v>#N/A</v>
      </c>
      <c r="BK105" s="260" t="e">
        <f>BA104*VLOOKUP(AZ105,boc_trpr_bc,11,TRUE)*boc_rr_bc_mast+BB104*VLOOKUP(AZ105,boc_trpr_bc,11,TRUE)*boc_rr_bc_ooph+BC104*VLOOKUP(AZ105,boc_trpr_bc,11,TRUE)*boc_rr_bc_both+BD104*VLOOKUP(AZ105,boc_trpr_bc,11,TRUE)*boc_rr_bc_hip+BE104*VLOOKUP(AZ105,boc_trpr_bc,11,TRUE)*boc_rr_bc_hiv+BF104*VLOOKUP(AZ105,boc_trpr_bc,11,TRUE)*boc_rr_bc_modp+BG104*VLOOKUP(AZ105,boc_trpr_bc,11,TRUE)*boc_rr_bc_modv+BH104*VLOOKUP(AZ105,boc_trpr_bc,11,TRUE)*boc_rr_bc_lop+BI104*VLOOKUP(AZ105,boc_trpr_bc,11,TRUE)*boc_rr_bc_lov+BJ104*VLOOKUP(AZ105,boc_trpr_bc,11,TRUE)*boc_rr_bc_np</f>
        <v>#N/A</v>
      </c>
      <c r="BL105" s="260" t="e">
        <f>BA104*VLOOKUP(AZ105,boc_trpr_oc,11,TRUE)*boc_rr_oc_mast+BB104*VLOOKUP(AZ105,boc_trpr_oc,11,TRUE)*boc_rr_oc_ooph+BC104*VLOOKUP(AZ105,boc_trpr_oc,11,TRUE)*boc_rr_oc_both+BD104*VLOOKUP(AZ105,boc_trpr_oc,11,TRUE)*boc_rr_oc_hip+BE104*VLOOKUP(AZ105,boc_trpr_oc,11,TRUE)*boc_rr_oc_hiv+BF104*VLOOKUP(AZ105,boc_trpr_oc,11,TRUE)*boc_rr_oc_modp+BG104*VLOOKUP(AZ105,boc_trpr_oc,11,TRUE)*boc_rr_oc_modv+BH104*VLOOKUP(AZ105,boc_trpr_oc,11,TRUE)*boc_rr_oc_lop+BI104*VLOOKUP(AZ105,boc_trpr_oc,11,TRUE)*boc_rr_oc_lov+BJ104*VLOOKUP(AZ105,boc_trpr_oc,11,TRUE)*boc_rr_oc_np</f>
        <v>#N/A</v>
      </c>
      <c r="BM105" s="260" t="e">
        <f>BK104*(1-VLOOKUP(AZ105,boc_trpr_bc_death,20,TRUE))+BL104*(1-VLOOKUP(AZ105,boc_trpr_oc_death,20,TRUE))+BM104*(1-VLOOKUP(AZ105,mortt,2,FALSE)*boc_rr_death_pc)</f>
        <v>#N/A</v>
      </c>
      <c r="BN105" s="260" t="e">
        <f>BN104+SUM(BA104:BJ104)*VLOOKUP(AZ105,mortt,2,FALSE)+BK104*VLOOKUP(AZ105,boc_trpr_bc_death,20,TRUE)+BL104*VLOOKUP(AZ105,boc_trpr_bc_death,20,TRUE)+BM104*VLOOKUP(AZ105,mortt,2,FALSE)*boc_rr_death_pc</f>
        <v>#N/A</v>
      </c>
      <c r="BO105" s="260" t="e">
        <f t="shared" si="77"/>
        <v>#N/A</v>
      </c>
      <c r="BP105" s="118" t="e">
        <f>(boc_cost_mast*SUM(BD105,BF105,BH105)*(boc_tr_mast_path+boc_tr_both_path)+SUM(BE105,BG105,BI105)*(boc_tr_mast_vus+boc_tr_both_vus)+BK105*boc_cost_bc+BL105*boc_cost_oc+BM105*boc_cost_pc+(BK105*VLOOKUP(AZ105,boc_trpr_bc_death,20,TRUE)+BL105*VLOOKUP(AZ105,boc_trpr_oc_death,TRUE)*boc_cost_death))/((1+discount)^AY105)</f>
        <v>#N/A</v>
      </c>
      <c r="BQ105" s="35" t="e">
        <f t="shared" si="65"/>
        <v>#N/A</v>
      </c>
      <c r="BR105" s="35" t="e">
        <f t="shared" si="66"/>
        <v>#N/A</v>
      </c>
      <c r="BS105" s="35"/>
      <c r="CD105" s="138">
        <v>100</v>
      </c>
      <c r="CE105" s="291">
        <v>1</v>
      </c>
    </row>
    <row r="106" spans="2:83" ht="15" customHeight="1" x14ac:dyDescent="0.2">
      <c r="B106" s="38" t="s">
        <v>171</v>
      </c>
      <c r="AD106" s="12">
        <v>100</v>
      </c>
      <c r="AE106" s="12">
        <f t="shared" si="78"/>
        <v>145</v>
      </c>
      <c r="AF106" s="260" t="e">
        <f>AF105*(1-VLOOKUP(AE106,boc_trpr_bc,11,TRUE)*boc_rr_bc_mast-VLOOKUP(AE106,boc_trpr_oc,11,TRUE)*boc_rr_oc_mast-VLOOKUP(AE106,mortt,2,FALSE))+SUM(AI105,AK105,AM105)*boc_tr_mast_path+SUM(AJ105,AL105,AN105)*boc_tr_mast_vus</f>
        <v>#N/A</v>
      </c>
      <c r="AG106" s="260" t="e">
        <f>AG105*(1-VLOOKUP(AE106,boc_trpr_bc,11,TRUE)*boc_rr_bc_ooph-VLOOKUP(AE106,boc_trpr_oc,11,TRUE)*boc_rr_oc_ooph-VLOOKUP(AE106,mortt,2,FALSE))+SUM(AI105,AK105,AM105)*boc_tr_ooph_path+SUM(AJ105,AL105,AN105)*boc_tr_ooph_vus</f>
        <v>#N/A</v>
      </c>
      <c r="AH106" s="260" t="e">
        <f>AH105*(1-VLOOKUP(AE106,boc_trpr_bc,11,TRUE)*boc_rr_bc_both-VLOOKUP(AE106,boc_trpr_oc,11,TRUE)*boc_rr_oc_both-VLOOKUP(AE106,mortt,2,FALSE))+SUM(AI105,AK105,AM105)*boc_tr_both_path+SUM(AJ105,AL105,AN105)*boc_tr_both_vus</f>
        <v>#N/A</v>
      </c>
      <c r="AI106" s="289" t="e">
        <f>AI105*(1-VLOOKUP(AE106,boc_trpr_bc,11,TRUE)*boc_rr_bc_hip-VLOOKUP(AE106,boc_trpr_oc,11,TRUE)*boc_rr_oc_hip-boc_tr_mast_path-boc_tr_ooph_path-boc_tr_both_path-VLOOKUP(AE106,mortt,2,FALSE))</f>
        <v>#N/A</v>
      </c>
      <c r="AJ106" s="289" t="e">
        <f>AJ105*(1-VLOOKUP(AE106,boc_trpr_bc,11,TRUE)*boc_rr_bc_hiv-VLOOKUP(AE106,boc_trpr_oc,11,TRUE)*boc_rr_oc_hiv-boc_tr_mast_vus-boc_tr_ooph_vus-boc_tr_both_vus-VLOOKUP(AE106,mortt,2,FALSE))</f>
        <v>#N/A</v>
      </c>
      <c r="AK106" s="289" t="e">
        <f>AK105*(1-VLOOKUP(AE106,boc_trpr_bc,11,TRUE)*boc_rr_bc_modp-VLOOKUP(AE106,boc_trpr_oc,11,TRUE)*boc_rr_oc_modp-boc_tr_mast_path-boc_tr_ooph_path-boc_tr_both_path-VLOOKUP(AE106,mortt,2,FALSE))</f>
        <v>#N/A</v>
      </c>
      <c r="AL106" s="289" t="e">
        <f>AL105*(1-VLOOKUP(AE106,boc_trpr_bc,11,TRUE)*boc_rr_bc_modv-VLOOKUP(AE106,boc_trpr_oc,11,TRUE)*boc_rr_oc_modv-boc_tr_mast_vus-boc_tr_ooph_vus-boc_tr_both_vus-VLOOKUP(AE106,mortt,2,FALSE))</f>
        <v>#N/A</v>
      </c>
      <c r="AM106" s="289" t="e">
        <f>AM105*(1-VLOOKUP(AE106,boc_trpr_bc,11,TRUE)*boc_rr_bc_lop-VLOOKUP(AE106,boc_trpr_oc,11,TRUE)*boc_rr_oc_lop-boc_tr_mast_path-boc_tr_ooph_path-boc_tr_both_path-VLOOKUP(AE106,mortt,2,FALSE))</f>
        <v>#N/A</v>
      </c>
      <c r="AN106" s="289" t="e">
        <f>AN105*(1-VLOOKUP(AE106,boc_trpr_bc,11,TRUE)*boc_rr_bc_lov-VLOOKUP(AE106,boc_trpr_oc,11,TRUE)*boc_rr_oc_lov-boc_tr_mast_vus-boc_tr_ooph_vus-boc_tr_both_vus-VLOOKUP(AE106,mortt,2,FALSE))</f>
        <v>#N/A</v>
      </c>
      <c r="AO106" s="260" t="e">
        <f>AO105*(1-VLOOKUP(AE106,boc_trpr_bc,11,TRUE)*boc_rr_bc_np-VLOOKUP(AE106,boc_trpr_oc,11,TRUE)*boc_rr_oc_np-VLOOKUP(AE106,mortt,2,FALSE))</f>
        <v>#N/A</v>
      </c>
      <c r="AP106" s="260" t="e">
        <f>AF105*VLOOKUP(AE106,boc_trpr_bc,11,TRUE)*boc_rr_bc_mast+AG105*VLOOKUP(AE106,boc_trpr_bc,11,TRUE)*boc_rr_bc_ooph+AH105*VLOOKUP(AE106,boc_trpr_bc,11,TRUE)*boc_rr_bc_both+AI105*VLOOKUP(AE106,boc_trpr_bc,11,TRUE)*boc_rr_bc_hip+AJ105*VLOOKUP(AE106,boc_trpr_bc,11,TRUE)*boc_rr_bc_hiv+AK105*VLOOKUP(AE106,boc_trpr_bc,11,TRUE)*boc_rr_bc_modp+AL105*VLOOKUP(AE106,boc_trpr_bc,11,TRUE)*boc_rr_bc_modv+AM105*VLOOKUP(AE106,boc_trpr_bc,11,TRUE)*boc_rr_bc_lop+AN105*VLOOKUP(AE106,boc_trpr_bc,11,TRUE)*boc_rr_bc_lov+AO105*VLOOKUP(AE106,boc_trpr_bc,11,TRUE)*boc_rr_bc_np</f>
        <v>#N/A</v>
      </c>
      <c r="AQ106" s="260" t="e">
        <f>AF105*VLOOKUP(AE106,boc_trpr_oc,11,TRUE)*boc_rr_oc_mast+AG105*VLOOKUP(AE106,boc_trpr_oc,11,TRUE)*boc_rr_oc_ooph+AH105*VLOOKUP(AE106,boc_trpr_oc,11,TRUE)*boc_rr_oc_both+AI105*VLOOKUP(AE106,boc_trpr_oc,11,TRUE)*boc_rr_oc_hip+AJ105*VLOOKUP(AE106,boc_trpr_oc,11,TRUE)*boc_rr_oc_hiv+AK105*VLOOKUP(AE106,boc_trpr_oc,11,TRUE)*boc_rr_oc_modp+AL105*VLOOKUP(AE106,boc_trpr_oc,11,TRUE)*boc_rr_oc_modv+AM105*VLOOKUP(AE106,boc_trpr_oc,11,TRUE)*boc_rr_oc_lop+AN105*VLOOKUP(AE106,boc_trpr_oc,11,TRUE)*boc_rr_oc_lov+AO105*VLOOKUP(AE106,boc_trpr_oc,11,TRUE)*boc_rr_oc_np</f>
        <v>#N/A</v>
      </c>
      <c r="AR106" s="260" t="e">
        <f>AP105*(1-VLOOKUP(AE106,boc_trpr_bc_death,20,TRUE))+AQ105*(1-VLOOKUP(AE106,boc_trpr_oc_death,20,TRUE))+AR105*(1-VLOOKUP(AE106,mortt,2,FALSE)*boc_rr_death_pc)</f>
        <v>#N/A</v>
      </c>
      <c r="AS106" s="260" t="e">
        <f>AS105+SUM(AF105:AO105)*VLOOKUP(AE106,mortt,2,FALSE)+AP105*VLOOKUP(AE106,boc_trpr_bc_death,20,TRUE)+AQ105*VLOOKUP(AE106,boc_trpr_bc_death,20,TRUE)+AR105*VLOOKUP(AE106,mortt,2,FALSE)*boc_rr_death_pc</f>
        <v>#N/A</v>
      </c>
      <c r="AT106" s="260" t="e">
        <f t="shared" si="52"/>
        <v>#N/A</v>
      </c>
      <c r="AU106" s="118" t="e">
        <f>(boc_cost_mast*SUM(AI106,AK106,AM106)*(boc_tr_mast_path+boc_tr_both_path)+SUM(AJ106,AL106,AN106)*(boc_tr_mast_vus+boc_tr_both_vus)+AP106*boc_cost_bc+AQ106*boc_cost_oc+AR106*boc_cost_pc+(AP106*VLOOKUP(AE106,boc_trpr_bc_death,20,TRUE)+AQ106*VLOOKUP(AE106,boc_trpr_oc_death,TRUE)*boc_cost_death))/((1+discount)^AD106)</f>
        <v>#N/A</v>
      </c>
      <c r="AV106" s="35" t="e">
        <f t="shared" si="62"/>
        <v>#N/A</v>
      </c>
      <c r="AW106" s="35" t="e">
        <f t="shared" si="63"/>
        <v>#N/A</v>
      </c>
      <c r="AY106" s="12">
        <v>100</v>
      </c>
      <c r="AZ106" s="12">
        <f t="shared" si="79"/>
        <v>145</v>
      </c>
      <c r="BA106" s="260" t="e">
        <f>BA105*(1-VLOOKUP(AZ106,boc_trpr_bc,11,TRUE)*boc_rr_bc_mast-VLOOKUP(AZ106,boc_trpr_oc,11,TRUE)*boc_rr_oc_mast-VLOOKUP(AZ106,mortt,2,FALSE))</f>
        <v>#N/A</v>
      </c>
      <c r="BB106" s="260" t="e">
        <f>BB105*(1-VLOOKUP(AZ106,boc_trpr_bc,11,TRUE)*boc_rr_bc_ooph-VLOOKUP(AZ106,boc_trpr_oc,11,TRUE)*boc_rr_oc_ooph-VLOOKUP(AZ106,mortt,2,FALSE))</f>
        <v>#N/A</v>
      </c>
      <c r="BC106" s="260" t="e">
        <f>BC105*(1-VLOOKUP(AZ106,boc_trpr_bc,11,TRUE)*boc_rr_bc_both-VLOOKUP(AZ106,boc_trpr_oc,11,TRUE)*boc_rr_oc_both-VLOOKUP(AZ106,mortt,2,FALSE))</f>
        <v>#N/A</v>
      </c>
      <c r="BD106" s="289" t="e">
        <f>BD105*(1-VLOOKUP(AZ106,boc_trpr_bc,11,TRUE)*boc_rr_bc_hip-VLOOKUP(AZ106,boc_trpr_oc,11,TRUE)*boc_rr_oc_hip-VLOOKUP(AZ106,mortt,2,FALSE))</f>
        <v>#N/A</v>
      </c>
      <c r="BE106" s="289" t="e">
        <f>BE105*(1-VLOOKUP(AZ106,boc_trpr_bc,11,TRUE)*boc_rr_bc_hiv-VLOOKUP(AZ106,boc_trpr_oc,11,TRUE)*boc_rr_oc_hiv-VLOOKUP(AZ106,mortt,2,FALSE))</f>
        <v>#N/A</v>
      </c>
      <c r="BF106" s="289" t="e">
        <f>BF105*(1-VLOOKUP(AZ106,boc_trpr_bc,11,TRUE)*boc_rr_bc_modp-VLOOKUP(AZ106,boc_trpr_oc,11,TRUE)*boc_rr_oc_modp-VLOOKUP(AZ106,mortt,2,FALSE))</f>
        <v>#N/A</v>
      </c>
      <c r="BG106" s="289" t="e">
        <f>BG105*(1-VLOOKUP(AZ106,boc_trpr_bc,11,TRUE)*boc_rr_bc_modv-VLOOKUP(AZ106,boc_trpr_oc,11,TRUE)*boc_rr_oc_modv-VLOOKUP(AZ106,mortt,2,FALSE))</f>
        <v>#N/A</v>
      </c>
      <c r="BH106" s="289" t="e">
        <f>BH105*(1-VLOOKUP(AZ106,boc_trpr_bc,11,TRUE)*boc_rr_bc_lop-VLOOKUP(AZ106,boc_trpr_oc,11,TRUE)*boc_rr_oc_lop-VLOOKUP(AZ106,mortt,2,FALSE))</f>
        <v>#N/A</v>
      </c>
      <c r="BI106" s="289" t="e">
        <f>BI105*(1-VLOOKUP(AZ106,boc_trpr_bc,11,TRUE)*boc_rr_bc_lov-VLOOKUP(AZ106,boc_trpr_oc,11,TRUE)*boc_rr_oc_lov-VLOOKUP(AZ106,mortt,2,FALSE))</f>
        <v>#N/A</v>
      </c>
      <c r="BJ106" s="260" t="e">
        <f>BJ105*(1-VLOOKUP(AZ106,boc_trpr_bc,11,TRUE)*boc_rr_bc_np-VLOOKUP(AZ106,boc_trpr_oc,11,TRUE)*boc_rr_oc_np-VLOOKUP(AZ106,mortt,2,FALSE))</f>
        <v>#N/A</v>
      </c>
      <c r="BK106" s="260" t="e">
        <f>BA105*VLOOKUP(AZ106,boc_trpr_bc,11,TRUE)*boc_rr_bc_mast+BB105*VLOOKUP(AZ106,boc_trpr_bc,11,TRUE)*boc_rr_bc_ooph+BC105*VLOOKUP(AZ106,boc_trpr_bc,11,TRUE)*boc_rr_bc_both+BD105*VLOOKUP(AZ106,boc_trpr_bc,11,TRUE)*boc_rr_bc_hip+BE105*VLOOKUP(AZ106,boc_trpr_bc,11,TRUE)*boc_rr_bc_hiv+BF105*VLOOKUP(AZ106,boc_trpr_bc,11,TRUE)*boc_rr_bc_modp+BG105*VLOOKUP(AZ106,boc_trpr_bc,11,TRUE)*boc_rr_bc_modv+BH105*VLOOKUP(AZ106,boc_trpr_bc,11,TRUE)*boc_rr_bc_lop+BI105*VLOOKUP(AZ106,boc_trpr_bc,11,TRUE)*boc_rr_bc_lov+BJ105*VLOOKUP(AZ106,boc_trpr_bc,11,TRUE)*boc_rr_bc_np</f>
        <v>#N/A</v>
      </c>
      <c r="BL106" s="260" t="e">
        <f>BA105*VLOOKUP(AZ106,boc_trpr_oc,11,TRUE)*boc_rr_oc_mast+BB105*VLOOKUP(AZ106,boc_trpr_oc,11,TRUE)*boc_rr_oc_ooph+BC105*VLOOKUP(AZ106,boc_trpr_oc,11,TRUE)*boc_rr_oc_both+BD105*VLOOKUP(AZ106,boc_trpr_oc,11,TRUE)*boc_rr_oc_hip+BE105*VLOOKUP(AZ106,boc_trpr_oc,11,TRUE)*boc_rr_oc_hiv+BF105*VLOOKUP(AZ106,boc_trpr_oc,11,TRUE)*boc_rr_oc_modp+BG105*VLOOKUP(AZ106,boc_trpr_oc,11,TRUE)*boc_rr_oc_modv+BH105*VLOOKUP(AZ106,boc_trpr_oc,11,TRUE)*boc_rr_oc_lop+BI105*VLOOKUP(AZ106,boc_trpr_oc,11,TRUE)*boc_rr_oc_lov+BJ105*VLOOKUP(AZ106,boc_trpr_oc,11,TRUE)*boc_rr_oc_np</f>
        <v>#N/A</v>
      </c>
      <c r="BM106" s="260" t="e">
        <f>BK105*(1-VLOOKUP(AZ106,boc_trpr_bc_death,20,TRUE))+BL105*(1-VLOOKUP(AZ106,boc_trpr_oc_death,20,TRUE))+BM105*(1-VLOOKUP(AZ106,mortt,2,FALSE)*boc_rr_death_pc)</f>
        <v>#N/A</v>
      </c>
      <c r="BN106" s="260" t="e">
        <f>BN105+SUM(BA105:BJ105)*VLOOKUP(AZ106,mortt,2,FALSE)+BK105*VLOOKUP(AZ106,boc_trpr_bc_death,20,TRUE)+BL105*VLOOKUP(AZ106,boc_trpr_bc_death,20,TRUE)+BM105*VLOOKUP(AZ106,mortt,2,FALSE)*boc_rr_death_pc</f>
        <v>#N/A</v>
      </c>
      <c r="BO106" s="260" t="e">
        <f t="shared" si="77"/>
        <v>#N/A</v>
      </c>
      <c r="BP106" s="118" t="e">
        <f>(boc_cost_mast*SUM(BD106,BF106,BH106)*(boc_tr_mast_path+boc_tr_both_path)+SUM(BE106,BG106,BI106)*(boc_tr_mast_vus+boc_tr_both_vus)+BK106*boc_cost_bc+BL106*boc_cost_oc+BM106*boc_cost_pc+(BK106*VLOOKUP(AZ106,boc_trpr_bc_death,20,TRUE)+BL106*VLOOKUP(AZ106,boc_trpr_oc_death,TRUE)*boc_cost_death))/((1+discount)^AY106)</f>
        <v>#N/A</v>
      </c>
      <c r="BQ106" s="35" t="e">
        <f t="shared" si="65"/>
        <v>#N/A</v>
      </c>
      <c r="BR106" s="35" t="e">
        <f t="shared" si="66"/>
        <v>#N/A</v>
      </c>
      <c r="BS106" s="35"/>
    </row>
    <row r="107" spans="2:83" ht="15" customHeight="1" x14ac:dyDescent="0.2">
      <c r="B107" s="37" t="s">
        <v>11</v>
      </c>
      <c r="C107" s="35">
        <f>IF(psa,J107,IF(owsa_low=L107,F107,IF(owsa_high=L107,G107,IF(ISNUMBER(D107),D107,E107))))</f>
        <v>15</v>
      </c>
      <c r="D107" s="158"/>
      <c r="E107" s="35">
        <v>15</v>
      </c>
      <c r="F107" s="35">
        <f>MAX(0,IF(ISNUMBER(D107),D107,E107)*(1-owsa_boc))</f>
        <v>12</v>
      </c>
      <c r="G107" s="35">
        <f>IF(ISNUMBER(D107),D107,E107)*(1+owsa_boc)</f>
        <v>18</v>
      </c>
      <c r="H107" s="69">
        <f t="shared" si="76"/>
        <v>0.10343687723509751</v>
      </c>
      <c r="I107" s="48"/>
      <c r="J107" s="35">
        <f ca="1">_xlfn.LOGNORM.INV(RAND(),LN(IF(ISNUMBER(D107),D107,E107))-(H107^2)/2,H107)</f>
        <v>16.123356946482957</v>
      </c>
      <c r="K107" s="12" t="s">
        <v>213</v>
      </c>
      <c r="L107" s="40">
        <v>42</v>
      </c>
      <c r="M107" s="247" t="s">
        <v>259</v>
      </c>
      <c r="N107" s="39" t="s">
        <v>48</v>
      </c>
    </row>
    <row r="108" spans="2:83" ht="15" customHeight="1" x14ac:dyDescent="0.2">
      <c r="B108" s="37" t="s">
        <v>12</v>
      </c>
      <c r="C108" s="35">
        <f>IF(psa,J108,IF(owsa_low=L108,F108,IF(owsa_high=L108,G108,IF(ISNUMBER(D108),D108,E108))))</f>
        <v>1.1000000000000001</v>
      </c>
      <c r="D108" s="158"/>
      <c r="E108" s="35">
        <v>1.1000000000000001</v>
      </c>
      <c r="F108" s="35">
        <f>MAX(0,IF(ISNUMBER(D108),D108,E108)*(1-owsa_boc))</f>
        <v>0.88000000000000012</v>
      </c>
      <c r="G108" s="35">
        <f>IF(ISNUMBER(D108),D108,E108)*(1+owsa_boc)</f>
        <v>1.32</v>
      </c>
      <c r="H108" s="69">
        <f t="shared" si="76"/>
        <v>0.10343687723509755</v>
      </c>
      <c r="I108" s="48"/>
      <c r="J108" s="35">
        <f ca="1">_xlfn.LOGNORM.INV(RAND(),LN(IF(ISNUMBER(D108),D108,E108))-(H108^2)/2,H108)</f>
        <v>1.0886488545813888</v>
      </c>
      <c r="K108" s="12" t="s">
        <v>213</v>
      </c>
      <c r="L108" s="40">
        <v>43</v>
      </c>
      <c r="M108" s="247" t="s">
        <v>260</v>
      </c>
      <c r="N108" s="39" t="s">
        <v>48</v>
      </c>
    </row>
    <row r="109" spans="2:83" ht="15" customHeight="1" x14ac:dyDescent="0.2">
      <c r="B109" s="38" t="s">
        <v>172</v>
      </c>
    </row>
    <row r="110" spans="2:83" ht="15" customHeight="1" x14ac:dyDescent="0.2">
      <c r="B110" s="37" t="s">
        <v>11</v>
      </c>
      <c r="C110" s="35">
        <f>IF(psa,J110,IF(owsa_low=L110,F110,IF(owsa_high=L110,G110,IF(ISNUMBER(D110),D110,E110))))</f>
        <v>5</v>
      </c>
      <c r="D110" s="158"/>
      <c r="E110" s="35">
        <v>5</v>
      </c>
      <c r="F110" s="35">
        <f>MAX(0,IF(ISNUMBER(D110),D110,E110)*(1-owsa_boc))</f>
        <v>4</v>
      </c>
      <c r="G110" s="35">
        <f>IF(ISNUMBER(D110),D110,E110)*(1+owsa_boc)</f>
        <v>6</v>
      </c>
      <c r="H110" s="69">
        <f t="shared" si="76"/>
        <v>0.10343687723509756</v>
      </c>
      <c r="I110" s="48"/>
      <c r="J110" s="35">
        <f ca="1">_xlfn.LOGNORM.INV(RAND(),LN(IF(ISNUMBER(D110),D110,E110))-(H110^2)/2,H110)</f>
        <v>4.6465682183668404</v>
      </c>
      <c r="K110" s="12" t="s">
        <v>213</v>
      </c>
      <c r="L110" s="40">
        <v>44</v>
      </c>
      <c r="M110" s="247" t="s">
        <v>261</v>
      </c>
      <c r="N110" s="39" t="s">
        <v>48</v>
      </c>
    </row>
    <row r="111" spans="2:83" ht="15" customHeight="1" x14ac:dyDescent="0.2">
      <c r="B111" s="37" t="s">
        <v>12</v>
      </c>
      <c r="C111" s="35">
        <f>IF(psa,J111,IF(owsa_low=L111,F111,IF(owsa_high=L111,G111,IF(ISNUMBER(D111),D111,E111))))</f>
        <v>1.1000000000000001</v>
      </c>
      <c r="D111" s="158"/>
      <c r="E111" s="35">
        <v>1.1000000000000001</v>
      </c>
      <c r="F111" s="35">
        <f>MAX(0,IF(ISNUMBER(D111),D111,E111)*(1-owsa_boc))</f>
        <v>0.88000000000000012</v>
      </c>
      <c r="G111" s="35">
        <f>IF(ISNUMBER(D111),D111,E111)*(1+owsa_boc)</f>
        <v>1.32</v>
      </c>
      <c r="H111" s="69">
        <f t="shared" si="76"/>
        <v>0.10343687723509755</v>
      </c>
      <c r="I111" s="48"/>
      <c r="J111" s="35">
        <f ca="1">_xlfn.LOGNORM.INV(RAND(),LN(IF(ISNUMBER(D111),D111,E111))-(H111^2)/2,H111)</f>
        <v>1.0623282845366144</v>
      </c>
      <c r="K111" s="12" t="s">
        <v>213</v>
      </c>
      <c r="L111" s="40">
        <v>45</v>
      </c>
      <c r="M111" s="247" t="s">
        <v>262</v>
      </c>
      <c r="N111" s="39" t="s">
        <v>48</v>
      </c>
    </row>
    <row r="112" spans="2:83" ht="15" customHeight="1" x14ac:dyDescent="0.2">
      <c r="B112" s="38" t="s">
        <v>173</v>
      </c>
    </row>
    <row r="113" spans="2:44" ht="15" customHeight="1" x14ac:dyDescent="0.2">
      <c r="B113" s="37" t="s">
        <v>11</v>
      </c>
      <c r="C113" s="35">
        <f>IF(psa,J113,IF(owsa_low=L113,F113,IF(owsa_high=L113,G113,IF(ISNUMBER(D113),D113,E113))))</f>
        <v>1.5</v>
      </c>
      <c r="D113" s="158"/>
      <c r="E113" s="35">
        <v>1.5</v>
      </c>
      <c r="F113" s="35">
        <f>MAX(0,IF(ISNUMBER(D113),D113,E113)*(1-owsa_boc))</f>
        <v>1.2000000000000002</v>
      </c>
      <c r="G113" s="35">
        <f>IF(ISNUMBER(D113),D113,E113)*(1+owsa_boc)</f>
        <v>1.7999999999999998</v>
      </c>
      <c r="H113" s="69">
        <f t="shared" si="76"/>
        <v>0.10343687723509751</v>
      </c>
      <c r="I113" s="48"/>
      <c r="J113" s="35">
        <f ca="1">_xlfn.LOGNORM.INV(RAND(),LN(IF(ISNUMBER(D113),D113,E113))-(H113^2)/2,H113)</f>
        <v>1.2838598644672088</v>
      </c>
      <c r="K113" s="12" t="s">
        <v>213</v>
      </c>
      <c r="L113" s="40">
        <v>46</v>
      </c>
      <c r="M113" s="247" t="s">
        <v>263</v>
      </c>
      <c r="N113" s="39" t="s">
        <v>48</v>
      </c>
      <c r="AP113" s="259"/>
      <c r="AR113" s="259"/>
    </row>
    <row r="114" spans="2:44" ht="15" customHeight="1" x14ac:dyDescent="0.2">
      <c r="B114" s="37" t="s">
        <v>12</v>
      </c>
      <c r="C114" s="35">
        <f>IF(psa,J114,IF(owsa_low=L114,F114,IF(owsa_high=L114,G114,IF(ISNUMBER(D114),D114,E114))))</f>
        <v>1.1000000000000001</v>
      </c>
      <c r="D114" s="158"/>
      <c r="E114" s="35">
        <v>1.1000000000000001</v>
      </c>
      <c r="F114" s="35">
        <f>MAX(0,IF(ISNUMBER(D114),D114,E114)*(1-owsa_boc))</f>
        <v>0.88000000000000012</v>
      </c>
      <c r="G114" s="35">
        <f>IF(ISNUMBER(D114),D114,E114)*(1+owsa_boc)</f>
        <v>1.32</v>
      </c>
      <c r="H114" s="69">
        <f t="shared" si="76"/>
        <v>0.10343687723509755</v>
      </c>
      <c r="I114" s="48"/>
      <c r="J114" s="35">
        <f ca="1">_xlfn.LOGNORM.INV(RAND(),LN(IF(ISNUMBER(D114),D114,E114))-(H114^2)/2,H114)</f>
        <v>1.2234068523590753</v>
      </c>
      <c r="K114" s="12" t="s">
        <v>213</v>
      </c>
      <c r="L114" s="40">
        <v>47</v>
      </c>
      <c r="M114" s="247" t="s">
        <v>264</v>
      </c>
      <c r="N114" s="39" t="s">
        <v>48</v>
      </c>
    </row>
    <row r="115" spans="2:44" ht="15" customHeight="1" x14ac:dyDescent="0.2">
      <c r="B115" s="19" t="s">
        <v>219</v>
      </c>
      <c r="C115" s="35">
        <f>IF(psa,J115,IF(owsa_low=L115,F115,IF(owsa_high=L115,G115,IF(ISNUMBER(D115),D115,E115))))</f>
        <v>1</v>
      </c>
      <c r="D115" s="158"/>
      <c r="E115" s="35">
        <v>1</v>
      </c>
      <c r="F115" s="35">
        <f>MAX(0,IF(ISNUMBER(D115),D115,E115)*(1-owsa_boc))</f>
        <v>0.8</v>
      </c>
      <c r="G115" s="35">
        <f>IF(ISNUMBER(D115),D115,E115)*(1+owsa_boc)</f>
        <v>1.2</v>
      </c>
      <c r="H115" s="69">
        <f t="shared" si="76"/>
        <v>0.10343687723509754</v>
      </c>
      <c r="I115" s="48"/>
      <c r="J115" s="35">
        <f ca="1">_xlfn.LOGNORM.INV(RAND(),LN(IF(ISNUMBER(D115),D115,E115))-(H115^2)/2,H115)</f>
        <v>1.028185736104104</v>
      </c>
      <c r="K115" s="12" t="s">
        <v>213</v>
      </c>
      <c r="L115" s="40">
        <v>48</v>
      </c>
      <c r="M115" s="247" t="s">
        <v>265</v>
      </c>
      <c r="N115" s="39" t="s">
        <v>48</v>
      </c>
    </row>
    <row r="116" spans="2:44" ht="15" customHeight="1" x14ac:dyDescent="0.2"/>
    <row r="117" spans="2:44" ht="15" customHeight="1" x14ac:dyDescent="0.2">
      <c r="B117" s="19" t="s">
        <v>327</v>
      </c>
      <c r="C117" s="35">
        <f>IF(psa,J117,IF(owsa_low=L117,F117,IF(owsa_high=L117,G117,IF(ISNUMBER(D117),D117,E117))))</f>
        <v>1.5</v>
      </c>
      <c r="D117" s="158"/>
      <c r="E117" s="35">
        <v>1.5</v>
      </c>
      <c r="F117" s="35">
        <f>MAX(0,IF(ISNUMBER(D117),D117,E117)*(1-owsa_boc))</f>
        <v>1.2000000000000002</v>
      </c>
      <c r="G117" s="35">
        <f>IF(ISNUMBER(D117),D117,E117)*(1+owsa_boc)</f>
        <v>1.7999999999999998</v>
      </c>
      <c r="H117" s="69">
        <f t="shared" si="76"/>
        <v>0.10343687723509751</v>
      </c>
      <c r="I117" s="48"/>
      <c r="J117" s="35">
        <f ca="1">_xlfn.LOGNORM.INV(RAND(),LN(IF(ISNUMBER(D117),D117,E117))-(H117^2)/2,H117)</f>
        <v>1.4752110212432124</v>
      </c>
      <c r="K117" s="12" t="s">
        <v>213</v>
      </c>
      <c r="L117" s="40">
        <v>51</v>
      </c>
      <c r="M117" s="247" t="s">
        <v>277</v>
      </c>
      <c r="N117" s="39" t="s">
        <v>48</v>
      </c>
    </row>
    <row r="118" spans="2:44" ht="15" customHeight="1" x14ac:dyDescent="0.2"/>
    <row r="119" spans="2:44" ht="15" customHeight="1" x14ac:dyDescent="0.2">
      <c r="B119" s="3" t="s">
        <v>236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</row>
    <row r="120" spans="2:44" ht="15" customHeight="1" x14ac:dyDescent="0.2">
      <c r="B120" s="8" t="s">
        <v>27</v>
      </c>
      <c r="C120" s="266" t="s">
        <v>32</v>
      </c>
      <c r="D120" s="266" t="s">
        <v>33</v>
      </c>
      <c r="E120" s="266" t="s">
        <v>34</v>
      </c>
      <c r="F120" s="17" t="s">
        <v>36</v>
      </c>
      <c r="G120" s="17"/>
      <c r="H120" s="266" t="s">
        <v>41</v>
      </c>
      <c r="I120" s="266" t="s">
        <v>37</v>
      </c>
      <c r="J120" s="266" t="s">
        <v>35</v>
      </c>
      <c r="K120" s="266" t="s">
        <v>39</v>
      </c>
      <c r="L120" s="266" t="s">
        <v>63</v>
      </c>
      <c r="M120" s="266" t="s">
        <v>158</v>
      </c>
      <c r="N120" s="266" t="s">
        <v>40</v>
      </c>
    </row>
    <row r="121" spans="2:44" ht="15" customHeight="1" x14ac:dyDescent="0.2"/>
    <row r="122" spans="2:44" ht="15" customHeight="1" x14ac:dyDescent="0.25">
      <c r="B122" s="93" t="s">
        <v>278</v>
      </c>
    </row>
    <row r="123" spans="2:44" ht="15" customHeight="1" x14ac:dyDescent="0.2">
      <c r="B123" s="19" t="s">
        <v>232</v>
      </c>
      <c r="C123" s="35">
        <f>IF(psa,J123,IF(owsa_low=L123,F123,IF(owsa_high=L123,G123,IF(ISNUMBER(D123),D123,E123))))</f>
        <v>0.95</v>
      </c>
      <c r="D123" s="246"/>
      <c r="E123" s="35">
        <v>0.95</v>
      </c>
      <c r="F123" s="35">
        <v>0.9</v>
      </c>
      <c r="G123" s="35">
        <f>MIN(1,IF(ISNUMBER(D123),D123,E123)*(1+owsa_boc))</f>
        <v>1</v>
      </c>
      <c r="H123" s="48">
        <f t="shared" ref="H123:H127" si="80">IF(ISNUMBER(D123),D123,E123)^2*(1-IF(ISNUMBER(D123),D123,E123))/((G123-F123)/(2*z))^2-IF(ISNUMBER(D123),D123,E123)</f>
        <v>68.388331713529027</v>
      </c>
      <c r="I123" s="48">
        <f t="shared" ref="I123:I127" si="81">(IF(ISNUMBER(D123),D123,E123)^2*(1-IF(ISNUMBER(D123),D123,E123))/((G123-F123)/(2*z))^2-IF(ISNUMBER(D123),D123,E123))*(1-IF(ISNUMBER(D123),D123,E123))/IF(ISNUMBER(D123),D123,E123)</f>
        <v>3.599385879659426</v>
      </c>
      <c r="J123" s="35">
        <f ca="1">_xlfn.BETA.INV(RAND(),H123,I123)</f>
        <v>0.97485667199350345</v>
      </c>
      <c r="K123" s="12" t="s">
        <v>71</v>
      </c>
      <c r="L123" s="40">
        <v>52</v>
      </c>
      <c r="M123" s="247" t="s">
        <v>266</v>
      </c>
      <c r="N123" s="39" t="s">
        <v>48</v>
      </c>
    </row>
    <row r="124" spans="2:44" ht="15" customHeight="1" x14ac:dyDescent="0.2">
      <c r="B124" s="19" t="s">
        <v>283</v>
      </c>
      <c r="C124" s="35">
        <f>IF(psa,J124,IF(owsa_low=L124,F124,IF(owsa_high=L124,G124,IF(ISNUMBER(D124),D124,E124))))</f>
        <v>0.95</v>
      </c>
      <c r="D124" s="246"/>
      <c r="E124" s="35">
        <v>0.95</v>
      </c>
      <c r="F124" s="35">
        <v>0.9</v>
      </c>
      <c r="G124" s="35">
        <f>MIN(1,IF(ISNUMBER(D124),D124,E124)*(1+owsa_boc))</f>
        <v>1</v>
      </c>
      <c r="H124" s="48">
        <f t="shared" si="80"/>
        <v>68.388331713529027</v>
      </c>
      <c r="I124" s="48">
        <f t="shared" si="81"/>
        <v>3.599385879659426</v>
      </c>
      <c r="J124" s="35">
        <f ca="1">_xlfn.BETA.INV(RAND(),H124,I124)</f>
        <v>0.971760731660815</v>
      </c>
      <c r="K124" s="12" t="s">
        <v>71</v>
      </c>
      <c r="L124" s="40">
        <v>53</v>
      </c>
      <c r="M124" s="247" t="s">
        <v>267</v>
      </c>
      <c r="N124" s="39" t="s">
        <v>48</v>
      </c>
    </row>
    <row r="125" spans="2:44" ht="15" customHeight="1" x14ac:dyDescent="0.2">
      <c r="B125" s="19" t="s">
        <v>284</v>
      </c>
      <c r="C125" s="35">
        <f>IF(psa,J125,IF(owsa_low=L125,F125,IF(owsa_high=L125,G125,IF(ISNUMBER(D125),D125,E125))))</f>
        <v>0.95</v>
      </c>
      <c r="D125" s="246"/>
      <c r="E125" s="35">
        <v>0.95</v>
      </c>
      <c r="F125" s="35">
        <v>0.9</v>
      </c>
      <c r="G125" s="35">
        <f>MIN(1,IF(ISNUMBER(D125),D125,E125)*(1+owsa_boc))</f>
        <v>1</v>
      </c>
      <c r="H125" s="48">
        <f t="shared" si="80"/>
        <v>68.388331713529027</v>
      </c>
      <c r="I125" s="48">
        <f t="shared" si="81"/>
        <v>3.599385879659426</v>
      </c>
      <c r="J125" s="35">
        <f ca="1">_xlfn.BETA.INV(RAND(),H125,I125)</f>
        <v>0.95312316905115413</v>
      </c>
      <c r="K125" s="12" t="s">
        <v>71</v>
      </c>
      <c r="L125" s="40">
        <v>54</v>
      </c>
      <c r="M125" s="247" t="s">
        <v>268</v>
      </c>
      <c r="N125" s="39" t="s">
        <v>48</v>
      </c>
    </row>
    <row r="126" spans="2:44" ht="15" customHeight="1" x14ac:dyDescent="0.2">
      <c r="B126" s="19" t="s">
        <v>231</v>
      </c>
      <c r="C126" s="35">
        <f>IF(psa,J126,IF(owsa_low=L126,F126,IF(owsa_high=L126,G126,IF(ISNUMBER(D126),D126,E126))))</f>
        <v>0.8</v>
      </c>
      <c r="D126" s="246"/>
      <c r="E126" s="35">
        <v>0.8</v>
      </c>
      <c r="F126" s="35">
        <f>IF(ISNUMBER(D126),D126,E126)*(1-owsa_boc)</f>
        <v>0.64000000000000012</v>
      </c>
      <c r="G126" s="35">
        <f>MIN(1,IF(ISNUMBER(D126),D126,E126)*(1+owsa_boc))</f>
        <v>0.96</v>
      </c>
      <c r="H126" s="48">
        <f t="shared" si="80"/>
        <v>18.407294103470637</v>
      </c>
      <c r="I126" s="48">
        <f t="shared" si="81"/>
        <v>4.6018235258676583</v>
      </c>
      <c r="J126" s="35">
        <f ca="1">_xlfn.BETA.INV(RAND(),H126,I126)</f>
        <v>0.79912751644215529</v>
      </c>
      <c r="K126" s="12" t="s">
        <v>71</v>
      </c>
      <c r="L126" s="40">
        <v>55</v>
      </c>
      <c r="M126" s="247" t="s">
        <v>269</v>
      </c>
      <c r="N126" s="39" t="s">
        <v>48</v>
      </c>
    </row>
    <row r="127" spans="2:44" ht="15" customHeight="1" x14ac:dyDescent="0.2">
      <c r="B127" s="19" t="s">
        <v>17</v>
      </c>
      <c r="C127" s="35">
        <f>IF(psa,J127,IF(owsa_low=L127,F127,IF(owsa_high=L127,G127,IF(ISNUMBER(D127),D127,E127))))</f>
        <v>0.85</v>
      </c>
      <c r="D127" s="246"/>
      <c r="E127" s="35">
        <v>0.85</v>
      </c>
      <c r="F127" s="35">
        <v>0.8</v>
      </c>
      <c r="G127" s="35">
        <v>0.9</v>
      </c>
      <c r="H127" s="48">
        <f t="shared" si="80"/>
        <v>165.67723987709033</v>
      </c>
      <c r="I127" s="48">
        <f t="shared" si="81"/>
        <v>29.237159978310061</v>
      </c>
      <c r="J127" s="35">
        <f ca="1">_xlfn.BETA.INV(RAND(),H127,I127)</f>
        <v>0.86334908935818988</v>
      </c>
      <c r="K127" s="12" t="s">
        <v>71</v>
      </c>
      <c r="L127" s="40">
        <v>56</v>
      </c>
      <c r="M127" s="247" t="s">
        <v>270</v>
      </c>
      <c r="N127" s="39" t="s">
        <v>48</v>
      </c>
    </row>
    <row r="128" spans="2:44" ht="15" customHeight="1" x14ac:dyDescent="0.2">
      <c r="B128" s="19"/>
      <c r="C128" s="35"/>
      <c r="D128" s="35"/>
      <c r="E128" s="35"/>
      <c r="F128" s="35"/>
      <c r="G128" s="35"/>
      <c r="H128" s="48"/>
      <c r="I128" s="48"/>
      <c r="J128" s="35"/>
      <c r="K128" s="12"/>
      <c r="L128" s="40"/>
      <c r="M128" s="247"/>
      <c r="N128" s="39"/>
    </row>
    <row r="129" spans="2:14" ht="15" customHeight="1" x14ac:dyDescent="0.25">
      <c r="B129" s="94" t="s">
        <v>279</v>
      </c>
      <c r="C129" s="35"/>
      <c r="D129" s="35"/>
      <c r="E129" s="35"/>
      <c r="F129" s="35"/>
      <c r="G129" s="35"/>
      <c r="H129" s="48"/>
      <c r="I129" s="48"/>
      <c r="J129" s="35"/>
      <c r="K129" s="12"/>
      <c r="L129" s="40"/>
      <c r="M129" s="247"/>
      <c r="N129" s="39"/>
    </row>
    <row r="130" spans="2:14" ht="15" customHeight="1" x14ac:dyDescent="0.2">
      <c r="B130" s="19" t="s">
        <v>233</v>
      </c>
      <c r="C130" s="35">
        <f>IF(psa,J130,IF(owsa_low=L130,F130,IF(owsa_high=L130,G130,IF(ISNUMBER(D130),D130,E130))))</f>
        <v>0.05</v>
      </c>
      <c r="D130" s="246"/>
      <c r="E130" s="35">
        <v>0.05</v>
      </c>
      <c r="F130" s="35">
        <f>IF(ISNUMBER(D130),D130,E130)*(1-owsa_boc)</f>
        <v>4.0000000000000008E-2</v>
      </c>
      <c r="G130" s="35">
        <f>MIN(1,IF(ISNUMBER(D130),D130,E130)*(1+owsa_boc))</f>
        <v>0.06</v>
      </c>
      <c r="H130" s="48">
        <f t="shared" ref="H130:H132" si="82">IF(ISNUMBER(D130),D130,E130)^2*(1-IF(ISNUMBER(D130),D130,E130))/((G130-F130)/(2*z))^2-IF(ISNUMBER(D130),D130,E130)</f>
        <v>91.184646991485536</v>
      </c>
      <c r="I130" s="48">
        <f t="shared" ref="I130:I132" si="83">(IF(ISNUMBER(D130),D130,E130)^2*(1-IF(ISNUMBER(D130),D130,E130))/((G130-F130)/(2*z))^2-IF(ISNUMBER(D130),D130,E130))*(1-IF(ISNUMBER(D130),D130,E130))/IF(ISNUMBER(D130),D130,E130)</f>
        <v>1732.5082928382249</v>
      </c>
      <c r="J130" s="35">
        <f ca="1">_xlfn.BETA.INV(RAND(),H130,I130)</f>
        <v>4.5525725364536765E-2</v>
      </c>
      <c r="K130" s="12" t="s">
        <v>71</v>
      </c>
      <c r="L130" s="40">
        <v>57</v>
      </c>
      <c r="M130" s="247" t="s">
        <v>280</v>
      </c>
      <c r="N130" s="39" t="s">
        <v>48</v>
      </c>
    </row>
    <row r="131" spans="2:14" ht="15" customHeight="1" x14ac:dyDescent="0.2">
      <c r="B131" s="19" t="s">
        <v>234</v>
      </c>
      <c r="C131" s="35">
        <f>IF(psa,J131,IF(owsa_low=L131,F131,IF(owsa_high=L131,G131,IF(ISNUMBER(D131),D131,E131))))</f>
        <v>0.05</v>
      </c>
      <c r="D131" s="246"/>
      <c r="E131" s="35">
        <v>0.05</v>
      </c>
      <c r="F131" s="35">
        <f>IF(ISNUMBER(D131),D131,E131)*(1-owsa_boc)</f>
        <v>4.0000000000000008E-2</v>
      </c>
      <c r="G131" s="35">
        <f>MIN(1,IF(ISNUMBER(D131),D131,E131)*(1+owsa_boc))</f>
        <v>0.06</v>
      </c>
      <c r="H131" s="48">
        <f t="shared" si="82"/>
        <v>91.184646991485536</v>
      </c>
      <c r="I131" s="48">
        <f t="shared" si="83"/>
        <v>1732.5082928382249</v>
      </c>
      <c r="J131" s="35">
        <f ca="1">_xlfn.BETA.INV(RAND(),H131,I131)</f>
        <v>5.1176725209718277E-2</v>
      </c>
      <c r="K131" s="12" t="s">
        <v>71</v>
      </c>
      <c r="L131" s="40">
        <v>58</v>
      </c>
      <c r="M131" s="247" t="s">
        <v>281</v>
      </c>
      <c r="N131" s="39" t="s">
        <v>48</v>
      </c>
    </row>
    <row r="132" spans="2:14" ht="15" customHeight="1" x14ac:dyDescent="0.2">
      <c r="B132" s="19" t="s">
        <v>6</v>
      </c>
      <c r="C132" s="35">
        <f>IF(psa,J132,IF(owsa_low=L132,F132,IF(owsa_high=L132,G132,IF(ISNUMBER(D132),D132,E132))))</f>
        <v>0.1</v>
      </c>
      <c r="D132" s="246"/>
      <c r="E132" s="35">
        <v>0.1</v>
      </c>
      <c r="F132" s="35">
        <f>IF(ISNUMBER(D132),D132,E132)*(1-owsa_boc)</f>
        <v>8.0000000000000016E-2</v>
      </c>
      <c r="G132" s="35">
        <f>MIN(1,IF(ISNUMBER(D132),D132,E132)*(1+owsa_boc))</f>
        <v>0.12</v>
      </c>
      <c r="H132" s="48">
        <f t="shared" si="82"/>
        <v>86.332823465617892</v>
      </c>
      <c r="I132" s="48">
        <f t="shared" si="83"/>
        <v>776.99541119056107</v>
      </c>
      <c r="J132" s="35">
        <f ca="1">_xlfn.BETA.INV(RAND(),H132,I132)</f>
        <v>9.6576061421901227E-2</v>
      </c>
      <c r="K132" s="12" t="s">
        <v>71</v>
      </c>
      <c r="L132" s="40">
        <v>59</v>
      </c>
      <c r="M132" s="247" t="s">
        <v>282</v>
      </c>
      <c r="N132" s="39" t="s">
        <v>48</v>
      </c>
    </row>
    <row r="133" spans="2:14" ht="15" customHeight="1" x14ac:dyDescent="0.2"/>
    <row r="134" spans="2:14" ht="15" customHeight="1" x14ac:dyDescent="0.2">
      <c r="B134" s="3" t="s">
        <v>237</v>
      </c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</row>
    <row r="135" spans="2:14" ht="15" customHeight="1" x14ac:dyDescent="0.2">
      <c r="B135" s="8" t="s">
        <v>27</v>
      </c>
      <c r="C135" s="266" t="s">
        <v>32</v>
      </c>
      <c r="D135" s="266" t="s">
        <v>33</v>
      </c>
      <c r="E135" s="266" t="s">
        <v>34</v>
      </c>
      <c r="F135" s="17" t="s">
        <v>36</v>
      </c>
      <c r="G135" s="17"/>
      <c r="H135" s="266" t="s">
        <v>41</v>
      </c>
      <c r="I135" s="266"/>
      <c r="J135" s="266" t="s">
        <v>35</v>
      </c>
      <c r="K135" s="266" t="s">
        <v>39</v>
      </c>
      <c r="L135" s="266" t="s">
        <v>63</v>
      </c>
      <c r="M135" s="266" t="s">
        <v>158</v>
      </c>
      <c r="N135" s="266" t="s">
        <v>40</v>
      </c>
    </row>
    <row r="136" spans="2:14" ht="15" customHeight="1" x14ac:dyDescent="0.2"/>
    <row r="137" spans="2:14" ht="15" customHeight="1" x14ac:dyDescent="0.25">
      <c r="B137" s="93" t="s">
        <v>230</v>
      </c>
    </row>
    <row r="138" spans="2:14" ht="15" customHeight="1" x14ac:dyDescent="0.2">
      <c r="B138" s="19" t="s">
        <v>233</v>
      </c>
      <c r="C138" s="118">
        <f>IF(psa,J138,IF(owsa_low=L138,F138,IF(owsa_high=L138,G138,IF(ISNUMBER(D138),D138,E138))))</f>
        <v>12596</v>
      </c>
      <c r="D138" s="294"/>
      <c r="E138" s="383">
        <v>12596</v>
      </c>
      <c r="F138" s="118">
        <f>MAX(0,IF(ISNUMBER(D138),D138,E138)*(1-owsa_boc))</f>
        <v>10076.800000000001</v>
      </c>
      <c r="G138" s="118">
        <f>IF(ISNUMBER(D138),D138,E138)*(1+owsa_boc)</f>
        <v>15115.199999999999</v>
      </c>
      <c r="H138" s="293">
        <f t="shared" ref="H138:H139" si="84">(LN(G138)-LN(F138))/(2*z)</f>
        <v>0.1034368772350974</v>
      </c>
      <c r="I138" s="48"/>
      <c r="J138" s="118">
        <f ca="1">_xlfn.LOGNORM.INV(RAND(),LN(IF(ISNUMBER(D138),D138,E138))-(H138^2)/2,H138)</f>
        <v>12751.074902347202</v>
      </c>
      <c r="K138" s="12" t="s">
        <v>213</v>
      </c>
      <c r="L138" s="40">
        <v>60</v>
      </c>
      <c r="M138" s="247" t="s">
        <v>271</v>
      </c>
      <c r="N138" s="247" t="s">
        <v>326</v>
      </c>
    </row>
    <row r="139" spans="2:14" ht="15" customHeight="1" x14ac:dyDescent="0.2">
      <c r="B139" s="19" t="s">
        <v>234</v>
      </c>
      <c r="C139" s="118">
        <f>IF(psa,J139,IF(owsa_low=L139,F139,IF(owsa_high=L139,G139,IF(ISNUMBER(D139),D139,E139))))</f>
        <v>8144</v>
      </c>
      <c r="D139" s="294"/>
      <c r="E139" s="383">
        <v>8144</v>
      </c>
      <c r="F139" s="118">
        <f>MAX(0,IF(ISNUMBER(D139),D139,E139)*(1-owsa_boc))</f>
        <v>6515.2000000000007</v>
      </c>
      <c r="G139" s="118">
        <f>IF(ISNUMBER(D139),D139,E139)*(1+owsa_boc)</f>
        <v>9772.7999999999993</v>
      </c>
      <c r="H139" s="293">
        <f t="shared" si="84"/>
        <v>0.10343687723509785</v>
      </c>
      <c r="I139" s="48"/>
      <c r="J139" s="118">
        <f ca="1">_xlfn.LOGNORM.INV(RAND(),LN(IF(ISNUMBER(D139),D139,E139))-(H139^2)/2,H139)</f>
        <v>9434.4762461733335</v>
      </c>
      <c r="K139" s="12" t="s">
        <v>213</v>
      </c>
      <c r="L139" s="40">
        <v>61</v>
      </c>
      <c r="M139" s="247" t="s">
        <v>272</v>
      </c>
      <c r="N139" s="247" t="s">
        <v>326</v>
      </c>
    </row>
    <row r="140" spans="2:14" ht="15" customHeight="1" x14ac:dyDescent="0.2">
      <c r="C140" s="135"/>
      <c r="D140" s="135"/>
      <c r="E140" s="384"/>
      <c r="F140" s="135"/>
      <c r="G140" s="135"/>
      <c r="H140" s="135"/>
    </row>
    <row r="141" spans="2:14" ht="15" customHeight="1" x14ac:dyDescent="0.25">
      <c r="B141" s="93" t="s">
        <v>238</v>
      </c>
      <c r="C141" s="135"/>
      <c r="D141" s="135"/>
      <c r="E141" s="384"/>
      <c r="F141" s="135"/>
      <c r="G141" s="135"/>
      <c r="H141" s="135"/>
    </row>
    <row r="142" spans="2:14" ht="15" customHeight="1" x14ac:dyDescent="0.2">
      <c r="B142" s="19" t="s">
        <v>4</v>
      </c>
      <c r="C142" s="118">
        <f>IF(psa,J142,IF(owsa_low=L142,F142,IF(owsa_high=L142,G142,IF(ISNUMBER(D142),D142,E142))))</f>
        <v>75873</v>
      </c>
      <c r="D142" s="294"/>
      <c r="E142" s="383">
        <v>75873</v>
      </c>
      <c r="F142" s="118">
        <f>MAX(0,IF(ISNUMBER(D142),D142,E142)*(1-owsa_boc))</f>
        <v>60698.400000000001</v>
      </c>
      <c r="G142" s="118">
        <f>IF(ISNUMBER(D142),D142,E142)*(1+owsa_boc)</f>
        <v>91047.599999999991</v>
      </c>
      <c r="H142" s="293">
        <f t="shared" ref="H142:H145" si="85">(LN(G142)-LN(F142))/(2*z)</f>
        <v>0.1034368772350974</v>
      </c>
      <c r="I142" s="48"/>
      <c r="J142" s="118">
        <f ca="1">_xlfn.LOGNORM.INV(RAND(),LN(IF(ISNUMBER(D142),D142,E142))-(H142^2)/2,H142)</f>
        <v>84344.322867847484</v>
      </c>
      <c r="K142" s="12" t="s">
        <v>213</v>
      </c>
      <c r="L142" s="40">
        <v>62</v>
      </c>
      <c r="M142" s="247" t="s">
        <v>273</v>
      </c>
      <c r="N142" s="247" t="s">
        <v>326</v>
      </c>
    </row>
    <row r="143" spans="2:14" ht="15" customHeight="1" x14ac:dyDescent="0.2">
      <c r="B143" s="19" t="s">
        <v>5</v>
      </c>
      <c r="C143" s="118">
        <f>IF(psa,J143,IF(owsa_low=L143,F143,IF(owsa_high=L143,G143,IF(ISNUMBER(D143),D143,E143))))</f>
        <v>127995</v>
      </c>
      <c r="D143" s="294"/>
      <c r="E143" s="383">
        <v>127995</v>
      </c>
      <c r="F143" s="118">
        <f>MAX(0,IF(ISNUMBER(D143),D143,E143)*(1-owsa_boc))</f>
        <v>102396</v>
      </c>
      <c r="G143" s="118">
        <f>IF(ISNUMBER(D143),D143,E143)*(1+owsa_boc)</f>
        <v>153594</v>
      </c>
      <c r="H143" s="293">
        <f t="shared" si="85"/>
        <v>0.1034368772350974</v>
      </c>
      <c r="I143" s="48"/>
      <c r="J143" s="118">
        <f ca="1">_xlfn.LOGNORM.INV(RAND(),LN(IF(ISNUMBER(D143),D143,E143))-(H143^2)/2,H143)</f>
        <v>126686.47095975756</v>
      </c>
      <c r="K143" s="12" t="s">
        <v>213</v>
      </c>
      <c r="L143" s="40">
        <v>63</v>
      </c>
      <c r="M143" s="247" t="s">
        <v>274</v>
      </c>
      <c r="N143" s="247" t="s">
        <v>326</v>
      </c>
    </row>
    <row r="144" spans="2:14" ht="15" customHeight="1" x14ac:dyDescent="0.2">
      <c r="B144" s="19" t="s">
        <v>17</v>
      </c>
      <c r="C144" s="118">
        <f>IF(psa,J144,IF(owsa_low=L144,F144,IF(owsa_high=L144,G144,IF(ISNUMBER(D144),D144,E144))))</f>
        <v>7738</v>
      </c>
      <c r="D144" s="294"/>
      <c r="E144" s="383">
        <v>7738</v>
      </c>
      <c r="F144" s="118">
        <f>MAX(0,IF(ISNUMBER(D144),D144,E144)*(1-owsa_boc))</f>
        <v>6190.4000000000005</v>
      </c>
      <c r="G144" s="118">
        <f>IF(ISNUMBER(D144),D144,E144)*(1+owsa_boc)</f>
        <v>9285.6</v>
      </c>
      <c r="H144" s="293">
        <f t="shared" si="85"/>
        <v>0.10343687723509785</v>
      </c>
      <c r="I144" s="48"/>
      <c r="J144" s="118">
        <f ca="1">_xlfn.LOGNORM.INV(RAND(),LN(IF(ISNUMBER(D144),D144,E144))-(H144^2)/2,H144)</f>
        <v>6218.9447795265869</v>
      </c>
      <c r="K144" s="12" t="s">
        <v>213</v>
      </c>
      <c r="L144" s="40">
        <v>64</v>
      </c>
      <c r="M144" s="247" t="s">
        <v>275</v>
      </c>
      <c r="N144" s="247" t="s">
        <v>326</v>
      </c>
    </row>
    <row r="145" spans="2:14" ht="15" customHeight="1" x14ac:dyDescent="0.2">
      <c r="B145" s="19" t="s">
        <v>239</v>
      </c>
      <c r="C145" s="118">
        <f>IF(psa,J145,IF(owsa_low=L145,F145,IF(owsa_high=L145,G145,IF(ISNUMBER(D145),D145,E145))))</f>
        <v>65403</v>
      </c>
      <c r="D145" s="294"/>
      <c r="E145" s="383">
        <v>65403</v>
      </c>
      <c r="F145" s="118">
        <f>MAX(0,IF(ISNUMBER(D145),D145,E145)*(1-owsa_boc))</f>
        <v>52322.400000000001</v>
      </c>
      <c r="G145" s="118">
        <f>IF(ISNUMBER(D145),D145,E145)*(1+owsa_boc)</f>
        <v>78483.599999999991</v>
      </c>
      <c r="H145" s="293">
        <f t="shared" si="85"/>
        <v>0.1034368772350974</v>
      </c>
      <c r="I145" s="48"/>
      <c r="J145" s="118">
        <f ca="1">_xlfn.LOGNORM.INV(RAND(),LN(IF(ISNUMBER(D145),D145,E145))-(H145^2)/2,H145)</f>
        <v>78434.824557126602</v>
      </c>
      <c r="K145" s="12" t="s">
        <v>213</v>
      </c>
      <c r="L145" s="40">
        <v>65</v>
      </c>
      <c r="M145" s="247" t="s">
        <v>276</v>
      </c>
      <c r="N145" s="247" t="s">
        <v>326</v>
      </c>
    </row>
    <row r="146" spans="2:14" ht="15" customHeight="1" x14ac:dyDescent="0.2"/>
    <row r="147" spans="2:14" ht="15" customHeight="1" x14ac:dyDescent="0.2"/>
    <row r="148" spans="2:14" ht="15" customHeight="1" x14ac:dyDescent="0.2"/>
    <row r="149" spans="2:14" ht="15" customHeight="1" x14ac:dyDescent="0.2"/>
    <row r="150" spans="2:14" ht="15" customHeight="1" x14ac:dyDescent="0.2"/>
    <row r="151" spans="2:14" ht="15" customHeight="1" x14ac:dyDescent="0.2"/>
    <row r="152" spans="2:14" ht="15" customHeight="1" x14ac:dyDescent="0.2"/>
    <row r="153" spans="2:14" ht="15" customHeight="1" x14ac:dyDescent="0.2"/>
    <row r="154" spans="2:14" ht="15" customHeight="1" x14ac:dyDescent="0.2"/>
    <row r="155" spans="2:14" ht="15" customHeight="1" x14ac:dyDescent="0.2"/>
    <row r="156" spans="2:14" ht="15" customHeight="1" x14ac:dyDescent="0.2"/>
    <row r="157" spans="2:14" ht="15" customHeight="1" x14ac:dyDescent="0.2"/>
    <row r="158" spans="2:14" ht="15" customHeight="1" x14ac:dyDescent="0.2"/>
    <row r="159" spans="2:14" ht="15" customHeight="1" x14ac:dyDescent="0.2"/>
    <row r="160" spans="2:14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" customHeight="1" x14ac:dyDescent="0.2"/>
    <row r="388" ht="15" customHeight="1" x14ac:dyDescent="0.2"/>
    <row r="389" ht="15" customHeight="1" x14ac:dyDescent="0.2"/>
    <row r="390" ht="15" customHeight="1" x14ac:dyDescent="0.2"/>
    <row r="391" ht="15" customHeight="1" x14ac:dyDescent="0.2"/>
    <row r="392" ht="15" customHeight="1" x14ac:dyDescent="0.2"/>
    <row r="393" ht="15" customHeight="1" x14ac:dyDescent="0.2"/>
    <row r="394" ht="15" customHeight="1" x14ac:dyDescent="0.2"/>
    <row r="395" ht="15" customHeight="1" x14ac:dyDescent="0.2"/>
    <row r="396" ht="15" customHeight="1" x14ac:dyDescent="0.2"/>
    <row r="397" ht="15" customHeight="1" x14ac:dyDescent="0.2"/>
    <row r="398" ht="15" customHeight="1" x14ac:dyDescent="0.2"/>
    <row r="399" ht="15" customHeight="1" x14ac:dyDescent="0.2"/>
    <row r="400" ht="15" customHeight="1" x14ac:dyDescent="0.2"/>
    <row r="401" ht="15" customHeight="1" x14ac:dyDescent="0.2"/>
    <row r="402" ht="15" customHeight="1" x14ac:dyDescent="0.2"/>
    <row r="403" ht="15" customHeight="1" x14ac:dyDescent="0.2"/>
    <row r="404" ht="15" customHeight="1" x14ac:dyDescent="0.2"/>
    <row r="405" ht="15" customHeight="1" x14ac:dyDescent="0.2"/>
    <row r="406" ht="15" customHeight="1" x14ac:dyDescent="0.2"/>
    <row r="407" ht="15" customHeight="1" x14ac:dyDescent="0.2"/>
    <row r="408" ht="15" customHeight="1" x14ac:dyDescent="0.2"/>
    <row r="409" ht="15" customHeight="1" x14ac:dyDescent="0.2"/>
    <row r="410" ht="15" customHeight="1" x14ac:dyDescent="0.2"/>
    <row r="411" ht="15" customHeight="1" x14ac:dyDescent="0.2"/>
    <row r="412" ht="15" customHeight="1" x14ac:dyDescent="0.2"/>
    <row r="413" ht="15" customHeight="1" x14ac:dyDescent="0.2"/>
    <row r="414" ht="15" customHeight="1" x14ac:dyDescent="0.2"/>
    <row r="415" ht="15" customHeight="1" x14ac:dyDescent="0.2"/>
    <row r="416" ht="15" customHeight="1" x14ac:dyDescent="0.2"/>
    <row r="417" ht="15" customHeight="1" x14ac:dyDescent="0.2"/>
    <row r="418" ht="15" customHeight="1" x14ac:dyDescent="0.2"/>
    <row r="419" ht="15" customHeight="1" x14ac:dyDescent="0.2"/>
    <row r="420" ht="15" customHeight="1" x14ac:dyDescent="0.2"/>
    <row r="421" ht="15" customHeight="1" x14ac:dyDescent="0.2"/>
    <row r="422" ht="15" customHeight="1" x14ac:dyDescent="0.2"/>
    <row r="423" ht="15" customHeight="1" x14ac:dyDescent="0.2"/>
    <row r="424" ht="15" customHeight="1" x14ac:dyDescent="0.2"/>
    <row r="425" ht="15" customHeight="1" x14ac:dyDescent="0.2"/>
    <row r="426" ht="15" customHeight="1" x14ac:dyDescent="0.2"/>
    <row r="427" ht="15" customHeight="1" x14ac:dyDescent="0.2"/>
    <row r="428" ht="15" customHeight="1" x14ac:dyDescent="0.2"/>
    <row r="429" ht="15" customHeight="1" x14ac:dyDescent="0.2"/>
    <row r="430" ht="15" customHeight="1" x14ac:dyDescent="0.2"/>
    <row r="431" ht="15" customHeight="1" x14ac:dyDescent="0.2"/>
    <row r="432" ht="15" customHeight="1" x14ac:dyDescent="0.2"/>
    <row r="433" ht="15" customHeight="1" x14ac:dyDescent="0.2"/>
    <row r="434" ht="15" customHeight="1" x14ac:dyDescent="0.2"/>
    <row r="435" ht="15" customHeight="1" x14ac:dyDescent="0.2"/>
    <row r="436" ht="15" customHeight="1" x14ac:dyDescent="0.2"/>
    <row r="437" ht="15" customHeight="1" x14ac:dyDescent="0.2"/>
    <row r="438" ht="15" customHeight="1" x14ac:dyDescent="0.2"/>
    <row r="439" ht="15" customHeight="1" x14ac:dyDescent="0.2"/>
    <row r="440" ht="15" customHeight="1" x14ac:dyDescent="0.2"/>
    <row r="441" ht="15" customHeight="1" x14ac:dyDescent="0.2"/>
    <row r="442" ht="15" customHeight="1" x14ac:dyDescent="0.2"/>
    <row r="443" ht="15" customHeight="1" x14ac:dyDescent="0.2"/>
    <row r="444" ht="15" customHeight="1" x14ac:dyDescent="0.2"/>
    <row r="445" ht="15" customHeight="1" x14ac:dyDescent="0.2"/>
    <row r="446" ht="15" customHeight="1" x14ac:dyDescent="0.2"/>
    <row r="447" ht="15" customHeight="1" x14ac:dyDescent="0.2"/>
    <row r="448" ht="15" customHeight="1" x14ac:dyDescent="0.2"/>
    <row r="449" ht="15" customHeight="1" x14ac:dyDescent="0.2"/>
    <row r="450" ht="15" customHeight="1" x14ac:dyDescent="0.2"/>
    <row r="451" ht="15" customHeight="1" x14ac:dyDescent="0.2"/>
    <row r="452" ht="15" customHeight="1" x14ac:dyDescent="0.2"/>
    <row r="453" ht="15" customHeight="1" x14ac:dyDescent="0.2"/>
    <row r="454" ht="15" customHeight="1" x14ac:dyDescent="0.2"/>
    <row r="455" ht="15" customHeight="1" x14ac:dyDescent="0.2"/>
    <row r="456" ht="15" customHeight="1" x14ac:dyDescent="0.2"/>
    <row r="457" ht="15" customHeight="1" x14ac:dyDescent="0.2"/>
    <row r="458" ht="15" customHeight="1" x14ac:dyDescent="0.2"/>
    <row r="459" ht="15" customHeight="1" x14ac:dyDescent="0.2"/>
    <row r="460" ht="15" customHeight="1" x14ac:dyDescent="0.2"/>
    <row r="461" ht="15" customHeight="1" x14ac:dyDescent="0.2"/>
    <row r="462" ht="15" customHeight="1" x14ac:dyDescent="0.2"/>
    <row r="463" ht="15" customHeight="1" x14ac:dyDescent="0.2"/>
    <row r="464" ht="15" customHeight="1" x14ac:dyDescent="0.2"/>
    <row r="465" ht="15" customHeight="1" x14ac:dyDescent="0.2"/>
    <row r="466" ht="15" customHeight="1" x14ac:dyDescent="0.2"/>
    <row r="467" ht="15" customHeight="1" x14ac:dyDescent="0.2"/>
    <row r="468" ht="15" customHeight="1" x14ac:dyDescent="0.2"/>
    <row r="469" ht="15" customHeight="1" x14ac:dyDescent="0.2"/>
    <row r="470" ht="15" customHeight="1" x14ac:dyDescent="0.2"/>
    <row r="471" ht="15" customHeight="1" x14ac:dyDescent="0.2"/>
    <row r="472" ht="15" customHeight="1" x14ac:dyDescent="0.2"/>
    <row r="473" ht="15" customHeight="1" x14ac:dyDescent="0.2"/>
    <row r="474" ht="15" customHeight="1" x14ac:dyDescent="0.2"/>
    <row r="475" ht="15" customHeight="1" x14ac:dyDescent="0.2"/>
    <row r="476" ht="15" customHeight="1" x14ac:dyDescent="0.2"/>
    <row r="477" ht="15" customHeight="1" x14ac:dyDescent="0.2"/>
    <row r="478" ht="15" customHeight="1" x14ac:dyDescent="0.2"/>
    <row r="479" ht="15" customHeight="1" x14ac:dyDescent="0.2"/>
    <row r="480" ht="15" customHeight="1" x14ac:dyDescent="0.2"/>
    <row r="481" ht="15" customHeight="1" x14ac:dyDescent="0.2"/>
    <row r="482" ht="15" customHeight="1" x14ac:dyDescent="0.2"/>
    <row r="483" ht="15" customHeight="1" x14ac:dyDescent="0.2"/>
    <row r="484" ht="15" customHeight="1" x14ac:dyDescent="0.2"/>
    <row r="485" ht="15" customHeight="1" x14ac:dyDescent="0.2"/>
    <row r="486" ht="15" customHeight="1" x14ac:dyDescent="0.2"/>
    <row r="487" ht="15" customHeight="1" x14ac:dyDescent="0.2"/>
    <row r="488" ht="15" customHeight="1" x14ac:dyDescent="0.2"/>
    <row r="489" ht="15" customHeight="1" x14ac:dyDescent="0.2"/>
    <row r="490" ht="15" customHeight="1" x14ac:dyDescent="0.2"/>
    <row r="491" ht="15" customHeight="1" x14ac:dyDescent="0.2"/>
    <row r="492" ht="15" customHeight="1" x14ac:dyDescent="0.2"/>
    <row r="493" ht="15" customHeight="1" x14ac:dyDescent="0.2"/>
    <row r="494" ht="15" customHeight="1" x14ac:dyDescent="0.2"/>
    <row r="495" ht="15" customHeight="1" x14ac:dyDescent="0.2"/>
    <row r="496" ht="15" customHeight="1" x14ac:dyDescent="0.2"/>
    <row r="497" ht="15" customHeight="1" x14ac:dyDescent="0.2"/>
    <row r="498" ht="15" customHeight="1" x14ac:dyDescent="0.2"/>
    <row r="499" ht="15" customHeight="1" x14ac:dyDescent="0.2"/>
    <row r="500" ht="15" customHeight="1" x14ac:dyDescent="0.2"/>
    <row r="501" ht="15" customHeight="1" x14ac:dyDescent="0.2"/>
    <row r="502" ht="15" customHeight="1" x14ac:dyDescent="0.2"/>
    <row r="503" ht="15" customHeight="1" x14ac:dyDescent="0.2"/>
    <row r="504" ht="15" customHeight="1" x14ac:dyDescent="0.2"/>
    <row r="505" ht="15" customHeight="1" x14ac:dyDescent="0.2"/>
    <row r="506" ht="15" customHeight="1" x14ac:dyDescent="0.2"/>
    <row r="507" ht="15" customHeight="1" x14ac:dyDescent="0.2"/>
    <row r="508" ht="15" customHeight="1" x14ac:dyDescent="0.2"/>
    <row r="509" ht="15" customHeight="1" x14ac:dyDescent="0.2"/>
    <row r="510" ht="15" customHeight="1" x14ac:dyDescent="0.2"/>
    <row r="511" ht="15" customHeight="1" x14ac:dyDescent="0.2"/>
    <row r="512" ht="15" customHeight="1" x14ac:dyDescent="0.2"/>
    <row r="513" ht="15" customHeight="1" x14ac:dyDescent="0.2"/>
    <row r="514" ht="15" customHeight="1" x14ac:dyDescent="0.2"/>
    <row r="515" ht="15" customHeight="1" x14ac:dyDescent="0.2"/>
    <row r="516" ht="15" customHeight="1" x14ac:dyDescent="0.2"/>
    <row r="517" ht="15" customHeight="1" x14ac:dyDescent="0.2"/>
    <row r="518" ht="15" customHeight="1" x14ac:dyDescent="0.2"/>
    <row r="519" ht="15" customHeight="1" x14ac:dyDescent="0.2"/>
    <row r="520" ht="15" customHeight="1" x14ac:dyDescent="0.2"/>
    <row r="521" ht="15" customHeight="1" x14ac:dyDescent="0.2"/>
    <row r="522" ht="15" customHeight="1" x14ac:dyDescent="0.2"/>
    <row r="523" ht="15" customHeight="1" x14ac:dyDescent="0.2"/>
    <row r="524" ht="15" customHeight="1" x14ac:dyDescent="0.2"/>
    <row r="525" ht="15" customHeight="1" x14ac:dyDescent="0.2"/>
    <row r="526" ht="15" customHeight="1" x14ac:dyDescent="0.2"/>
    <row r="527" ht="15" customHeight="1" x14ac:dyDescent="0.2"/>
    <row r="528" ht="15" customHeight="1" x14ac:dyDescent="0.2"/>
    <row r="529" ht="15" customHeight="1" x14ac:dyDescent="0.2"/>
    <row r="530" ht="15" customHeight="1" x14ac:dyDescent="0.2"/>
    <row r="531" ht="1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" customHeight="1" x14ac:dyDescent="0.2"/>
    <row r="556" ht="1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  <row r="566" ht="15" customHeight="1" x14ac:dyDescent="0.2"/>
    <row r="567" ht="15" customHeight="1" x14ac:dyDescent="0.2"/>
    <row r="568" ht="15" customHeight="1" x14ac:dyDescent="0.2"/>
    <row r="569" ht="15" customHeight="1" x14ac:dyDescent="0.2"/>
    <row r="570" ht="15" customHeight="1" x14ac:dyDescent="0.2"/>
    <row r="571" ht="15" customHeight="1" x14ac:dyDescent="0.2"/>
    <row r="572" ht="15" customHeight="1" x14ac:dyDescent="0.2"/>
    <row r="573" ht="15" customHeight="1" x14ac:dyDescent="0.2"/>
    <row r="574" ht="15" customHeight="1" x14ac:dyDescent="0.2"/>
    <row r="575" ht="15" customHeight="1" x14ac:dyDescent="0.2"/>
    <row r="576" ht="15" customHeight="1" x14ac:dyDescent="0.2"/>
    <row r="577" ht="15" customHeight="1" x14ac:dyDescent="0.2"/>
    <row r="578" ht="15" customHeight="1" x14ac:dyDescent="0.2"/>
    <row r="579" ht="15" customHeight="1" x14ac:dyDescent="0.2"/>
    <row r="580" ht="15" customHeight="1" x14ac:dyDescent="0.2"/>
    <row r="581" ht="15" customHeight="1" x14ac:dyDescent="0.2"/>
    <row r="582" ht="15" customHeight="1" x14ac:dyDescent="0.2"/>
    <row r="583" ht="15" customHeight="1" x14ac:dyDescent="0.2"/>
    <row r="584" ht="15" customHeight="1" x14ac:dyDescent="0.2"/>
    <row r="585" ht="15" customHeight="1" x14ac:dyDescent="0.2"/>
    <row r="586" ht="15" customHeight="1" x14ac:dyDescent="0.2"/>
    <row r="587" ht="15" customHeight="1" x14ac:dyDescent="0.2"/>
    <row r="588" ht="15" customHeight="1" x14ac:dyDescent="0.2"/>
    <row r="589" ht="15" customHeight="1" x14ac:dyDescent="0.2"/>
    <row r="590" ht="15" customHeight="1" x14ac:dyDescent="0.2"/>
    <row r="591" ht="15" customHeight="1" x14ac:dyDescent="0.2"/>
    <row r="592" ht="15" customHeight="1" x14ac:dyDescent="0.2"/>
    <row r="593" ht="15" customHeight="1" x14ac:dyDescent="0.2"/>
    <row r="594" ht="15" customHeight="1" x14ac:dyDescent="0.2"/>
    <row r="595" ht="15" customHeight="1" x14ac:dyDescent="0.2"/>
    <row r="596" ht="15" customHeight="1" x14ac:dyDescent="0.2"/>
    <row r="597" ht="15" customHeight="1" x14ac:dyDescent="0.2"/>
    <row r="598" ht="15" customHeight="1" x14ac:dyDescent="0.2"/>
    <row r="599" ht="15" customHeight="1" x14ac:dyDescent="0.2"/>
    <row r="600" ht="15" customHeight="1" x14ac:dyDescent="0.2"/>
    <row r="601" ht="15" customHeight="1" x14ac:dyDescent="0.2"/>
    <row r="602" ht="15" customHeight="1" x14ac:dyDescent="0.2"/>
    <row r="603" ht="15" customHeight="1" x14ac:dyDescent="0.2"/>
    <row r="604" ht="15" customHeight="1" x14ac:dyDescent="0.2"/>
    <row r="605" ht="15" customHeight="1" x14ac:dyDescent="0.2"/>
    <row r="606" ht="15" customHeight="1" x14ac:dyDescent="0.2"/>
    <row r="607" ht="15" customHeight="1" x14ac:dyDescent="0.2"/>
  </sheetData>
  <sortState ref="BS24:BY84">
    <sortCondition descending="1" ref="BY23:BY84"/>
  </sortState>
  <mergeCells count="2">
    <mergeCell ref="BU4:BV4"/>
    <mergeCell ref="BW4:CA4"/>
  </mergeCells>
  <conditionalFormatting sqref="AZ6:BR6 BS3:BS9 BQ10:BS106 AE6:AW106 BQ7:BR9 AZ7:BP106">
    <cfRule type="expression" dxfId="1" priority="2">
      <formula>$AE3&gt;100</formula>
    </cfRule>
  </conditionalFormatting>
  <conditionalFormatting sqref="BU24:CA88">
    <cfRule type="expression" dxfId="0" priority="1">
      <formula>MOD(ROW(),2)=0</formula>
    </cfRule>
  </conditionalFormatting>
  <dataValidations disablePrompts="1" count="1">
    <dataValidation type="list" allowBlank="1" showInputMessage="1" showErrorMessage="1" sqref="BU22" xr:uid="{BF72E274-F077-4687-B8AC-D2FD7C8B35E2}">
      <formula1>$BX$92:$BX$94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134</vt:i4>
      </vt:variant>
    </vt:vector>
  </HeadingPairs>
  <TitlesOfParts>
    <vt:vector size="140" baseType="lpstr">
      <vt:lpstr>Parameters</vt:lpstr>
      <vt:lpstr>VOI</vt:lpstr>
      <vt:lpstr>PSA</vt:lpstr>
      <vt:lpstr>Regression</vt:lpstr>
      <vt:lpstr>OWSA</vt:lpstr>
      <vt:lpstr>Breast_Ovarian</vt:lpstr>
      <vt:lpstr>adherence</vt:lpstr>
      <vt:lpstr>adherence2</vt:lpstr>
      <vt:lpstr>adherence3</vt:lpstr>
      <vt:lpstr>age</vt:lpstr>
      <vt:lpstr>avoid_loss</vt:lpstr>
      <vt:lpstr>avoidance</vt:lpstr>
      <vt:lpstr>avoidance2</vt:lpstr>
      <vt:lpstr>avoidance3</vt:lpstr>
      <vt:lpstr>boc_cohort</vt:lpstr>
      <vt:lpstr>boc_cost_bc</vt:lpstr>
      <vt:lpstr>boc_cost_death</vt:lpstr>
      <vt:lpstr>boc_cost_mast</vt:lpstr>
      <vt:lpstr>boc_cost_oc</vt:lpstr>
      <vt:lpstr>boc_cost_ooph</vt:lpstr>
      <vt:lpstr>boc_cost_pc</vt:lpstr>
      <vt:lpstr>boc_disutil_both</vt:lpstr>
      <vt:lpstr>boc_disutil_mast</vt:lpstr>
      <vt:lpstr>boc_disutil_ooph</vt:lpstr>
      <vt:lpstr>boc_find_high</vt:lpstr>
      <vt:lpstr>boc_find_low</vt:lpstr>
      <vt:lpstr>boc_find_mod</vt:lpstr>
      <vt:lpstr>boc_notest_cost</vt:lpstr>
      <vt:lpstr>boc_notest_qalys</vt:lpstr>
      <vt:lpstr>boc_path_high_np</vt:lpstr>
      <vt:lpstr>boc_path_high_path</vt:lpstr>
      <vt:lpstr>boc_path_high_vus</vt:lpstr>
      <vt:lpstr>boc_path_low_np</vt:lpstr>
      <vt:lpstr>boc_path_low_path</vt:lpstr>
      <vt:lpstr>boc_path_low_vus</vt:lpstr>
      <vt:lpstr>boc_path_mod_np</vt:lpstr>
      <vt:lpstr>boc_path_mod_path</vt:lpstr>
      <vt:lpstr>boc_path_mod_vus</vt:lpstr>
      <vt:lpstr>boc_rr_bc_both</vt:lpstr>
      <vt:lpstr>boc_rr_bc_hip</vt:lpstr>
      <vt:lpstr>boc_rr_bc_hiv</vt:lpstr>
      <vt:lpstr>boc_rr_bc_lop</vt:lpstr>
      <vt:lpstr>boc_rr_bc_lov</vt:lpstr>
      <vt:lpstr>boc_rr_bc_mast</vt:lpstr>
      <vt:lpstr>boc_rr_bc_modp</vt:lpstr>
      <vt:lpstr>boc_rr_bc_modv</vt:lpstr>
      <vt:lpstr>boc_rr_bc_np</vt:lpstr>
      <vt:lpstr>boc_rr_bc_ooph</vt:lpstr>
      <vt:lpstr>boc_rr_death_pc</vt:lpstr>
      <vt:lpstr>boc_rr_oc_both</vt:lpstr>
      <vt:lpstr>boc_rr_oc_hip</vt:lpstr>
      <vt:lpstr>boc_rr_oc_hiv</vt:lpstr>
      <vt:lpstr>boc_rr_oc_lop</vt:lpstr>
      <vt:lpstr>boc_rr_oc_lov</vt:lpstr>
      <vt:lpstr>boc_rr_oc_mast</vt:lpstr>
      <vt:lpstr>boc_rr_oc_modp</vt:lpstr>
      <vt:lpstr>boc_rr_oc_modv</vt:lpstr>
      <vt:lpstr>boc_rr_oc_np</vt:lpstr>
      <vt:lpstr>boc_rr_oc_ooph</vt:lpstr>
      <vt:lpstr>boc_test_cost</vt:lpstr>
      <vt:lpstr>boc_test_int_np_both</vt:lpstr>
      <vt:lpstr>boc_test_int_np_mast</vt:lpstr>
      <vt:lpstr>boc_test_int_np_ooph</vt:lpstr>
      <vt:lpstr>boc_test_int_path_both</vt:lpstr>
      <vt:lpstr>boc_test_int_path_mast</vt:lpstr>
      <vt:lpstr>boc_test_int_path_ooph</vt:lpstr>
      <vt:lpstr>boc_test_int_vus_both</vt:lpstr>
      <vt:lpstr>boc_test_int_vus_mast</vt:lpstr>
      <vt:lpstr>boc_test_int_vus_ooph</vt:lpstr>
      <vt:lpstr>boc_test_qalys</vt:lpstr>
      <vt:lpstr>boc_tr_both_path</vt:lpstr>
      <vt:lpstr>boc_tr_both_vus</vt:lpstr>
      <vt:lpstr>boc_tr_mast_path</vt:lpstr>
      <vt:lpstr>boc_tr_mast_vus</vt:lpstr>
      <vt:lpstr>boc_tr_ooph_path</vt:lpstr>
      <vt:lpstr>boc_tr_ooph_vus</vt:lpstr>
      <vt:lpstr>boc_trpr_bc</vt:lpstr>
      <vt:lpstr>boc_trpr_bc_death</vt:lpstr>
      <vt:lpstr>boc_trpr_oc</vt:lpstr>
      <vt:lpstr>boc_trpr_oc_death</vt:lpstr>
      <vt:lpstr>boc_trprs</vt:lpstr>
      <vt:lpstr>boc_unk_int_both</vt:lpstr>
      <vt:lpstr>boc_unk_int_mast</vt:lpstr>
      <vt:lpstr>boc_unk_int_ooph</vt:lpstr>
      <vt:lpstr>boc_util_c</vt:lpstr>
      <vt:lpstr>boc_util_int</vt:lpstr>
      <vt:lpstr>boc_util_no_nv</vt:lpstr>
      <vt:lpstr>boc_util_no_v</vt:lpstr>
      <vt:lpstr>boc_util_pc</vt:lpstr>
      <vt:lpstr>cohort</vt:lpstr>
      <vt:lpstr>cost_assay</vt:lpstr>
      <vt:lpstr>cost_couns</vt:lpstr>
      <vt:lpstr>cost_postc</vt:lpstr>
      <vt:lpstr>cost_review</vt:lpstr>
      <vt:lpstr>discount</vt:lpstr>
      <vt:lpstr>eff_pop</vt:lpstr>
      <vt:lpstr>evsi_n</vt:lpstr>
      <vt:lpstr>inner</vt:lpstr>
      <vt:lpstr>mortt</vt:lpstr>
      <vt:lpstr>outer</vt:lpstr>
      <vt:lpstr>over_notest_cost</vt:lpstr>
      <vt:lpstr>over_notest_qalys</vt:lpstr>
      <vt:lpstr>over_test_cost</vt:lpstr>
      <vt:lpstr>over_test_qalys</vt:lpstr>
      <vt:lpstr>owsa</vt:lpstr>
      <vt:lpstr>owsa_boc</vt:lpstr>
      <vt:lpstr>pen_arvc</vt:lpstr>
      <vt:lpstr>pen_bc</vt:lpstr>
      <vt:lpstr>pen_fh</vt:lpstr>
      <vt:lpstr>pen_hc</vt:lpstr>
      <vt:lpstr>pen_longQT</vt:lpstr>
      <vt:lpstr>pen_ls</vt:lpstr>
      <vt:lpstr>pen_mhyp</vt:lpstr>
      <vt:lpstr>pen_rare</vt:lpstr>
      <vt:lpstr>penetrance</vt:lpstr>
      <vt:lpstr>penetrance2</vt:lpstr>
      <vt:lpstr>penetrance3</vt:lpstr>
      <vt:lpstr>ppn_avoid</vt:lpstr>
      <vt:lpstr>ppn_util_arvc</vt:lpstr>
      <vt:lpstr>ppn_util_bc</vt:lpstr>
      <vt:lpstr>ppn_util_fh</vt:lpstr>
      <vt:lpstr>ppn_util_hc</vt:lpstr>
      <vt:lpstr>ppn_util_LQTS</vt:lpstr>
      <vt:lpstr>ppn_util_ls</vt:lpstr>
      <vt:lpstr>ppn_util_mhyp</vt:lpstr>
      <vt:lpstr>ppn_util_rare</vt:lpstr>
      <vt:lpstr>pr_mast_carrier</vt:lpstr>
      <vt:lpstr>prev_arvc</vt:lpstr>
      <vt:lpstr>prev_bc</vt:lpstr>
      <vt:lpstr>prev_fh</vt:lpstr>
      <vt:lpstr>prev_hc</vt:lpstr>
      <vt:lpstr>prev_LQTS</vt:lpstr>
      <vt:lpstr>prev_ls</vt:lpstr>
      <vt:lpstr>prev_mhyp</vt:lpstr>
      <vt:lpstr>prev_rare</vt:lpstr>
      <vt:lpstr>prevalence</vt:lpstr>
      <vt:lpstr>prevalence2</vt:lpstr>
      <vt:lpstr>prevalence3</vt:lpstr>
      <vt:lpstr>psa</vt:lpstr>
      <vt:lpstr>wtp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greguz</dc:creator>
  <cp:lastModifiedBy>greguz</cp:lastModifiedBy>
  <dcterms:created xsi:type="dcterms:W3CDTF">2018-02-07T20:38:08Z</dcterms:created>
  <dcterms:modified xsi:type="dcterms:W3CDTF">2018-03-08T16:06:36Z</dcterms:modified>
</cp:coreProperties>
</file>